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V:\Earnings Reports\F2019\Q4 2019\Supp\"/>
    </mc:Choice>
  </mc:AlternateContent>
  <xr:revisionPtr revIDLastSave="0" documentId="13_ncr:1_{9616345D-45A3-4AB8-9D1E-225D8D72F6C5}" xr6:coauthVersionLast="36" xr6:coauthVersionMax="36" xr10:uidLastSave="{00000000-0000-0000-0000-000000000000}"/>
  <bookViews>
    <workbookView xWindow="930" yWindow="0" windowWidth="17250" windowHeight="5670" tabRatio="900" activeTab="2" xr2:uid="{00000000-000D-0000-FFFF-FFFF00000000}"/>
  </bookViews>
  <sheets>
    <sheet name="1 Cover" sheetId="2" r:id="rId1"/>
    <sheet name="2 Table of Contents" sheetId="4" r:id="rId2"/>
    <sheet name="1 Financial Highlights" sheetId="1" r:id="rId3"/>
    <sheet name="2 Consolidated IS" sheetId="8" r:id="rId4"/>
    <sheet name="MDA Tables" sheetId="47" state="hidden" r:id="rId5"/>
    <sheet name="3 Business Segments FY19" sheetId="49" r:id="rId6"/>
    <sheet name="4 Capital Markets North America" sheetId="43" state="hidden" r:id="rId7"/>
    <sheet name="3 Business Segments FY18" sheetId="50" state="hidden" r:id="rId8"/>
    <sheet name="4 Canaccord Genuity " sheetId="42" r:id="rId9"/>
    <sheet name="5 Capital Markets Canada" sheetId="36" r:id="rId10"/>
    <sheet name="6 CG - US" sheetId="38" r:id="rId11"/>
    <sheet name="7 UK &amp; Dubai" sheetId="37" r:id="rId12"/>
    <sheet name="8 CG - Australia" sheetId="44" r:id="rId13"/>
    <sheet name="9 Wealth Management" sheetId="48" r:id="rId14"/>
    <sheet name="CWM BGF" sheetId="39" state="hidden" r:id="rId15"/>
    <sheet name="10 CWM Canada" sheetId="40" r:id="rId16"/>
    <sheet name="11 CWM UK and Europe" sheetId="35" r:id="rId17"/>
    <sheet name="12 Other" sheetId="12" r:id="rId18"/>
    <sheet name="13 Balance Sheet" sheetId="16" r:id="rId19"/>
    <sheet name="7 Canada" sheetId="13" state="hidden" r:id="rId20"/>
    <sheet name="8 UK and Europe" sheetId="33" state="hidden" r:id="rId21"/>
    <sheet name="9 US" sheetId="15" state="hidden" r:id="rId22"/>
    <sheet name="14 Misc Operating Stats" sheetId="17" r:id="rId23"/>
    <sheet name="15 Notes" sheetId="6" r:id="rId24"/>
    <sheet name="NHI" sheetId="26" state="hidden" r:id="rId25"/>
  </sheets>
  <externalReferences>
    <externalReference r:id="rId26"/>
  </externalReferences>
  <definedNames>
    <definedName name="\B" localSheetId="15">#REF!</definedName>
    <definedName name="\B" localSheetId="16">#REF!</definedName>
    <definedName name="\B" localSheetId="7">#REF!</definedName>
    <definedName name="\B" localSheetId="5">#REF!</definedName>
    <definedName name="\B" localSheetId="8">#REF!</definedName>
    <definedName name="\B" localSheetId="6">#REF!</definedName>
    <definedName name="\B" localSheetId="9">#REF!</definedName>
    <definedName name="\B" localSheetId="10">#REF!</definedName>
    <definedName name="\B" localSheetId="11">#REF!</definedName>
    <definedName name="\B" localSheetId="12">#REF!</definedName>
    <definedName name="\B" localSheetId="20">#REF!</definedName>
    <definedName name="\B" localSheetId="13">#REF!</definedName>
    <definedName name="\B" localSheetId="14">#REF!</definedName>
    <definedName name="\B" localSheetId="4">#REF!</definedName>
    <definedName name="\B">#REF!</definedName>
    <definedName name="\G" localSheetId="15">#REF!</definedName>
    <definedName name="\G" localSheetId="16">#REF!</definedName>
    <definedName name="\G" localSheetId="7">#REF!</definedName>
    <definedName name="\G" localSheetId="5">#REF!</definedName>
    <definedName name="\G" localSheetId="8">#REF!</definedName>
    <definedName name="\G" localSheetId="6">#REF!</definedName>
    <definedName name="\G" localSheetId="10">#REF!</definedName>
    <definedName name="\G" localSheetId="11">#REF!</definedName>
    <definedName name="\G" localSheetId="12">#REF!</definedName>
    <definedName name="\G" localSheetId="13">#REF!</definedName>
    <definedName name="\G" localSheetId="14">#REF!</definedName>
    <definedName name="\G" localSheetId="4">#REF!</definedName>
    <definedName name="\G">#REF!</definedName>
    <definedName name="\S" localSheetId="15">#REF!</definedName>
    <definedName name="\S" localSheetId="16">#REF!</definedName>
    <definedName name="\S" localSheetId="7">#REF!</definedName>
    <definedName name="\S" localSheetId="5">#REF!</definedName>
    <definedName name="\S" localSheetId="8">#REF!</definedName>
    <definedName name="\S" localSheetId="6">#REF!</definedName>
    <definedName name="\S" localSheetId="10">#REF!</definedName>
    <definedName name="\S" localSheetId="11">#REF!</definedName>
    <definedName name="\S" localSheetId="12">#REF!</definedName>
    <definedName name="\S" localSheetId="13">#REF!</definedName>
    <definedName name="\S" localSheetId="14">#REF!</definedName>
    <definedName name="\S" localSheetId="4">#REF!</definedName>
    <definedName name="\S">#REF!</definedName>
    <definedName name="_2_OR" localSheetId="15">#REF!</definedName>
    <definedName name="_2_OR" localSheetId="16">#REF!</definedName>
    <definedName name="_2_OR" localSheetId="7">#REF!</definedName>
    <definedName name="_2_OR" localSheetId="5">#REF!</definedName>
    <definedName name="_2_OR" localSheetId="8">#REF!</definedName>
    <definedName name="_2_OR" localSheetId="6">#REF!</definedName>
    <definedName name="_2_OR" localSheetId="10">#REF!</definedName>
    <definedName name="_2_OR" localSheetId="11">#REF!</definedName>
    <definedName name="_2_OR" localSheetId="12">#REF!</definedName>
    <definedName name="_2_OR" localSheetId="13">#REF!</definedName>
    <definedName name="_2_OR" localSheetId="14">#REF!</definedName>
    <definedName name="_2_OR" localSheetId="4">#REF!</definedName>
    <definedName name="_2_OR">#REF!</definedName>
    <definedName name="_APR95" localSheetId="15">#REF!</definedName>
    <definedName name="_APR95" localSheetId="16">#REF!</definedName>
    <definedName name="_APR95" localSheetId="7">#REF!</definedName>
    <definedName name="_APR95" localSheetId="5">#REF!</definedName>
    <definedName name="_APR95" localSheetId="8">#REF!</definedName>
    <definedName name="_APR95" localSheetId="6">#REF!</definedName>
    <definedName name="_APR95" localSheetId="10">#REF!</definedName>
    <definedName name="_APR95" localSheetId="11">#REF!</definedName>
    <definedName name="_APR95" localSheetId="12">#REF!</definedName>
    <definedName name="_APR95" localSheetId="13">#REF!</definedName>
    <definedName name="_APR95" localSheetId="14">#REF!</definedName>
    <definedName name="_APR95" localSheetId="4">#REF!</definedName>
    <definedName name="_APR95">#REF!</definedName>
    <definedName name="_APR96" localSheetId="15">#REF!</definedName>
    <definedName name="_APR96" localSheetId="16">#REF!</definedName>
    <definedName name="_APR96" localSheetId="7">#REF!</definedName>
    <definedName name="_APR96" localSheetId="5">#REF!</definedName>
    <definedName name="_APR96" localSheetId="8">#REF!</definedName>
    <definedName name="_APR96" localSheetId="6">#REF!</definedName>
    <definedName name="_APR96" localSheetId="10">#REF!</definedName>
    <definedName name="_APR96" localSheetId="11">#REF!</definedName>
    <definedName name="_APR96" localSheetId="12">#REF!</definedName>
    <definedName name="_APR96" localSheetId="13">#REF!</definedName>
    <definedName name="_APR96" localSheetId="14">#REF!</definedName>
    <definedName name="_APR96" localSheetId="4">#REF!</definedName>
    <definedName name="_APR96">#REF!</definedName>
    <definedName name="_APR97" localSheetId="15">#REF!</definedName>
    <definedName name="_APR97" localSheetId="16">#REF!</definedName>
    <definedName name="_APR97" localSheetId="7">#REF!</definedName>
    <definedName name="_APR97" localSheetId="5">#REF!</definedName>
    <definedName name="_APR97" localSheetId="8">#REF!</definedName>
    <definedName name="_APR97" localSheetId="6">#REF!</definedName>
    <definedName name="_APR97" localSheetId="10">#REF!</definedName>
    <definedName name="_APR97" localSheetId="11">#REF!</definedName>
    <definedName name="_APR97" localSheetId="12">#REF!</definedName>
    <definedName name="_APR97" localSheetId="13">#REF!</definedName>
    <definedName name="_APR97" localSheetId="14">#REF!</definedName>
    <definedName name="_APR97" localSheetId="4">#REF!</definedName>
    <definedName name="_APR97">#REF!</definedName>
    <definedName name="_AUG94" localSheetId="15">#REF!</definedName>
    <definedName name="_AUG94" localSheetId="16">#REF!</definedName>
    <definedName name="_AUG94" localSheetId="7">#REF!</definedName>
    <definedName name="_AUG94" localSheetId="5">#REF!</definedName>
    <definedName name="_AUG94" localSheetId="8">#REF!</definedName>
    <definedName name="_AUG94" localSheetId="6">#REF!</definedName>
    <definedName name="_AUG94" localSheetId="10">#REF!</definedName>
    <definedName name="_AUG94" localSheetId="11">#REF!</definedName>
    <definedName name="_AUG94" localSheetId="12">#REF!</definedName>
    <definedName name="_AUG94" localSheetId="13">#REF!</definedName>
    <definedName name="_AUG94" localSheetId="14">#REF!</definedName>
    <definedName name="_AUG94" localSheetId="4">#REF!</definedName>
    <definedName name="_AUG94">#REF!</definedName>
    <definedName name="_AUG95" localSheetId="15">#REF!</definedName>
    <definedName name="_AUG95" localSheetId="16">#REF!</definedName>
    <definedName name="_AUG95" localSheetId="7">#REF!</definedName>
    <definedName name="_AUG95" localSheetId="5">#REF!</definedName>
    <definedName name="_AUG95" localSheetId="8">#REF!</definedName>
    <definedName name="_AUG95" localSheetId="6">#REF!</definedName>
    <definedName name="_AUG95" localSheetId="10">#REF!</definedName>
    <definedName name="_AUG95" localSheetId="11">#REF!</definedName>
    <definedName name="_AUG95" localSheetId="12">#REF!</definedName>
    <definedName name="_AUG95" localSheetId="13">#REF!</definedName>
    <definedName name="_AUG95" localSheetId="14">#REF!</definedName>
    <definedName name="_AUG95" localSheetId="4">#REF!</definedName>
    <definedName name="_AUG95">#REF!</definedName>
    <definedName name="_AUG96" localSheetId="15">#REF!</definedName>
    <definedName name="_AUG96" localSheetId="16">#REF!</definedName>
    <definedName name="_AUG96" localSheetId="7">#REF!</definedName>
    <definedName name="_AUG96" localSheetId="5">#REF!</definedName>
    <definedName name="_AUG96" localSheetId="8">#REF!</definedName>
    <definedName name="_AUG96" localSheetId="6">#REF!</definedName>
    <definedName name="_AUG96" localSheetId="10">#REF!</definedName>
    <definedName name="_AUG96" localSheetId="11">#REF!</definedName>
    <definedName name="_AUG96" localSheetId="12">#REF!</definedName>
    <definedName name="_AUG96" localSheetId="13">#REF!</definedName>
    <definedName name="_AUG96" localSheetId="14">#REF!</definedName>
    <definedName name="_AUG96" localSheetId="4">#REF!</definedName>
    <definedName name="_AUG96">#REF!</definedName>
    <definedName name="_AUG97" localSheetId="15">#REF!</definedName>
    <definedName name="_AUG97" localSheetId="16">#REF!</definedName>
    <definedName name="_AUG97" localSheetId="7">#REF!</definedName>
    <definedName name="_AUG97" localSheetId="5">#REF!</definedName>
    <definedName name="_AUG97" localSheetId="8">#REF!</definedName>
    <definedName name="_AUG97" localSheetId="6">#REF!</definedName>
    <definedName name="_AUG97" localSheetId="10">#REF!</definedName>
    <definedName name="_AUG97" localSheetId="11">#REF!</definedName>
    <definedName name="_AUG97" localSheetId="12">#REF!</definedName>
    <definedName name="_AUG97" localSheetId="13">#REF!</definedName>
    <definedName name="_AUG97" localSheetId="14">#REF!</definedName>
    <definedName name="_AUG97" localSheetId="4">#REF!</definedName>
    <definedName name="_AUG97">#REF!</definedName>
    <definedName name="_DEC94" localSheetId="15">#REF!</definedName>
    <definedName name="_DEC94" localSheetId="16">#REF!</definedName>
    <definedName name="_DEC94" localSheetId="7">#REF!</definedName>
    <definedName name="_DEC94" localSheetId="5">#REF!</definedName>
    <definedName name="_DEC94" localSheetId="8">#REF!</definedName>
    <definedName name="_DEC94" localSheetId="6">#REF!</definedName>
    <definedName name="_DEC94" localSheetId="10">#REF!</definedName>
    <definedName name="_DEC94" localSheetId="11">#REF!</definedName>
    <definedName name="_DEC94" localSheetId="12">#REF!</definedName>
    <definedName name="_DEC94" localSheetId="13">#REF!</definedName>
    <definedName name="_DEC94" localSheetId="14">#REF!</definedName>
    <definedName name="_DEC94" localSheetId="4">#REF!</definedName>
    <definedName name="_DEC94">#REF!</definedName>
    <definedName name="_DEC95" localSheetId="15">#REF!</definedName>
    <definedName name="_DEC95" localSheetId="16">#REF!</definedName>
    <definedName name="_DEC95" localSheetId="7">#REF!</definedName>
    <definedName name="_DEC95" localSheetId="5">#REF!</definedName>
    <definedName name="_DEC95" localSheetId="8">#REF!</definedName>
    <definedName name="_DEC95" localSheetId="6">#REF!</definedName>
    <definedName name="_DEC95" localSheetId="10">#REF!</definedName>
    <definedName name="_DEC95" localSheetId="11">#REF!</definedName>
    <definedName name="_DEC95" localSheetId="12">#REF!</definedName>
    <definedName name="_DEC95" localSheetId="13">#REF!</definedName>
    <definedName name="_DEC95" localSheetId="14">#REF!</definedName>
    <definedName name="_DEC95" localSheetId="4">#REF!</definedName>
    <definedName name="_DEC95">#REF!</definedName>
    <definedName name="_DEC96" localSheetId="15">#REF!</definedName>
    <definedName name="_DEC96" localSheetId="16">#REF!</definedName>
    <definedName name="_DEC96" localSheetId="7">#REF!</definedName>
    <definedName name="_DEC96" localSheetId="5">#REF!</definedName>
    <definedName name="_DEC96" localSheetId="8">#REF!</definedName>
    <definedName name="_DEC96" localSheetId="6">#REF!</definedName>
    <definedName name="_DEC96" localSheetId="10">#REF!</definedName>
    <definedName name="_DEC96" localSheetId="11">#REF!</definedName>
    <definedName name="_DEC96" localSheetId="12">#REF!</definedName>
    <definedName name="_DEC96" localSheetId="13">#REF!</definedName>
    <definedName name="_DEC96" localSheetId="14">#REF!</definedName>
    <definedName name="_DEC96" localSheetId="4">#REF!</definedName>
    <definedName name="_DEC96">#REF!</definedName>
    <definedName name="_FEB95" localSheetId="15">#REF!</definedName>
    <definedName name="_FEB95" localSheetId="16">#REF!</definedName>
    <definedName name="_FEB95" localSheetId="7">#REF!</definedName>
    <definedName name="_FEB95" localSheetId="5">#REF!</definedName>
    <definedName name="_FEB95" localSheetId="8">#REF!</definedName>
    <definedName name="_FEB95" localSheetId="6">#REF!</definedName>
    <definedName name="_FEB95" localSheetId="10">#REF!</definedName>
    <definedName name="_FEB95" localSheetId="11">#REF!</definedName>
    <definedName name="_FEB95" localSheetId="12">#REF!</definedName>
    <definedName name="_FEB95" localSheetId="13">#REF!</definedName>
    <definedName name="_FEB95" localSheetId="14">#REF!</definedName>
    <definedName name="_FEB95" localSheetId="4">#REF!</definedName>
    <definedName name="_FEB95">#REF!</definedName>
    <definedName name="_FEB96" localSheetId="15">#REF!</definedName>
    <definedName name="_FEB96" localSheetId="16">#REF!</definedName>
    <definedName name="_FEB96" localSheetId="7">#REF!</definedName>
    <definedName name="_FEB96" localSheetId="5">#REF!</definedName>
    <definedName name="_FEB96" localSheetId="8">#REF!</definedName>
    <definedName name="_FEB96" localSheetId="6">#REF!</definedName>
    <definedName name="_FEB96" localSheetId="10">#REF!</definedName>
    <definedName name="_FEB96" localSheetId="11">#REF!</definedName>
    <definedName name="_FEB96" localSheetId="12">#REF!</definedName>
    <definedName name="_FEB96" localSheetId="13">#REF!</definedName>
    <definedName name="_FEB96" localSheetId="14">#REF!</definedName>
    <definedName name="_FEB96" localSheetId="4">#REF!</definedName>
    <definedName name="_FEB96">#REF!</definedName>
    <definedName name="_FEB97" localSheetId="15">#REF!</definedName>
    <definedName name="_FEB97" localSheetId="16">#REF!</definedName>
    <definedName name="_FEB97" localSheetId="7">#REF!</definedName>
    <definedName name="_FEB97" localSheetId="5">#REF!</definedName>
    <definedName name="_FEB97" localSheetId="8">#REF!</definedName>
    <definedName name="_FEB97" localSheetId="6">#REF!</definedName>
    <definedName name="_FEB97" localSheetId="10">#REF!</definedName>
    <definedName name="_FEB97" localSheetId="11">#REF!</definedName>
    <definedName name="_FEB97" localSheetId="12">#REF!</definedName>
    <definedName name="_FEB97" localSheetId="13">#REF!</definedName>
    <definedName name="_FEB97" localSheetId="14">#REF!</definedName>
    <definedName name="_FEB97" localSheetId="4">#REF!</definedName>
    <definedName name="_FEB97">#REF!</definedName>
    <definedName name="_Fill" localSheetId="15" hidden="1">#REF!</definedName>
    <definedName name="_Fill" localSheetId="16" hidden="1">#REF!</definedName>
    <definedName name="_Fill" localSheetId="7" hidden="1">#REF!</definedName>
    <definedName name="_Fill" localSheetId="5" hidden="1">#REF!</definedName>
    <definedName name="_Fill" localSheetId="8" hidden="1">#REF!</definedName>
    <definedName name="_Fill" localSheetId="6"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4" hidden="1">#REF!</definedName>
    <definedName name="_Fill" hidden="1">#REF!</definedName>
    <definedName name="_JAN95" localSheetId="15">#REF!</definedName>
    <definedName name="_JAN95" localSheetId="16">#REF!</definedName>
    <definedName name="_JAN95" localSheetId="7">#REF!</definedName>
    <definedName name="_JAN95" localSheetId="5">#REF!</definedName>
    <definedName name="_JAN95" localSheetId="8">#REF!</definedName>
    <definedName name="_JAN95" localSheetId="6">#REF!</definedName>
    <definedName name="_JAN95" localSheetId="10">#REF!</definedName>
    <definedName name="_JAN95" localSheetId="11">#REF!</definedName>
    <definedName name="_JAN95" localSheetId="12">#REF!</definedName>
    <definedName name="_JAN95" localSheetId="13">#REF!</definedName>
    <definedName name="_JAN95" localSheetId="14">#REF!</definedName>
    <definedName name="_JAN95" localSheetId="4">#REF!</definedName>
    <definedName name="_JAN95">#REF!</definedName>
    <definedName name="_JAN96" localSheetId="15">#REF!</definedName>
    <definedName name="_JAN96" localSheetId="16">#REF!</definedName>
    <definedName name="_JAN96" localSheetId="7">#REF!</definedName>
    <definedName name="_JAN96" localSheetId="5">#REF!</definedName>
    <definedName name="_JAN96" localSheetId="8">#REF!</definedName>
    <definedName name="_JAN96" localSheetId="6">#REF!</definedName>
    <definedName name="_JAN96" localSheetId="10">#REF!</definedName>
    <definedName name="_JAN96" localSheetId="11">#REF!</definedName>
    <definedName name="_JAN96" localSheetId="12">#REF!</definedName>
    <definedName name="_JAN96" localSheetId="13">#REF!</definedName>
    <definedName name="_JAN96" localSheetId="14">#REF!</definedName>
    <definedName name="_JAN96" localSheetId="4">#REF!</definedName>
    <definedName name="_JAN96">#REF!</definedName>
    <definedName name="_JAN97" localSheetId="15">#REF!</definedName>
    <definedName name="_JAN97" localSheetId="16">#REF!</definedName>
    <definedName name="_JAN97" localSheetId="7">#REF!</definedName>
    <definedName name="_JAN97" localSheetId="5">#REF!</definedName>
    <definedName name="_JAN97" localSheetId="8">#REF!</definedName>
    <definedName name="_JAN97" localSheetId="6">#REF!</definedName>
    <definedName name="_JAN97" localSheetId="10">#REF!</definedName>
    <definedName name="_JAN97" localSheetId="11">#REF!</definedName>
    <definedName name="_JAN97" localSheetId="12">#REF!</definedName>
    <definedName name="_JAN97" localSheetId="13">#REF!</definedName>
    <definedName name="_JAN97" localSheetId="14">#REF!</definedName>
    <definedName name="_JAN97" localSheetId="4">#REF!</definedName>
    <definedName name="_JAN97">#REF!</definedName>
    <definedName name="_JUL94" localSheetId="15">#REF!</definedName>
    <definedName name="_JUL94" localSheetId="16">#REF!</definedName>
    <definedName name="_JUL94" localSheetId="7">#REF!</definedName>
    <definedName name="_JUL94" localSheetId="5">#REF!</definedName>
    <definedName name="_JUL94" localSheetId="8">#REF!</definedName>
    <definedName name="_JUL94" localSheetId="6">#REF!</definedName>
    <definedName name="_JUL94" localSheetId="10">#REF!</definedName>
    <definedName name="_JUL94" localSheetId="11">#REF!</definedName>
    <definedName name="_JUL94" localSheetId="12">#REF!</definedName>
    <definedName name="_JUL94" localSheetId="13">#REF!</definedName>
    <definedName name="_JUL94" localSheetId="14">#REF!</definedName>
    <definedName name="_JUL94" localSheetId="4">#REF!</definedName>
    <definedName name="_JUL94">#REF!</definedName>
    <definedName name="_JUL95" localSheetId="15">#REF!</definedName>
    <definedName name="_JUL95" localSheetId="16">#REF!</definedName>
    <definedName name="_JUL95" localSheetId="7">#REF!</definedName>
    <definedName name="_JUL95" localSheetId="5">#REF!</definedName>
    <definedName name="_JUL95" localSheetId="8">#REF!</definedName>
    <definedName name="_JUL95" localSheetId="6">#REF!</definedName>
    <definedName name="_JUL95" localSheetId="10">#REF!</definedName>
    <definedName name="_JUL95" localSheetId="11">#REF!</definedName>
    <definedName name="_JUL95" localSheetId="12">#REF!</definedName>
    <definedName name="_JUL95" localSheetId="13">#REF!</definedName>
    <definedName name="_JUL95" localSheetId="14">#REF!</definedName>
    <definedName name="_JUL95" localSheetId="4">#REF!</definedName>
    <definedName name="_JUL95">#REF!</definedName>
    <definedName name="_JUL96" localSheetId="15">#REF!</definedName>
    <definedName name="_JUL96" localSheetId="16">#REF!</definedName>
    <definedName name="_JUL96" localSheetId="7">#REF!</definedName>
    <definedName name="_JUL96" localSheetId="5">#REF!</definedName>
    <definedName name="_JUL96" localSheetId="8">#REF!</definedName>
    <definedName name="_JUL96" localSheetId="6">#REF!</definedName>
    <definedName name="_JUL96" localSheetId="10">#REF!</definedName>
    <definedName name="_JUL96" localSheetId="11">#REF!</definedName>
    <definedName name="_JUL96" localSheetId="12">#REF!</definedName>
    <definedName name="_JUL96" localSheetId="13">#REF!</definedName>
    <definedName name="_JUL96" localSheetId="14">#REF!</definedName>
    <definedName name="_JUL96" localSheetId="4">#REF!</definedName>
    <definedName name="_JUL96">#REF!</definedName>
    <definedName name="_JUL97" localSheetId="15">#REF!</definedName>
    <definedName name="_JUL97" localSheetId="16">#REF!</definedName>
    <definedName name="_JUL97" localSheetId="7">#REF!</definedName>
    <definedName name="_JUL97" localSheetId="5">#REF!</definedName>
    <definedName name="_JUL97" localSheetId="8">#REF!</definedName>
    <definedName name="_JUL97" localSheetId="6">#REF!</definedName>
    <definedName name="_JUL97" localSheetId="10">#REF!</definedName>
    <definedName name="_JUL97" localSheetId="11">#REF!</definedName>
    <definedName name="_JUL97" localSheetId="12">#REF!</definedName>
    <definedName name="_JUL97" localSheetId="13">#REF!</definedName>
    <definedName name="_JUL97" localSheetId="14">#REF!</definedName>
    <definedName name="_JUL97" localSheetId="4">#REF!</definedName>
    <definedName name="_JUL97">#REF!</definedName>
    <definedName name="_JUN94" localSheetId="15">#REF!</definedName>
    <definedName name="_JUN94" localSheetId="16">#REF!</definedName>
    <definedName name="_JUN94" localSheetId="7">#REF!</definedName>
    <definedName name="_JUN94" localSheetId="5">#REF!</definedName>
    <definedName name="_JUN94" localSheetId="8">#REF!</definedName>
    <definedName name="_JUN94" localSheetId="6">#REF!</definedName>
    <definedName name="_JUN94" localSheetId="10">#REF!</definedName>
    <definedName name="_JUN94" localSheetId="11">#REF!</definedName>
    <definedName name="_JUN94" localSheetId="12">#REF!</definedName>
    <definedName name="_JUN94" localSheetId="13">#REF!</definedName>
    <definedName name="_JUN94" localSheetId="14">#REF!</definedName>
    <definedName name="_JUN94" localSheetId="4">#REF!</definedName>
    <definedName name="_JUN94">#REF!</definedName>
    <definedName name="_JUN95" localSheetId="15">#REF!</definedName>
    <definedName name="_JUN95" localSheetId="16">#REF!</definedName>
    <definedName name="_JUN95" localSheetId="7">#REF!</definedName>
    <definedName name="_JUN95" localSheetId="5">#REF!</definedName>
    <definedName name="_JUN95" localSheetId="8">#REF!</definedName>
    <definedName name="_JUN95" localSheetId="6">#REF!</definedName>
    <definedName name="_JUN95" localSheetId="10">#REF!</definedName>
    <definedName name="_JUN95" localSheetId="11">#REF!</definedName>
    <definedName name="_JUN95" localSheetId="12">#REF!</definedName>
    <definedName name="_JUN95" localSheetId="13">#REF!</definedName>
    <definedName name="_JUN95" localSheetId="14">#REF!</definedName>
    <definedName name="_JUN95" localSheetId="4">#REF!</definedName>
    <definedName name="_JUN95">#REF!</definedName>
    <definedName name="_JUN96" localSheetId="15">#REF!</definedName>
    <definedName name="_JUN96" localSheetId="16">#REF!</definedName>
    <definedName name="_JUN96" localSheetId="7">#REF!</definedName>
    <definedName name="_JUN96" localSheetId="5">#REF!</definedName>
    <definedName name="_JUN96" localSheetId="8">#REF!</definedName>
    <definedName name="_JUN96" localSheetId="6">#REF!</definedName>
    <definedName name="_JUN96" localSheetId="10">#REF!</definedName>
    <definedName name="_JUN96" localSheetId="11">#REF!</definedName>
    <definedName name="_JUN96" localSheetId="12">#REF!</definedName>
    <definedName name="_JUN96" localSheetId="13">#REF!</definedName>
    <definedName name="_JUN96" localSheetId="14">#REF!</definedName>
    <definedName name="_JUN96" localSheetId="4">#REF!</definedName>
    <definedName name="_JUN96">#REF!</definedName>
    <definedName name="_JUN97" localSheetId="15">#REF!</definedName>
    <definedName name="_JUN97" localSheetId="16">#REF!</definedName>
    <definedName name="_JUN97" localSheetId="7">#REF!</definedName>
    <definedName name="_JUN97" localSheetId="5">#REF!</definedName>
    <definedName name="_JUN97" localSheetId="8">#REF!</definedName>
    <definedName name="_JUN97" localSheetId="6">#REF!</definedName>
    <definedName name="_JUN97" localSheetId="10">#REF!</definedName>
    <definedName name="_JUN97" localSheetId="11">#REF!</definedName>
    <definedName name="_JUN97" localSheetId="12">#REF!</definedName>
    <definedName name="_JUN97" localSheetId="13">#REF!</definedName>
    <definedName name="_JUN97" localSheetId="14">#REF!</definedName>
    <definedName name="_JUN97" localSheetId="4">#REF!</definedName>
    <definedName name="_JUN97">#REF!</definedName>
    <definedName name="_Key1" localSheetId="15" hidden="1">#REF!</definedName>
    <definedName name="_Key1" localSheetId="16" hidden="1">#REF!</definedName>
    <definedName name="_Key1" localSheetId="7" hidden="1">#REF!</definedName>
    <definedName name="_Key1" localSheetId="5" hidden="1">#REF!</definedName>
    <definedName name="_Key1" localSheetId="8" hidden="1">#REF!</definedName>
    <definedName name="_Key1" localSheetId="6"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4" hidden="1">#REF!</definedName>
    <definedName name="_Key1" hidden="1">#REF!</definedName>
    <definedName name="_Key2" localSheetId="15" hidden="1">#REF!</definedName>
    <definedName name="_Key2" localSheetId="16" hidden="1">#REF!</definedName>
    <definedName name="_Key2" localSheetId="7" hidden="1">#REF!</definedName>
    <definedName name="_Key2" localSheetId="5" hidden="1">#REF!</definedName>
    <definedName name="_Key2" localSheetId="8" hidden="1">#REF!</definedName>
    <definedName name="_Key2" localSheetId="6" hidden="1">#REF!</definedName>
    <definedName name="_Key2" localSheetId="10"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4" hidden="1">#REF!</definedName>
    <definedName name="_Key2" hidden="1">#REF!</definedName>
    <definedName name="_MAR95" localSheetId="15">#REF!</definedName>
    <definedName name="_MAR95" localSheetId="16">#REF!</definedName>
    <definedName name="_MAR95" localSheetId="7">#REF!</definedName>
    <definedName name="_MAR95" localSheetId="5">#REF!</definedName>
    <definedName name="_MAR95" localSheetId="8">#REF!</definedName>
    <definedName name="_MAR95" localSheetId="6">#REF!</definedName>
    <definedName name="_MAR95" localSheetId="10">#REF!</definedName>
    <definedName name="_MAR95" localSheetId="11">#REF!</definedName>
    <definedName name="_MAR95" localSheetId="12">#REF!</definedName>
    <definedName name="_MAR95" localSheetId="13">#REF!</definedName>
    <definedName name="_MAR95" localSheetId="14">#REF!</definedName>
    <definedName name="_MAR95" localSheetId="4">#REF!</definedName>
    <definedName name="_MAR95">#REF!</definedName>
    <definedName name="_MAR96" localSheetId="15">#REF!</definedName>
    <definedName name="_MAR96" localSheetId="16">#REF!</definedName>
    <definedName name="_MAR96" localSheetId="7">#REF!</definedName>
    <definedName name="_MAR96" localSheetId="5">#REF!</definedName>
    <definedName name="_MAR96" localSheetId="8">#REF!</definedName>
    <definedName name="_MAR96" localSheetId="6">#REF!</definedName>
    <definedName name="_MAR96" localSheetId="10">#REF!</definedName>
    <definedName name="_MAR96" localSheetId="11">#REF!</definedName>
    <definedName name="_MAR96" localSheetId="12">#REF!</definedName>
    <definedName name="_MAR96" localSheetId="13">#REF!</definedName>
    <definedName name="_MAR96" localSheetId="14">#REF!</definedName>
    <definedName name="_MAR96" localSheetId="4">#REF!</definedName>
    <definedName name="_MAR96">#REF!</definedName>
    <definedName name="_MAR97" localSheetId="15">#REF!</definedName>
    <definedName name="_MAR97" localSheetId="16">#REF!</definedName>
    <definedName name="_MAR97" localSheetId="7">#REF!</definedName>
    <definedName name="_MAR97" localSheetId="5">#REF!</definedName>
    <definedName name="_MAR97" localSheetId="8">#REF!</definedName>
    <definedName name="_MAR97" localSheetId="6">#REF!</definedName>
    <definedName name="_MAR97" localSheetId="10">#REF!</definedName>
    <definedName name="_MAR97" localSheetId="11">#REF!</definedName>
    <definedName name="_MAR97" localSheetId="12">#REF!</definedName>
    <definedName name="_MAR97" localSheetId="13">#REF!</definedName>
    <definedName name="_MAR97" localSheetId="14">#REF!</definedName>
    <definedName name="_MAR97" localSheetId="4">#REF!</definedName>
    <definedName name="_MAR97">#REF!</definedName>
    <definedName name="_MAY94" localSheetId="15">#REF!</definedName>
    <definedName name="_MAY94" localSheetId="16">#REF!</definedName>
    <definedName name="_MAY94" localSheetId="7">#REF!</definedName>
    <definedName name="_MAY94" localSheetId="5">#REF!</definedName>
    <definedName name="_MAY94" localSheetId="8">#REF!</definedName>
    <definedName name="_MAY94" localSheetId="6">#REF!</definedName>
    <definedName name="_MAY94" localSheetId="10">#REF!</definedName>
    <definedName name="_MAY94" localSheetId="11">#REF!</definedName>
    <definedName name="_MAY94" localSheetId="12">#REF!</definedName>
    <definedName name="_MAY94" localSheetId="13">#REF!</definedName>
    <definedName name="_MAY94" localSheetId="14">#REF!</definedName>
    <definedName name="_MAY94" localSheetId="4">#REF!</definedName>
    <definedName name="_MAY94">#REF!</definedName>
    <definedName name="_MAY95" localSheetId="15">#REF!</definedName>
    <definedName name="_MAY95" localSheetId="16">#REF!</definedName>
    <definedName name="_MAY95" localSheetId="7">#REF!</definedName>
    <definedName name="_MAY95" localSheetId="5">#REF!</definedName>
    <definedName name="_MAY95" localSheetId="8">#REF!</definedName>
    <definedName name="_MAY95" localSheetId="6">#REF!</definedName>
    <definedName name="_MAY95" localSheetId="10">#REF!</definedName>
    <definedName name="_MAY95" localSheetId="11">#REF!</definedName>
    <definedName name="_MAY95" localSheetId="12">#REF!</definedName>
    <definedName name="_MAY95" localSheetId="13">#REF!</definedName>
    <definedName name="_MAY95" localSheetId="14">#REF!</definedName>
    <definedName name="_MAY95" localSheetId="4">#REF!</definedName>
    <definedName name="_MAY95">#REF!</definedName>
    <definedName name="_MAY96" localSheetId="15">#REF!</definedName>
    <definedName name="_MAY96" localSheetId="16">#REF!</definedName>
    <definedName name="_MAY96" localSheetId="7">#REF!</definedName>
    <definedName name="_MAY96" localSheetId="5">#REF!</definedName>
    <definedName name="_MAY96" localSheetId="8">#REF!</definedName>
    <definedName name="_MAY96" localSheetId="6">#REF!</definedName>
    <definedName name="_MAY96" localSheetId="10">#REF!</definedName>
    <definedName name="_MAY96" localSheetId="11">#REF!</definedName>
    <definedName name="_MAY96" localSheetId="12">#REF!</definedName>
    <definedName name="_MAY96" localSheetId="13">#REF!</definedName>
    <definedName name="_MAY96" localSheetId="14">#REF!</definedName>
    <definedName name="_MAY96" localSheetId="4">#REF!</definedName>
    <definedName name="_MAY96">#REF!</definedName>
    <definedName name="_NCF2" localSheetId="15">#REF!</definedName>
    <definedName name="_NCF2" localSheetId="16">#REF!</definedName>
    <definedName name="_NCF2" localSheetId="7">#REF!</definedName>
    <definedName name="_NCF2" localSheetId="5">#REF!</definedName>
    <definedName name="_NCF2" localSheetId="8">#REF!</definedName>
    <definedName name="_NCF2" localSheetId="6">#REF!</definedName>
    <definedName name="_NCF2" localSheetId="10">#REF!</definedName>
    <definedName name="_NCF2" localSheetId="11">#REF!</definedName>
    <definedName name="_NCF2" localSheetId="12">#REF!</definedName>
    <definedName name="_NCF2" localSheetId="13">#REF!</definedName>
    <definedName name="_NCF2" localSheetId="14">#REF!</definedName>
    <definedName name="_NCF2" localSheetId="4">#REF!</definedName>
    <definedName name="_NCF2">#REF!</definedName>
    <definedName name="_NO94" localSheetId="15">#REF!</definedName>
    <definedName name="_NO94" localSheetId="16">#REF!</definedName>
    <definedName name="_NO94" localSheetId="7">#REF!</definedName>
    <definedName name="_NO94" localSheetId="5">#REF!</definedName>
    <definedName name="_NO94" localSheetId="8">#REF!</definedName>
    <definedName name="_NO94" localSheetId="6">#REF!</definedName>
    <definedName name="_NO94" localSheetId="10">#REF!</definedName>
    <definedName name="_NO94" localSheetId="11">#REF!</definedName>
    <definedName name="_NO94" localSheetId="12">#REF!</definedName>
    <definedName name="_NO94" localSheetId="13">#REF!</definedName>
    <definedName name="_NO94" localSheetId="14">#REF!</definedName>
    <definedName name="_NO94" localSheetId="4">#REF!</definedName>
    <definedName name="_NO94">#REF!</definedName>
    <definedName name="_NOV94" localSheetId="15">#REF!</definedName>
    <definedName name="_NOV94" localSheetId="16">#REF!</definedName>
    <definedName name="_NOV94" localSheetId="7">#REF!</definedName>
    <definedName name="_NOV94" localSheetId="5">#REF!</definedName>
    <definedName name="_NOV94" localSheetId="8">#REF!</definedName>
    <definedName name="_NOV94" localSheetId="6">#REF!</definedName>
    <definedName name="_NOV94" localSheetId="10">#REF!</definedName>
    <definedName name="_NOV94" localSheetId="11">#REF!</definedName>
    <definedName name="_NOV94" localSheetId="12">#REF!</definedName>
    <definedName name="_NOV94" localSheetId="13">#REF!</definedName>
    <definedName name="_NOV94" localSheetId="14">#REF!</definedName>
    <definedName name="_NOV94" localSheetId="4">#REF!</definedName>
    <definedName name="_NOV94">#REF!</definedName>
    <definedName name="_NOV95" localSheetId="15">#REF!</definedName>
    <definedName name="_NOV95" localSheetId="16">#REF!</definedName>
    <definedName name="_NOV95" localSheetId="7">#REF!</definedName>
    <definedName name="_NOV95" localSheetId="5">#REF!</definedName>
    <definedName name="_NOV95" localSheetId="8">#REF!</definedName>
    <definedName name="_NOV95" localSheetId="6">#REF!</definedName>
    <definedName name="_NOV95" localSheetId="10">#REF!</definedName>
    <definedName name="_NOV95" localSheetId="11">#REF!</definedName>
    <definedName name="_NOV95" localSheetId="12">#REF!</definedName>
    <definedName name="_NOV95" localSheetId="13">#REF!</definedName>
    <definedName name="_NOV95" localSheetId="14">#REF!</definedName>
    <definedName name="_NOV95" localSheetId="4">#REF!</definedName>
    <definedName name="_NOV95">#REF!</definedName>
    <definedName name="_NOV97" localSheetId="15">#REF!</definedName>
    <definedName name="_NOV97" localSheetId="16">#REF!</definedName>
    <definedName name="_NOV97" localSheetId="7">#REF!</definedName>
    <definedName name="_NOV97" localSheetId="5">#REF!</definedName>
    <definedName name="_NOV97" localSheetId="8">#REF!</definedName>
    <definedName name="_NOV97" localSheetId="6">#REF!</definedName>
    <definedName name="_NOV97" localSheetId="10">#REF!</definedName>
    <definedName name="_NOV97" localSheetId="11">#REF!</definedName>
    <definedName name="_NOV97" localSheetId="12">#REF!</definedName>
    <definedName name="_NOV97" localSheetId="13">#REF!</definedName>
    <definedName name="_NOV97" localSheetId="14">#REF!</definedName>
    <definedName name="_NOV97" localSheetId="4">#REF!</definedName>
    <definedName name="_NOV97">#REF!</definedName>
    <definedName name="_OCT94" localSheetId="15">#REF!</definedName>
    <definedName name="_OCT94" localSheetId="16">#REF!</definedName>
    <definedName name="_OCT94" localSheetId="7">#REF!</definedName>
    <definedName name="_OCT94" localSheetId="5">#REF!</definedName>
    <definedName name="_OCT94" localSheetId="8">#REF!</definedName>
    <definedName name="_OCT94" localSheetId="6">#REF!</definedName>
    <definedName name="_OCT94" localSheetId="10">#REF!</definedName>
    <definedName name="_OCT94" localSheetId="11">#REF!</definedName>
    <definedName name="_OCT94" localSheetId="12">#REF!</definedName>
    <definedName name="_OCT94" localSheetId="13">#REF!</definedName>
    <definedName name="_OCT94" localSheetId="14">#REF!</definedName>
    <definedName name="_OCT94" localSheetId="4">#REF!</definedName>
    <definedName name="_OCT94">#REF!</definedName>
    <definedName name="_OCT95" localSheetId="15">#REF!</definedName>
    <definedName name="_OCT95" localSheetId="16">#REF!</definedName>
    <definedName name="_OCT95" localSheetId="7">#REF!</definedName>
    <definedName name="_OCT95" localSheetId="5">#REF!</definedName>
    <definedName name="_OCT95" localSheetId="8">#REF!</definedName>
    <definedName name="_OCT95" localSheetId="6">#REF!</definedName>
    <definedName name="_OCT95" localSheetId="10">#REF!</definedName>
    <definedName name="_OCT95" localSheetId="11">#REF!</definedName>
    <definedName name="_OCT95" localSheetId="12">#REF!</definedName>
    <definedName name="_OCT95" localSheetId="13">#REF!</definedName>
    <definedName name="_OCT95" localSheetId="14">#REF!</definedName>
    <definedName name="_OCT95" localSheetId="4">#REF!</definedName>
    <definedName name="_OCT95">#REF!</definedName>
    <definedName name="_OCT97" localSheetId="15">#REF!</definedName>
    <definedName name="_OCT97" localSheetId="16">#REF!</definedName>
    <definedName name="_OCT97" localSheetId="7">#REF!</definedName>
    <definedName name="_OCT97" localSheetId="5">#REF!</definedName>
    <definedName name="_OCT97" localSheetId="8">#REF!</definedName>
    <definedName name="_OCT97" localSheetId="6">#REF!</definedName>
    <definedName name="_OCT97" localSheetId="10">#REF!</definedName>
    <definedName name="_OCT97" localSheetId="11">#REF!</definedName>
    <definedName name="_OCT97" localSheetId="12">#REF!</definedName>
    <definedName name="_OCT97" localSheetId="13">#REF!</definedName>
    <definedName name="_OCT97" localSheetId="14">#REF!</definedName>
    <definedName name="_OCT97" localSheetId="4">#REF!</definedName>
    <definedName name="_OCT97">#REF!</definedName>
    <definedName name="_Order1" hidden="1">0</definedName>
    <definedName name="_Order2" hidden="1">255</definedName>
    <definedName name="_SEP94" localSheetId="15">#REF!</definedName>
    <definedName name="_SEP94" localSheetId="16">#REF!</definedName>
    <definedName name="_SEP94" localSheetId="7">#REF!</definedName>
    <definedName name="_SEP94" localSheetId="5">#REF!</definedName>
    <definedName name="_SEP94" localSheetId="8">#REF!</definedName>
    <definedName name="_SEP94" localSheetId="6">#REF!</definedName>
    <definedName name="_SEP94" localSheetId="10">#REF!</definedName>
    <definedName name="_SEP94" localSheetId="11">#REF!</definedName>
    <definedName name="_SEP94" localSheetId="12">#REF!</definedName>
    <definedName name="_SEP94" localSheetId="20">#REF!</definedName>
    <definedName name="_SEP94" localSheetId="13">#REF!</definedName>
    <definedName name="_SEP94" localSheetId="14">#REF!</definedName>
    <definedName name="_SEP94" localSheetId="4">#REF!</definedName>
    <definedName name="_SEP94">#REF!</definedName>
    <definedName name="_SEP95" localSheetId="15">#REF!</definedName>
    <definedName name="_SEP95" localSheetId="16">#REF!</definedName>
    <definedName name="_SEP95" localSheetId="7">#REF!</definedName>
    <definedName name="_SEP95" localSheetId="5">#REF!</definedName>
    <definedName name="_SEP95" localSheetId="8">#REF!</definedName>
    <definedName name="_SEP95" localSheetId="6">#REF!</definedName>
    <definedName name="_SEP95" localSheetId="10">#REF!</definedName>
    <definedName name="_SEP95" localSheetId="11">#REF!</definedName>
    <definedName name="_SEP95" localSheetId="12">#REF!</definedName>
    <definedName name="_SEP95" localSheetId="13">#REF!</definedName>
    <definedName name="_SEP95" localSheetId="14">#REF!</definedName>
    <definedName name="_SEP95" localSheetId="4">#REF!</definedName>
    <definedName name="_SEP95">#REF!</definedName>
    <definedName name="_SEP97" localSheetId="15">#REF!</definedName>
    <definedName name="_SEP97" localSheetId="16">#REF!</definedName>
    <definedName name="_SEP97" localSheetId="7">#REF!</definedName>
    <definedName name="_SEP97" localSheetId="5">#REF!</definedName>
    <definedName name="_SEP97" localSheetId="8">#REF!</definedName>
    <definedName name="_SEP97" localSheetId="6">#REF!</definedName>
    <definedName name="_SEP97" localSheetId="10">#REF!</definedName>
    <definedName name="_SEP97" localSheetId="11">#REF!</definedName>
    <definedName name="_SEP97" localSheetId="12">#REF!</definedName>
    <definedName name="_SEP97" localSheetId="13">#REF!</definedName>
    <definedName name="_SEP97" localSheetId="14">#REF!</definedName>
    <definedName name="_SEP97" localSheetId="4">#REF!</definedName>
    <definedName name="_SEP97">#REF!</definedName>
    <definedName name="_Sort" localSheetId="15" hidden="1">#REF!</definedName>
    <definedName name="_Sort" localSheetId="16" hidden="1">#REF!</definedName>
    <definedName name="_Sort" localSheetId="7" hidden="1">#REF!</definedName>
    <definedName name="_Sort" localSheetId="5" hidden="1">#REF!</definedName>
    <definedName name="_Sort" localSheetId="8" hidden="1">#REF!</definedName>
    <definedName name="_Sort" localSheetId="6"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4" hidden="1">#REF!</definedName>
    <definedName name="_Sort" hidden="1">#REF!</definedName>
    <definedName name="BD" localSheetId="15">#REF!</definedName>
    <definedName name="BD" localSheetId="16">#REF!</definedName>
    <definedName name="BD" localSheetId="7">#REF!</definedName>
    <definedName name="BD" localSheetId="5">#REF!</definedName>
    <definedName name="BD" localSheetId="8">#REF!</definedName>
    <definedName name="BD" localSheetId="6">#REF!</definedName>
    <definedName name="BD" localSheetId="10">#REF!</definedName>
    <definedName name="BD" localSheetId="11">#REF!</definedName>
    <definedName name="BD" localSheetId="12">#REF!</definedName>
    <definedName name="BD" localSheetId="13">#REF!</definedName>
    <definedName name="BD" localSheetId="14">#REF!</definedName>
    <definedName name="BD" localSheetId="4">#REF!</definedName>
    <definedName name="BD">#REF!</definedName>
    <definedName name="BDS" localSheetId="15">#REF!</definedName>
    <definedName name="BDS" localSheetId="16">#REF!</definedName>
    <definedName name="BDS" localSheetId="7">#REF!</definedName>
    <definedName name="BDS" localSheetId="5">#REF!</definedName>
    <definedName name="BDS" localSheetId="8">#REF!</definedName>
    <definedName name="BDS" localSheetId="6">#REF!</definedName>
    <definedName name="BDS" localSheetId="10">#REF!</definedName>
    <definedName name="BDS" localSheetId="11">#REF!</definedName>
    <definedName name="BDS" localSheetId="12">#REF!</definedName>
    <definedName name="BDS" localSheetId="13">#REF!</definedName>
    <definedName name="BDS" localSheetId="14">#REF!</definedName>
    <definedName name="BDS" localSheetId="4">#REF!</definedName>
    <definedName name="BDS">#REF!</definedName>
    <definedName name="BRPFT" localSheetId="15">#REF!</definedName>
    <definedName name="BRPFT" localSheetId="16">#REF!</definedName>
    <definedName name="BRPFT" localSheetId="7">#REF!</definedName>
    <definedName name="BRPFT" localSheetId="5">#REF!</definedName>
    <definedName name="BRPFT" localSheetId="8">#REF!</definedName>
    <definedName name="BRPFT" localSheetId="6">#REF!</definedName>
    <definedName name="BRPFT" localSheetId="10">#REF!</definedName>
    <definedName name="BRPFT" localSheetId="11">#REF!</definedName>
    <definedName name="BRPFT" localSheetId="12">#REF!</definedName>
    <definedName name="BRPFT" localSheetId="13">#REF!</definedName>
    <definedName name="BRPFT" localSheetId="14">#REF!</definedName>
    <definedName name="BRPFT" localSheetId="4">#REF!</definedName>
    <definedName name="BRPFT">#REF!</definedName>
    <definedName name="CALGARY" localSheetId="15">#REF!</definedName>
    <definedName name="CALGARY" localSheetId="16">#REF!</definedName>
    <definedName name="CALGARY" localSheetId="7">#REF!</definedName>
    <definedName name="CALGARY" localSheetId="5">#REF!</definedName>
    <definedName name="CALGARY" localSheetId="8">#REF!</definedName>
    <definedName name="CALGARY" localSheetId="6">#REF!</definedName>
    <definedName name="CALGARY" localSheetId="10">#REF!</definedName>
    <definedName name="CALGARY" localSheetId="11">#REF!</definedName>
    <definedName name="CALGARY" localSheetId="12">#REF!</definedName>
    <definedName name="CALGARY" localSheetId="13">#REF!</definedName>
    <definedName name="CALGARY" localSheetId="14">#REF!</definedName>
    <definedName name="CALGARY" localSheetId="4">#REF!</definedName>
    <definedName name="CALGARY">#REF!</definedName>
    <definedName name="cci_end_price_Q206" localSheetId="6">'[1]CCI Stock Prices'!$I$39</definedName>
    <definedName name="cci_end_price_Q206" localSheetId="9">'[1]CCI Stock Prices'!$I$39</definedName>
    <definedName name="cci_end_price_Q206" localSheetId="10">'[1]CCI Stock Prices'!$I$39</definedName>
    <definedName name="cci_end_price_Q206" localSheetId="11">'[1]CCI Stock Prices'!$I$39</definedName>
    <definedName name="cci_end_price_Q206" localSheetId="12">'[1]CCI Stock Prices'!$I$39</definedName>
    <definedName name="cci_end_price_Q206" localSheetId="20">'[1]CCI Stock Prices'!$I$39</definedName>
    <definedName name="cci_end_price_Q206">'[1]CCI Stock Prices'!$I$39</definedName>
    <definedName name="com" localSheetId="15">#REF!</definedName>
    <definedName name="com" localSheetId="16">#REF!</definedName>
    <definedName name="com" localSheetId="7">#REF!</definedName>
    <definedName name="com" localSheetId="5">#REF!</definedName>
    <definedName name="com" localSheetId="8">#REF!</definedName>
    <definedName name="com" localSheetId="6">#REF!</definedName>
    <definedName name="com" localSheetId="10">#REF!</definedName>
    <definedName name="com" localSheetId="11">#REF!</definedName>
    <definedName name="com" localSheetId="12">#REF!</definedName>
    <definedName name="com" localSheetId="20">#REF!</definedName>
    <definedName name="com" localSheetId="13">#REF!</definedName>
    <definedName name="com" localSheetId="14">#REF!</definedName>
    <definedName name="com" localSheetId="4">#REF!</definedName>
    <definedName name="com">#REF!</definedName>
    <definedName name="INCTAX" localSheetId="15">#REF!</definedName>
    <definedName name="INCTAX" localSheetId="16">#REF!</definedName>
    <definedName name="INCTAX" localSheetId="7">#REF!</definedName>
    <definedName name="INCTAX" localSheetId="5">#REF!</definedName>
    <definedName name="INCTAX" localSheetId="8">#REF!</definedName>
    <definedName name="INCTAX" localSheetId="6">#REF!</definedName>
    <definedName name="INCTAX" localSheetId="10">#REF!</definedName>
    <definedName name="INCTAX" localSheetId="11">#REF!</definedName>
    <definedName name="INCTAX" localSheetId="12">#REF!</definedName>
    <definedName name="INCTAX" localSheetId="13">#REF!</definedName>
    <definedName name="INCTAX" localSheetId="14">#REF!</definedName>
    <definedName name="INCTAX" localSheetId="4">#REF!</definedName>
    <definedName name="INCTAX">#REF!</definedName>
    <definedName name="NCF" localSheetId="15">#REF!</definedName>
    <definedName name="NCF" localSheetId="16">#REF!</definedName>
    <definedName name="NCF" localSheetId="7">#REF!</definedName>
    <definedName name="NCF" localSheetId="5">#REF!</definedName>
    <definedName name="NCF" localSheetId="8">#REF!</definedName>
    <definedName name="NCF" localSheetId="6">#REF!</definedName>
    <definedName name="NCF" localSheetId="10">#REF!</definedName>
    <definedName name="NCF" localSheetId="11">#REF!</definedName>
    <definedName name="NCF" localSheetId="12">#REF!</definedName>
    <definedName name="NCF" localSheetId="13">#REF!</definedName>
    <definedName name="NCF" localSheetId="14">#REF!</definedName>
    <definedName name="NCF" localSheetId="4">#REF!</definedName>
    <definedName name="NCF">#REF!</definedName>
    <definedName name="OLE_LINK30" localSheetId="4">'MDA Tables'!$C$223</definedName>
    <definedName name="OLE_LINK40" localSheetId="4">'MDA Tables'!$C$20</definedName>
    <definedName name="p" localSheetId="15">#REF!</definedName>
    <definedName name="p" localSheetId="16">#REF!</definedName>
    <definedName name="p" localSheetId="7">#REF!</definedName>
    <definedName name="p" localSheetId="5">#REF!</definedName>
    <definedName name="p" localSheetId="8">#REF!</definedName>
    <definedName name="p" localSheetId="6">#REF!</definedName>
    <definedName name="p" localSheetId="10">#REF!</definedName>
    <definedName name="p" localSheetId="11">#REF!</definedName>
    <definedName name="p" localSheetId="12">#REF!</definedName>
    <definedName name="p" localSheetId="13">#REF!</definedName>
    <definedName name="p" localSheetId="14">#REF!</definedName>
    <definedName name="p" localSheetId="4">#REF!</definedName>
    <definedName name="p">#REF!</definedName>
    <definedName name="PAGE_" localSheetId="15">#REF!</definedName>
    <definedName name="PAGE_" localSheetId="16">#REF!</definedName>
    <definedName name="PAGE_" localSheetId="7">#REF!</definedName>
    <definedName name="PAGE_" localSheetId="5">#REF!</definedName>
    <definedName name="PAGE_" localSheetId="8">#REF!</definedName>
    <definedName name="PAGE_" localSheetId="6">#REF!</definedName>
    <definedName name="PAGE_" localSheetId="10">#REF!</definedName>
    <definedName name="PAGE_" localSheetId="11">#REF!</definedName>
    <definedName name="PAGE_" localSheetId="12">#REF!</definedName>
    <definedName name="PAGE_" localSheetId="13">#REF!</definedName>
    <definedName name="PAGE_" localSheetId="14">#REF!</definedName>
    <definedName name="PAGE_" localSheetId="4">#REF!</definedName>
    <definedName name="PAGE_">#REF!</definedName>
    <definedName name="PAGE1" localSheetId="15">#REF!</definedName>
    <definedName name="PAGE1" localSheetId="16">#REF!</definedName>
    <definedName name="PAGE1" localSheetId="7">#REF!</definedName>
    <definedName name="PAGE1" localSheetId="5">#REF!</definedName>
    <definedName name="PAGE1" localSheetId="8">#REF!</definedName>
    <definedName name="PAGE1" localSheetId="6">#REF!</definedName>
    <definedName name="PAGE1" localSheetId="10">#REF!</definedName>
    <definedName name="PAGE1" localSheetId="11">#REF!</definedName>
    <definedName name="PAGE1" localSheetId="12">#REF!</definedName>
    <definedName name="PAGE1" localSheetId="13">#REF!</definedName>
    <definedName name="PAGE1" localSheetId="14">#REF!</definedName>
    <definedName name="PAGE1" localSheetId="4">#REF!</definedName>
    <definedName name="PAGE1">#REF!</definedName>
    <definedName name="PAGE2" localSheetId="15">#REF!</definedName>
    <definedName name="PAGE2" localSheetId="16">#REF!</definedName>
    <definedName name="PAGE2" localSheetId="7">#REF!</definedName>
    <definedName name="PAGE2" localSheetId="5">#REF!</definedName>
    <definedName name="PAGE2" localSheetId="8">#REF!</definedName>
    <definedName name="PAGE2" localSheetId="6">#REF!</definedName>
    <definedName name="PAGE2" localSheetId="10">#REF!</definedName>
    <definedName name="PAGE2" localSheetId="11">#REF!</definedName>
    <definedName name="PAGE2" localSheetId="12">#REF!</definedName>
    <definedName name="PAGE2" localSheetId="13">#REF!</definedName>
    <definedName name="PAGE2" localSheetId="14">#REF!</definedName>
    <definedName name="PAGE2" localSheetId="4">#REF!</definedName>
    <definedName name="PAGE2">#REF!</definedName>
    <definedName name="PAGE3" localSheetId="15">#REF!</definedName>
    <definedName name="PAGE3" localSheetId="16">#REF!</definedName>
    <definedName name="PAGE3" localSheetId="7">#REF!</definedName>
    <definedName name="PAGE3" localSheetId="5">#REF!</definedName>
    <definedName name="PAGE3" localSheetId="8">#REF!</definedName>
    <definedName name="PAGE3" localSheetId="6">#REF!</definedName>
    <definedName name="PAGE3" localSheetId="10">#REF!</definedName>
    <definedName name="PAGE3" localSheetId="11">#REF!</definedName>
    <definedName name="PAGE3" localSheetId="12">#REF!</definedName>
    <definedName name="PAGE3" localSheetId="13">#REF!</definedName>
    <definedName name="PAGE3" localSheetId="14">#REF!</definedName>
    <definedName name="PAGE3" localSheetId="4">#REF!</definedName>
    <definedName name="PAGE3">#REF!</definedName>
    <definedName name="PAGE4" localSheetId="15">#REF!</definedName>
    <definedName name="PAGE4" localSheetId="16">#REF!</definedName>
    <definedName name="PAGE4" localSheetId="7">#REF!</definedName>
    <definedName name="PAGE4" localSheetId="5">#REF!</definedName>
    <definedName name="PAGE4" localSheetId="8">#REF!</definedName>
    <definedName name="PAGE4" localSheetId="6">#REF!</definedName>
    <definedName name="PAGE4" localSheetId="10">#REF!</definedName>
    <definedName name="PAGE4" localSheetId="11">#REF!</definedName>
    <definedName name="PAGE4" localSheetId="12">#REF!</definedName>
    <definedName name="PAGE4" localSheetId="13">#REF!</definedName>
    <definedName name="PAGE4" localSheetId="14">#REF!</definedName>
    <definedName name="PAGE4" localSheetId="4">#REF!</definedName>
    <definedName name="PAGE4">#REF!</definedName>
    <definedName name="PAGE6" localSheetId="15">#REF!</definedName>
    <definedName name="PAGE6" localSheetId="16">#REF!</definedName>
    <definedName name="PAGE6" localSheetId="7">#REF!</definedName>
    <definedName name="PAGE6" localSheetId="5">#REF!</definedName>
    <definedName name="PAGE6" localSheetId="8">#REF!</definedName>
    <definedName name="PAGE6" localSheetId="6">#REF!</definedName>
    <definedName name="PAGE6" localSheetId="10">#REF!</definedName>
    <definedName name="PAGE6" localSheetId="11">#REF!</definedName>
    <definedName name="PAGE6" localSheetId="12">#REF!</definedName>
    <definedName name="PAGE6" localSheetId="13">#REF!</definedName>
    <definedName name="PAGE6" localSheetId="14">#REF!</definedName>
    <definedName name="PAGE6" localSheetId="4">#REF!</definedName>
    <definedName name="PAGE6">#REF!</definedName>
    <definedName name="PAGEALPH" localSheetId="15">#REF!</definedName>
    <definedName name="PAGEALPH" localSheetId="16">#REF!</definedName>
    <definedName name="PAGEALPH" localSheetId="7">#REF!</definedName>
    <definedName name="PAGEALPH" localSheetId="5">#REF!</definedName>
    <definedName name="PAGEALPH" localSheetId="8">#REF!</definedName>
    <definedName name="PAGEALPH" localSheetId="6">#REF!</definedName>
    <definedName name="PAGEALPH" localSheetId="10">#REF!</definedName>
    <definedName name="PAGEALPH" localSheetId="11">#REF!</definedName>
    <definedName name="PAGEALPH" localSheetId="12">#REF!</definedName>
    <definedName name="PAGEALPH" localSheetId="13">#REF!</definedName>
    <definedName name="PAGEALPH" localSheetId="14">#REF!</definedName>
    <definedName name="PAGEALPH" localSheetId="4">#REF!</definedName>
    <definedName name="PAGEALPH">#REF!</definedName>
    <definedName name="PFTTSF" localSheetId="15">#REF!</definedName>
    <definedName name="PFTTSF" localSheetId="16">#REF!</definedName>
    <definedName name="PFTTSF" localSheetId="7">#REF!</definedName>
    <definedName name="PFTTSF" localSheetId="5">#REF!</definedName>
    <definedName name="PFTTSF" localSheetId="8">#REF!</definedName>
    <definedName name="PFTTSF" localSheetId="6">#REF!</definedName>
    <definedName name="PFTTSF" localSheetId="10">#REF!</definedName>
    <definedName name="PFTTSF" localSheetId="11">#REF!</definedName>
    <definedName name="PFTTSF" localSheetId="12">#REF!</definedName>
    <definedName name="PFTTSF" localSheetId="13">#REF!</definedName>
    <definedName name="PFTTSF" localSheetId="14">#REF!</definedName>
    <definedName name="PFTTSF" localSheetId="4">#REF!</definedName>
    <definedName name="PFTTSF">#REF!</definedName>
    <definedName name="POOLALL" localSheetId="15">#REF!</definedName>
    <definedName name="POOLALL" localSheetId="16">#REF!</definedName>
    <definedName name="POOLALL" localSheetId="7">#REF!</definedName>
    <definedName name="POOLALL" localSheetId="5">#REF!</definedName>
    <definedName name="POOLALL" localSheetId="8">#REF!</definedName>
    <definedName name="POOLALL" localSheetId="6">#REF!</definedName>
    <definedName name="POOLALL" localSheetId="10">#REF!</definedName>
    <definedName name="POOLALL" localSheetId="11">#REF!</definedName>
    <definedName name="POOLALL" localSheetId="12">#REF!</definedName>
    <definedName name="POOLALL" localSheetId="13">#REF!</definedName>
    <definedName name="POOLALL" localSheetId="14">#REF!</definedName>
    <definedName name="POOLALL" localSheetId="4">#REF!</definedName>
    <definedName name="POOLALL">#REF!</definedName>
    <definedName name="POOLREC" localSheetId="15">#REF!</definedName>
    <definedName name="POOLREC" localSheetId="16">#REF!</definedName>
    <definedName name="POOLREC" localSheetId="7">#REF!</definedName>
    <definedName name="POOLREC" localSheetId="5">#REF!</definedName>
    <definedName name="POOLREC" localSheetId="8">#REF!</definedName>
    <definedName name="POOLREC" localSheetId="6">#REF!</definedName>
    <definedName name="POOLREC" localSheetId="10">#REF!</definedName>
    <definedName name="POOLREC" localSheetId="11">#REF!</definedName>
    <definedName name="POOLREC" localSheetId="12">#REF!</definedName>
    <definedName name="POOLREC" localSheetId="13">#REF!</definedName>
    <definedName name="POOLREC" localSheetId="14">#REF!</definedName>
    <definedName name="POOLREC" localSheetId="4">#REF!</definedName>
    <definedName name="POOLREC">#REF!</definedName>
    <definedName name="_xlnm.Print_Area" localSheetId="0">'1 Cover'!$A$1:$I$37</definedName>
    <definedName name="_xlnm.Print_Area" localSheetId="2">'1 Financial Highlights'!$A$1:$Z$87</definedName>
    <definedName name="_xlnm.Print_Area" localSheetId="15">'10 CWM Canada'!$A$1:$Z$75</definedName>
    <definedName name="_xlnm.Print_Area" localSheetId="16">'11 CWM UK and Europe'!$A$1:$Z$74</definedName>
    <definedName name="_xlnm.Print_Area" localSheetId="17">'12 Other'!$A$1:$Z$52</definedName>
    <definedName name="_xlnm.Print_Area" localSheetId="18">'13 Balance Sheet'!$A$1:$U$45</definedName>
    <definedName name="_xlnm.Print_Area" localSheetId="22">'14 Misc Operating Stats'!$A$1:$U$50</definedName>
    <definedName name="_xlnm.Print_Area" localSheetId="23">'15 Notes'!$A$1:$N$62</definedName>
    <definedName name="_xlnm.Print_Area" localSheetId="3">'2 Consolidated IS'!$A$1:$AA$88</definedName>
    <definedName name="_xlnm.Print_Area" localSheetId="1">'2 Table of Contents'!$A$1:$G$34</definedName>
    <definedName name="_xlnm.Print_Area" localSheetId="7">'3 Business Segments FY18'!$A$2:$Z$74</definedName>
    <definedName name="_xlnm.Print_Area" localSheetId="5">'3 Business Segments FY19'!$A$2:$Z$70</definedName>
    <definedName name="_xlnm.Print_Area" localSheetId="8">'4 Canaccord Genuity '!$A$1:$Z$91</definedName>
    <definedName name="_xlnm.Print_Area" localSheetId="6">'4 Capital Markets North America'!$A$1:$BL$83</definedName>
    <definedName name="_xlnm.Print_Area" localSheetId="9">'5 Capital Markets Canada'!$A$1:$Z$72</definedName>
    <definedName name="_xlnm.Print_Area" localSheetId="10">'6 CG - US'!$A$1:$Z$75</definedName>
    <definedName name="_xlnm.Print_Area" localSheetId="19">'7 Canada'!$A$1:$BB$79</definedName>
    <definedName name="_xlnm.Print_Area" localSheetId="11">'7 UK &amp; Dubai'!$A$1:$Z$73</definedName>
    <definedName name="_xlnm.Print_Area" localSheetId="12">'8 CG - Australia'!$A$1:$Z$71</definedName>
    <definedName name="_xlnm.Print_Area" localSheetId="20">'8 UK and Europe'!$A$1:$BB$77</definedName>
    <definedName name="_xlnm.Print_Area" localSheetId="21">'9 US'!$A$1:$BB$75</definedName>
    <definedName name="_xlnm.Print_Area" localSheetId="13">'9 Wealth Management'!$A$1:$Z$79</definedName>
    <definedName name="_xlnm.Print_Area" localSheetId="14">'CWM BGF'!$A$1:$BB$84</definedName>
    <definedName name="_xlnm.Print_Area" localSheetId="4">'MDA Tables'!$A$2:$L$51</definedName>
    <definedName name="_xlnm.Print_Area" localSheetId="24">NHI!$A$1:$K$51</definedName>
    <definedName name="test" localSheetId="15">#REF!</definedName>
    <definedName name="test" localSheetId="16">#REF!</definedName>
    <definedName name="test" localSheetId="7">#REF!</definedName>
    <definedName name="test" localSheetId="5">#REF!</definedName>
    <definedName name="test" localSheetId="8">#REF!</definedName>
    <definedName name="test" localSheetId="6">#REF!</definedName>
    <definedName name="test" localSheetId="10">#REF!</definedName>
    <definedName name="test" localSheetId="11">#REF!</definedName>
    <definedName name="test" localSheetId="12">#REF!</definedName>
    <definedName name="test" localSheetId="20">#REF!</definedName>
    <definedName name="test" localSheetId="13">#REF!</definedName>
    <definedName name="test" localSheetId="14">#REF!</definedName>
    <definedName name="test" localSheetId="4">#REF!</definedName>
    <definedName name="test">#REF!</definedName>
    <definedName name="test1" localSheetId="15">#REF!</definedName>
    <definedName name="test1" localSheetId="16">#REF!</definedName>
    <definedName name="test1" localSheetId="7">#REF!</definedName>
    <definedName name="test1" localSheetId="5">#REF!</definedName>
    <definedName name="test1" localSheetId="8">#REF!</definedName>
    <definedName name="test1" localSheetId="6">#REF!</definedName>
    <definedName name="test1" localSheetId="10">#REF!</definedName>
    <definedName name="test1" localSheetId="11">#REF!</definedName>
    <definedName name="test1" localSheetId="12">#REF!</definedName>
    <definedName name="test1" localSheetId="13">#REF!</definedName>
    <definedName name="test1" localSheetId="14">#REF!</definedName>
    <definedName name="test1" localSheetId="4">#REF!</definedName>
    <definedName name="test1">#REF!</definedName>
    <definedName name="tina" localSheetId="15">#REF!</definedName>
    <definedName name="tina" localSheetId="16">#REF!</definedName>
    <definedName name="tina" localSheetId="7">#REF!</definedName>
    <definedName name="tina" localSheetId="5">#REF!</definedName>
    <definedName name="tina" localSheetId="8">#REF!</definedName>
    <definedName name="tina" localSheetId="6">#REF!</definedName>
    <definedName name="tina" localSheetId="10">#REF!</definedName>
    <definedName name="tina" localSheetId="11">#REF!</definedName>
    <definedName name="tina" localSheetId="12">#REF!</definedName>
    <definedName name="tina" localSheetId="13">#REF!</definedName>
    <definedName name="tina" localSheetId="14">#REF!</definedName>
    <definedName name="tina" localSheetId="4">#REF!</definedName>
    <definedName name="tina">#REF!</definedName>
    <definedName name="TOP_" localSheetId="15">#REF!</definedName>
    <definedName name="TOP_" localSheetId="16">#REF!</definedName>
    <definedName name="TOP_" localSheetId="7">#REF!</definedName>
    <definedName name="TOP_" localSheetId="5">#REF!</definedName>
    <definedName name="TOP_" localSheetId="8">#REF!</definedName>
    <definedName name="TOP_" localSheetId="6">#REF!</definedName>
    <definedName name="TOP_" localSheetId="10">#REF!</definedName>
    <definedName name="TOP_" localSheetId="11">#REF!</definedName>
    <definedName name="TOP_" localSheetId="12">#REF!</definedName>
    <definedName name="TOP_" localSheetId="13">#REF!</definedName>
    <definedName name="TOP_" localSheetId="14">#REF!</definedName>
    <definedName name="TOP_" localSheetId="4">#REF!</definedName>
    <definedName name="TOP_">#REF!</definedName>
    <definedName name="TOPALPH" localSheetId="15">#REF!</definedName>
    <definedName name="TOPALPH" localSheetId="16">#REF!</definedName>
    <definedName name="TOPALPH" localSheetId="7">#REF!</definedName>
    <definedName name="TOPALPH" localSheetId="5">#REF!</definedName>
    <definedName name="TOPALPH" localSheetId="8">#REF!</definedName>
    <definedName name="TOPALPH" localSheetId="6">#REF!</definedName>
    <definedName name="TOPALPH" localSheetId="10">#REF!</definedName>
    <definedName name="TOPALPH" localSheetId="11">#REF!</definedName>
    <definedName name="TOPALPH" localSheetId="12">#REF!</definedName>
    <definedName name="TOPALPH" localSheetId="13">#REF!</definedName>
    <definedName name="TOPALPH" localSheetId="14">#REF!</definedName>
    <definedName name="TOPALPH" localSheetId="4">#REF!</definedName>
    <definedName name="TOPALPH">#REF!</definedName>
    <definedName name="TORONTO" localSheetId="15">#REF!</definedName>
    <definedName name="TORONTO" localSheetId="16">#REF!</definedName>
    <definedName name="TORONTO" localSheetId="7">#REF!</definedName>
    <definedName name="TORONTO" localSheetId="5">#REF!</definedName>
    <definedName name="TORONTO" localSheetId="8">#REF!</definedName>
    <definedName name="TORONTO" localSheetId="6">#REF!</definedName>
    <definedName name="TORONTO" localSheetId="10">#REF!</definedName>
    <definedName name="TORONTO" localSheetId="11">#REF!</definedName>
    <definedName name="TORONTO" localSheetId="12">#REF!</definedName>
    <definedName name="TORONTO" localSheetId="13">#REF!</definedName>
    <definedName name="TORONTO" localSheetId="14">#REF!</definedName>
    <definedName name="TORONTO" localSheetId="4">#REF!</definedName>
    <definedName name="TORONTO">#REF!</definedName>
    <definedName name="TORPFT" localSheetId="15">#REF!</definedName>
    <definedName name="TORPFT" localSheetId="16">#REF!</definedName>
    <definedName name="TORPFT" localSheetId="7">#REF!</definedName>
    <definedName name="TORPFT" localSheetId="5">#REF!</definedName>
    <definedName name="TORPFT" localSheetId="8">#REF!</definedName>
    <definedName name="TORPFT" localSheetId="6">#REF!</definedName>
    <definedName name="TORPFT" localSheetId="10">#REF!</definedName>
    <definedName name="TORPFT" localSheetId="11">#REF!</definedName>
    <definedName name="TORPFT" localSheetId="12">#REF!</definedName>
    <definedName name="TORPFT" localSheetId="13">#REF!</definedName>
    <definedName name="TORPFT" localSheetId="14">#REF!</definedName>
    <definedName name="TORPFT" localSheetId="4">#REF!</definedName>
    <definedName name="TORPFT">#REF!</definedName>
    <definedName name="VANPFT" localSheetId="15">#REF!</definedName>
    <definedName name="VANPFT" localSheetId="16">#REF!</definedName>
    <definedName name="VANPFT" localSheetId="7">#REF!</definedName>
    <definedName name="VANPFT" localSheetId="5">#REF!</definedName>
    <definedName name="VANPFT" localSheetId="8">#REF!</definedName>
    <definedName name="VANPFT" localSheetId="6">#REF!</definedName>
    <definedName name="VANPFT" localSheetId="10">#REF!</definedName>
    <definedName name="VANPFT" localSheetId="11">#REF!</definedName>
    <definedName name="VANPFT" localSheetId="12">#REF!</definedName>
    <definedName name="VANPFT" localSheetId="13">#REF!</definedName>
    <definedName name="VANPFT" localSheetId="14">#REF!</definedName>
    <definedName name="VANPFT" localSheetId="4">#REF!</definedName>
    <definedName name="VANPF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43" i="50" l="1"/>
  <c r="M39" i="50"/>
  <c r="M28" i="50"/>
  <c r="M29" i="50"/>
  <c r="M30" i="50"/>
  <c r="M31" i="50"/>
  <c r="M32" i="50"/>
  <c r="M33" i="50"/>
  <c r="M34" i="50"/>
  <c r="M35" i="50"/>
  <c r="M36" i="50"/>
  <c r="M37" i="50"/>
  <c r="M38" i="50"/>
  <c r="M27" i="50"/>
  <c r="F266" i="47"/>
  <c r="K61" i="50"/>
  <c r="K37" i="50"/>
  <c r="K43" i="50"/>
  <c r="K28" i="50"/>
  <c r="K29" i="50"/>
  <c r="K30" i="50"/>
  <c r="L30" i="50" s="1"/>
  <c r="K31" i="50"/>
  <c r="K32" i="50"/>
  <c r="K33" i="50"/>
  <c r="K34" i="50"/>
  <c r="K35" i="50"/>
  <c r="K36" i="50"/>
  <c r="K27" i="50"/>
  <c r="L27" i="50" s="1"/>
  <c r="K25" i="50"/>
  <c r="K24" i="50"/>
  <c r="K17" i="50"/>
  <c r="K18" i="50"/>
  <c r="K19" i="50"/>
  <c r="K20" i="50"/>
  <c r="K21" i="50"/>
  <c r="K16" i="50"/>
  <c r="J43" i="50"/>
  <c r="J28" i="50"/>
  <c r="J29" i="50"/>
  <c r="J30" i="50"/>
  <c r="J31" i="50"/>
  <c r="J32" i="50"/>
  <c r="J33" i="50"/>
  <c r="J34" i="50"/>
  <c r="J35" i="50"/>
  <c r="J36" i="50"/>
  <c r="J37" i="50"/>
  <c r="J27" i="50"/>
  <c r="J19" i="50"/>
  <c r="J20" i="50"/>
  <c r="L20" i="50" s="1"/>
  <c r="J21" i="50"/>
  <c r="L21" i="50" s="1"/>
  <c r="J16" i="50"/>
  <c r="L16" i="50" s="1"/>
  <c r="E263" i="47"/>
  <c r="H43" i="50"/>
  <c r="H28" i="50"/>
  <c r="H29" i="50"/>
  <c r="H30" i="50"/>
  <c r="H31" i="50"/>
  <c r="H32" i="50"/>
  <c r="H33" i="50"/>
  <c r="H34" i="50"/>
  <c r="H35" i="50"/>
  <c r="H36" i="50"/>
  <c r="H27" i="50"/>
  <c r="H25" i="50"/>
  <c r="H24" i="50"/>
  <c r="H17" i="50"/>
  <c r="H18" i="50"/>
  <c r="H19" i="50"/>
  <c r="H20" i="50"/>
  <c r="H21" i="50"/>
  <c r="H16" i="50"/>
  <c r="G43" i="50"/>
  <c r="G28" i="50"/>
  <c r="G29" i="50"/>
  <c r="G30" i="50"/>
  <c r="G31" i="50"/>
  <c r="G32" i="50"/>
  <c r="G33" i="50"/>
  <c r="G34" i="50"/>
  <c r="G35" i="50"/>
  <c r="G36" i="50"/>
  <c r="G37" i="50"/>
  <c r="G27" i="50"/>
  <c r="G17" i="50"/>
  <c r="G18" i="50"/>
  <c r="G19" i="50"/>
  <c r="G20" i="50"/>
  <c r="G21" i="50"/>
  <c r="G16" i="50"/>
  <c r="R36" i="50"/>
  <c r="R25" i="50"/>
  <c r="F43" i="50"/>
  <c r="F28" i="50"/>
  <c r="F29" i="50"/>
  <c r="F30" i="50"/>
  <c r="F31" i="50"/>
  <c r="F32" i="50"/>
  <c r="F33" i="50"/>
  <c r="F34" i="50"/>
  <c r="F35" i="50"/>
  <c r="F36" i="50"/>
  <c r="F37" i="50"/>
  <c r="F27" i="50"/>
  <c r="F25" i="50"/>
  <c r="F24" i="50"/>
  <c r="F17" i="50"/>
  <c r="F18" i="50"/>
  <c r="F19" i="50"/>
  <c r="F20" i="50"/>
  <c r="F21" i="50"/>
  <c r="F16" i="50"/>
  <c r="E43" i="50"/>
  <c r="E28" i="50"/>
  <c r="E29" i="50"/>
  <c r="E30" i="50"/>
  <c r="E31" i="50"/>
  <c r="E32" i="50"/>
  <c r="E33" i="50"/>
  <c r="E34" i="50"/>
  <c r="E35" i="50"/>
  <c r="E37" i="50"/>
  <c r="E27" i="50"/>
  <c r="E17" i="50"/>
  <c r="E18" i="50"/>
  <c r="E19" i="50"/>
  <c r="E20" i="50"/>
  <c r="E21" i="50"/>
  <c r="E16" i="50"/>
  <c r="D37" i="50"/>
  <c r="D43" i="50"/>
  <c r="D28" i="50"/>
  <c r="D29" i="50"/>
  <c r="D30" i="50"/>
  <c r="D31" i="50"/>
  <c r="D32" i="50"/>
  <c r="D33" i="50"/>
  <c r="D34" i="50"/>
  <c r="D35" i="50"/>
  <c r="D36" i="50"/>
  <c r="D27" i="50"/>
  <c r="D18" i="50"/>
  <c r="D19" i="50"/>
  <c r="D20" i="50"/>
  <c r="D21" i="50"/>
  <c r="D16" i="50"/>
  <c r="Y43" i="50"/>
  <c r="F306" i="47"/>
  <c r="Y36" i="50"/>
  <c r="Y32" i="50"/>
  <c r="Y31" i="50"/>
  <c r="Y30" i="50"/>
  <c r="Y29" i="50"/>
  <c r="Y28" i="50"/>
  <c r="Y27" i="50"/>
  <c r="H228" i="47"/>
  <c r="W17" i="50"/>
  <c r="W18" i="50"/>
  <c r="W19" i="50"/>
  <c r="W20" i="50"/>
  <c r="W21" i="50"/>
  <c r="W16" i="50"/>
  <c r="W43" i="50"/>
  <c r="H207" i="47"/>
  <c r="H72" i="47" s="1"/>
  <c r="W35" i="50"/>
  <c r="W34" i="50"/>
  <c r="W32" i="50"/>
  <c r="W31" i="50"/>
  <c r="W30" i="50"/>
  <c r="W29" i="50"/>
  <c r="W27" i="50"/>
  <c r="W25" i="50"/>
  <c r="W24" i="50"/>
  <c r="V20" i="50"/>
  <c r="V19" i="50"/>
  <c r="X19" i="50" s="1"/>
  <c r="V16" i="50"/>
  <c r="V43" i="50"/>
  <c r="X43" i="50" s="1"/>
  <c r="V35" i="50"/>
  <c r="V34" i="50"/>
  <c r="V33" i="50"/>
  <c r="V32" i="50"/>
  <c r="V31" i="50"/>
  <c r="V30" i="50"/>
  <c r="V28" i="50"/>
  <c r="T17" i="50"/>
  <c r="T18" i="50"/>
  <c r="T19" i="50"/>
  <c r="T20" i="50"/>
  <c r="T21" i="50"/>
  <c r="T16" i="50"/>
  <c r="T36" i="50"/>
  <c r="T35" i="50"/>
  <c r="T34" i="50"/>
  <c r="T33" i="50"/>
  <c r="T32" i="50"/>
  <c r="T31" i="50"/>
  <c r="T30" i="50"/>
  <c r="T29" i="50"/>
  <c r="T28" i="50"/>
  <c r="T27" i="50"/>
  <c r="T25" i="50"/>
  <c r="T24" i="50"/>
  <c r="S21" i="50"/>
  <c r="S20" i="50"/>
  <c r="S19" i="50"/>
  <c r="S18" i="50"/>
  <c r="S17" i="50"/>
  <c r="S16" i="50"/>
  <c r="S43" i="50"/>
  <c r="S28" i="50"/>
  <c r="S29" i="50"/>
  <c r="S30" i="50"/>
  <c r="S31" i="50"/>
  <c r="S32" i="50"/>
  <c r="S33" i="50"/>
  <c r="S34" i="50"/>
  <c r="S35" i="50"/>
  <c r="S36" i="50"/>
  <c r="S37" i="50"/>
  <c r="S27" i="50"/>
  <c r="R17" i="50"/>
  <c r="R18" i="50"/>
  <c r="R20" i="50"/>
  <c r="R21" i="50"/>
  <c r="R16" i="50"/>
  <c r="R43" i="50"/>
  <c r="R37" i="50"/>
  <c r="R35" i="50"/>
  <c r="R34" i="50"/>
  <c r="R32" i="50"/>
  <c r="R31" i="50"/>
  <c r="R30" i="50"/>
  <c r="R29" i="50"/>
  <c r="R28" i="50"/>
  <c r="Q17" i="50"/>
  <c r="Q18" i="50"/>
  <c r="Q19" i="50"/>
  <c r="Q20" i="50"/>
  <c r="Q21" i="50"/>
  <c r="Q43" i="50"/>
  <c r="Q37" i="50"/>
  <c r="Q35" i="50"/>
  <c r="Q34" i="50"/>
  <c r="Q33" i="50"/>
  <c r="Q32" i="50"/>
  <c r="Q31" i="50"/>
  <c r="Q30" i="50"/>
  <c r="Q29" i="50"/>
  <c r="Q28" i="50"/>
  <c r="Q27" i="50"/>
  <c r="P18" i="50"/>
  <c r="P19" i="50"/>
  <c r="P20" i="50"/>
  <c r="P21" i="50"/>
  <c r="P16" i="50"/>
  <c r="P43" i="50"/>
  <c r="P37" i="50"/>
  <c r="P28" i="50"/>
  <c r="P29" i="50"/>
  <c r="P30" i="50"/>
  <c r="P31" i="50"/>
  <c r="P32" i="50"/>
  <c r="P34" i="50"/>
  <c r="P35" i="50"/>
  <c r="P36" i="50"/>
  <c r="P27" i="50"/>
  <c r="I23" i="47"/>
  <c r="H35" i="47"/>
  <c r="T43" i="50"/>
  <c r="X39" i="50"/>
  <c r="U39" i="50"/>
  <c r="L39" i="50"/>
  <c r="I39" i="50"/>
  <c r="X38" i="50"/>
  <c r="U38" i="50"/>
  <c r="L38" i="50"/>
  <c r="L28" i="50"/>
  <c r="Y22" i="50"/>
  <c r="M22" i="50"/>
  <c r="D82" i="47"/>
  <c r="J50" i="47"/>
  <c r="J48" i="47"/>
  <c r="J44" i="47"/>
  <c r="J45" i="47"/>
  <c r="J46" i="47"/>
  <c r="J43" i="47"/>
  <c r="J31" i="47"/>
  <c r="J30" i="47"/>
  <c r="J28" i="47"/>
  <c r="J26" i="47"/>
  <c r="J22" i="47"/>
  <c r="J21" i="47"/>
  <c r="J20" i="47"/>
  <c r="J19" i="47"/>
  <c r="J18" i="47"/>
  <c r="J11" i="47"/>
  <c r="J12" i="47"/>
  <c r="J13" i="47"/>
  <c r="J14" i="47"/>
  <c r="J15" i="47"/>
  <c r="J10" i="47"/>
  <c r="F26" i="47"/>
  <c r="S64" i="47"/>
  <c r="S67" i="47" s="1"/>
  <c r="S68" i="47" s="1"/>
  <c r="D214" i="47"/>
  <c r="D184" i="47"/>
  <c r="K229" i="47"/>
  <c r="K239" i="47"/>
  <c r="K240" i="47"/>
  <c r="K241" i="47"/>
  <c r="J229" i="47"/>
  <c r="J240" i="47"/>
  <c r="J241" i="47"/>
  <c r="K202" i="47"/>
  <c r="K211" i="47"/>
  <c r="K212" i="47"/>
  <c r="K213" i="47"/>
  <c r="K214" i="47"/>
  <c r="K215" i="47"/>
  <c r="K216" i="47"/>
  <c r="J202" i="47"/>
  <c r="J211" i="47"/>
  <c r="J215" i="47"/>
  <c r="J216" i="47"/>
  <c r="K176" i="47"/>
  <c r="K183" i="47"/>
  <c r="K184" i="47"/>
  <c r="K185" i="47"/>
  <c r="K186" i="47"/>
  <c r="K187" i="47"/>
  <c r="K188" i="47"/>
  <c r="K189" i="47"/>
  <c r="K190" i="47"/>
  <c r="J176" i="47"/>
  <c r="J183" i="47"/>
  <c r="J186" i="47"/>
  <c r="J189" i="47"/>
  <c r="J190" i="47"/>
  <c r="H164" i="47"/>
  <c r="G164" i="47"/>
  <c r="L305" i="47"/>
  <c r="L271" i="47"/>
  <c r="K274" i="47"/>
  <c r="K272" i="47"/>
  <c r="L272" i="47" s="1"/>
  <c r="K269" i="47"/>
  <c r="K268" i="47"/>
  <c r="K267" i="47"/>
  <c r="K266" i="47"/>
  <c r="T259" i="47"/>
  <c r="E234" i="47"/>
  <c r="I24" i="47"/>
  <c r="E24" i="47"/>
  <c r="F24" i="47"/>
  <c r="D23" i="47"/>
  <c r="H85" i="47"/>
  <c r="G85" i="47"/>
  <c r="E57" i="47"/>
  <c r="D57" i="47"/>
  <c r="I34" i="47"/>
  <c r="I51" i="47"/>
  <c r="H51" i="47"/>
  <c r="G86" i="47" s="1"/>
  <c r="F41" i="47"/>
  <c r="E35" i="47"/>
  <c r="D35" i="47"/>
  <c r="G314" i="47"/>
  <c r="D286" i="47"/>
  <c r="U266" i="47"/>
  <c r="W263" i="47"/>
  <c r="W262" i="47"/>
  <c r="W261" i="47" s="1"/>
  <c r="W259" i="47"/>
  <c r="E233" i="47"/>
  <c r="E77" i="47" s="1"/>
  <c r="E231" i="47"/>
  <c r="E209" i="47"/>
  <c r="E218" i="47" s="1"/>
  <c r="E207" i="47"/>
  <c r="E72" i="47" s="1"/>
  <c r="E206" i="47"/>
  <c r="E71" i="47" s="1"/>
  <c r="E204" i="47"/>
  <c r="E181" i="47"/>
  <c r="E178" i="47"/>
  <c r="D164" i="47"/>
  <c r="E164" i="47"/>
  <c r="E85" i="47"/>
  <c r="D85" i="47"/>
  <c r="F51" i="47"/>
  <c r="E51" i="47"/>
  <c r="E86" i="47" s="1"/>
  <c r="D51" i="47"/>
  <c r="D86" i="47" s="1"/>
  <c r="F50" i="47"/>
  <c r="F48" i="47"/>
  <c r="F46" i="47"/>
  <c r="F45" i="47"/>
  <c r="F44" i="47"/>
  <c r="F43" i="47"/>
  <c r="F30" i="47"/>
  <c r="F27" i="47"/>
  <c r="F28" i="47"/>
  <c r="F18" i="47"/>
  <c r="F25" i="47"/>
  <c r="F23" i="47"/>
  <c r="E23" i="47"/>
  <c r="F22" i="47"/>
  <c r="F21" i="47"/>
  <c r="F19" i="47"/>
  <c r="F15" i="47"/>
  <c r="F14" i="47"/>
  <c r="F13" i="47"/>
  <c r="F12" i="47"/>
  <c r="F11" i="47"/>
  <c r="F10" i="47"/>
  <c r="I35" i="47"/>
  <c r="I32" i="47"/>
  <c r="H32" i="47"/>
  <c r="H231" i="47"/>
  <c r="H206" i="47"/>
  <c r="H71" i="47" s="1"/>
  <c r="K308" i="47"/>
  <c r="H237" i="47"/>
  <c r="T9" i="47"/>
  <c r="D39" i="47"/>
  <c r="D212" i="47"/>
  <c r="D187" i="47"/>
  <c r="D239" i="47"/>
  <c r="D228" i="47"/>
  <c r="D32" i="47"/>
  <c r="D33" i="47"/>
  <c r="D24" i="50"/>
  <c r="E36" i="50"/>
  <c r="E109" i="26"/>
  <c r="D109" i="26"/>
  <c r="C109" i="26"/>
  <c r="C117" i="26" s="1"/>
  <c r="B109" i="26"/>
  <c r="B117" i="26"/>
  <c r="E94" i="26"/>
  <c r="E102" i="26" s="1"/>
  <c r="D94" i="26"/>
  <c r="C94" i="26"/>
  <c r="C95" i="26" s="1"/>
  <c r="C97" i="26" s="1"/>
  <c r="L21" i="33" s="1"/>
  <c r="L20" i="33" s="1"/>
  <c r="B94" i="26"/>
  <c r="B102" i="26" s="1"/>
  <c r="E92" i="26"/>
  <c r="K81" i="26"/>
  <c r="E82" i="26" s="1"/>
  <c r="K78" i="26"/>
  <c r="D82" i="26"/>
  <c r="D78" i="26"/>
  <c r="C78" i="26"/>
  <c r="C83" i="26" s="1"/>
  <c r="B78" i="26"/>
  <c r="E77" i="26"/>
  <c r="E76" i="26"/>
  <c r="K75" i="26"/>
  <c r="C82" i="26" s="1"/>
  <c r="E75" i="26"/>
  <c r="E74" i="26"/>
  <c r="E73" i="26"/>
  <c r="K72" i="26"/>
  <c r="B82" i="26" s="1"/>
  <c r="K64" i="26"/>
  <c r="E63" i="26" s="1"/>
  <c r="K61" i="26"/>
  <c r="D63" i="26" s="1"/>
  <c r="E61" i="26"/>
  <c r="D61" i="26"/>
  <c r="B61" i="26"/>
  <c r="K58" i="26"/>
  <c r="C63" i="26" s="1"/>
  <c r="C57" i="26"/>
  <c r="C61" i="26"/>
  <c r="C64" i="26" s="1"/>
  <c r="C66" i="26" s="1"/>
  <c r="K55" i="26"/>
  <c r="B63" i="26" s="1"/>
  <c r="K47" i="26"/>
  <c r="K44" i="26"/>
  <c r="E44" i="26"/>
  <c r="E47" i="26" s="1"/>
  <c r="E49" i="26" s="1"/>
  <c r="D44" i="26"/>
  <c r="D47" i="26"/>
  <c r="D49" i="26" s="1"/>
  <c r="C44" i="26"/>
  <c r="C47" i="26" s="1"/>
  <c r="C49" i="26" s="1"/>
  <c r="B44" i="26"/>
  <c r="B47" i="26" s="1"/>
  <c r="B49" i="26" s="1"/>
  <c r="B51" i="26" s="1"/>
  <c r="K41" i="26"/>
  <c r="K38" i="26"/>
  <c r="K30" i="26"/>
  <c r="E29" i="26" s="1"/>
  <c r="K27" i="26"/>
  <c r="E27" i="26"/>
  <c r="D27" i="26"/>
  <c r="D30" i="26" s="1"/>
  <c r="D32" i="26" s="1"/>
  <c r="C27" i="26"/>
  <c r="C30" i="26" s="1"/>
  <c r="C32" i="26" s="1"/>
  <c r="B27" i="26"/>
  <c r="B30" i="26" s="1"/>
  <c r="B32" i="26" s="1"/>
  <c r="K24" i="26"/>
  <c r="K21" i="26"/>
  <c r="E11" i="26"/>
  <c r="E14" i="26" s="1"/>
  <c r="E16" i="26" s="1"/>
  <c r="D11" i="26"/>
  <c r="D14" i="26" s="1"/>
  <c r="D16" i="26" s="1"/>
  <c r="B11" i="26"/>
  <c r="B14" i="26" s="1"/>
  <c r="B16" i="26" s="1"/>
  <c r="C10" i="26"/>
  <c r="C9" i="26"/>
  <c r="C8" i="26"/>
  <c r="C6" i="26"/>
  <c r="Q245" i="47"/>
  <c r="P245" i="47"/>
  <c r="Q241" i="47"/>
  <c r="P241" i="47"/>
  <c r="Q240" i="47"/>
  <c r="P240" i="47"/>
  <c r="Q239" i="47"/>
  <c r="Q229" i="47"/>
  <c r="P229" i="47"/>
  <c r="Q189" i="47"/>
  <c r="P189" i="47"/>
  <c r="Q188" i="47"/>
  <c r="Q187" i="47"/>
  <c r="Q186" i="47"/>
  <c r="P186" i="47"/>
  <c r="Q185" i="47"/>
  <c r="Q184" i="47"/>
  <c r="Q183" i="47"/>
  <c r="P183" i="47"/>
  <c r="Q176" i="47"/>
  <c r="P176" i="47"/>
  <c r="Q137" i="47"/>
  <c r="P137" i="47"/>
  <c r="Q136" i="47"/>
  <c r="Q127" i="47"/>
  <c r="P127" i="47"/>
  <c r="E110" i="47"/>
  <c r="D110" i="47"/>
  <c r="H95" i="47"/>
  <c r="G95" i="47"/>
  <c r="Q74" i="47"/>
  <c r="P74" i="47"/>
  <c r="K74" i="47"/>
  <c r="Q69" i="47"/>
  <c r="P69" i="47"/>
  <c r="K69" i="47"/>
  <c r="I65" i="47"/>
  <c r="F65" i="47"/>
  <c r="P65" i="47" s="1"/>
  <c r="G56" i="47"/>
  <c r="D56" i="47"/>
  <c r="D93" i="47" s="1"/>
  <c r="D109" i="47" s="1"/>
  <c r="O47" i="47"/>
  <c r="M47" i="47"/>
  <c r="P42" i="47"/>
  <c r="O42" i="47"/>
  <c r="P29" i="47"/>
  <c r="O29" i="47"/>
  <c r="P17" i="47"/>
  <c r="O17" i="47"/>
  <c r="U9" i="47"/>
  <c r="U8" i="47"/>
  <c r="AT72" i="15"/>
  <c r="AS72" i="15"/>
  <c r="AO72" i="15" s="1"/>
  <c r="AP72" i="15" s="1"/>
  <c r="AR72" i="15"/>
  <c r="AN72" i="15"/>
  <c r="AM72" i="15"/>
  <c r="C72" i="15"/>
  <c r="D72" i="15" s="1"/>
  <c r="Q70" i="15"/>
  <c r="P70" i="15"/>
  <c r="O70" i="15"/>
  <c r="N70" i="15"/>
  <c r="M70" i="15"/>
  <c r="L70" i="15"/>
  <c r="K70" i="15"/>
  <c r="J70" i="15"/>
  <c r="I70" i="15"/>
  <c r="H70" i="15"/>
  <c r="G70" i="15"/>
  <c r="F70" i="15"/>
  <c r="AS69" i="15"/>
  <c r="AR69" i="15"/>
  <c r="AN69" i="15"/>
  <c r="AM69" i="15"/>
  <c r="C69" i="15"/>
  <c r="D69" i="15" s="1"/>
  <c r="AY68" i="15"/>
  <c r="AS68" i="15"/>
  <c r="AR68" i="15"/>
  <c r="AO68" i="15" s="1"/>
  <c r="AP68" i="15" s="1"/>
  <c r="AN68" i="15"/>
  <c r="AM68" i="15"/>
  <c r="C68" i="15"/>
  <c r="D68" i="15"/>
  <c r="AS67" i="15"/>
  <c r="AR67" i="15"/>
  <c r="AN67" i="15"/>
  <c r="AM67" i="15"/>
  <c r="C67" i="15"/>
  <c r="D67" i="15" s="1"/>
  <c r="AS66" i="15"/>
  <c r="AR66" i="15"/>
  <c r="AO66" i="15" s="1"/>
  <c r="AP66" i="15" s="1"/>
  <c r="AN66" i="15"/>
  <c r="AM66" i="15"/>
  <c r="C66" i="15"/>
  <c r="D66" i="15" s="1"/>
  <c r="AY65" i="15"/>
  <c r="AS65" i="15"/>
  <c r="AR65" i="15"/>
  <c r="AN65" i="15"/>
  <c r="AM65" i="15"/>
  <c r="C65" i="15"/>
  <c r="D65" i="15" s="1"/>
  <c r="AS64" i="15"/>
  <c r="AR64" i="15"/>
  <c r="AN64" i="15"/>
  <c r="AM64" i="15"/>
  <c r="C64" i="15"/>
  <c r="D64" i="15" s="1"/>
  <c r="BA58" i="15"/>
  <c r="AZ58" i="15"/>
  <c r="AY58" i="15"/>
  <c r="BA57" i="15"/>
  <c r="AZ57" i="15"/>
  <c r="Q51" i="15"/>
  <c r="P51" i="15"/>
  <c r="O51" i="15"/>
  <c r="AN51" i="15" s="1"/>
  <c r="N51" i="15"/>
  <c r="AS51" i="15" s="1"/>
  <c r="M51" i="15"/>
  <c r="L51" i="15"/>
  <c r="K51" i="15"/>
  <c r="AM51" i="15" s="1"/>
  <c r="J51" i="15"/>
  <c r="AR51" i="15" s="1"/>
  <c r="I51" i="15"/>
  <c r="AO50" i="15"/>
  <c r="AW44" i="15"/>
  <c r="AV44" i="15"/>
  <c r="AU44" i="15"/>
  <c r="AT44" i="15"/>
  <c r="AW43" i="15"/>
  <c r="AV43" i="15"/>
  <c r="AU43" i="15"/>
  <c r="AT43" i="15"/>
  <c r="AV41" i="15"/>
  <c r="AU41" i="15"/>
  <c r="C38" i="15"/>
  <c r="AZ35" i="15"/>
  <c r="AZ41" i="15" s="1"/>
  <c r="U34" i="15"/>
  <c r="T34" i="15"/>
  <c r="S34" i="15"/>
  <c r="R34" i="15"/>
  <c r="Q34" i="15"/>
  <c r="Q58" i="15" s="1"/>
  <c r="P34" i="15"/>
  <c r="N34" i="15"/>
  <c r="M34" i="15"/>
  <c r="L34" i="15"/>
  <c r="AS33" i="15"/>
  <c r="AO33" i="15" s="1"/>
  <c r="AR33" i="15"/>
  <c r="AN33" i="15"/>
  <c r="AM33" i="15"/>
  <c r="C33" i="15"/>
  <c r="AS32" i="15"/>
  <c r="AR32" i="15"/>
  <c r="AO32" i="15" s="1"/>
  <c r="AN32" i="15"/>
  <c r="AM32" i="15"/>
  <c r="C32" i="15"/>
  <c r="AS31" i="15"/>
  <c r="AR31" i="15"/>
  <c r="AN31" i="15"/>
  <c r="AM31" i="15"/>
  <c r="C31" i="15"/>
  <c r="AT30" i="15"/>
  <c r="AS30" i="15"/>
  <c r="AO30" i="15" s="1"/>
  <c r="AP30" i="15" s="1"/>
  <c r="AR30" i="15"/>
  <c r="AN30" i="15"/>
  <c r="AM30" i="15"/>
  <c r="C30" i="15"/>
  <c r="D30" i="15" s="1"/>
  <c r="AT29" i="15"/>
  <c r="AS29" i="15"/>
  <c r="AR29" i="15"/>
  <c r="AO29" i="15" s="1"/>
  <c r="AP29" i="15" s="1"/>
  <c r="AN29" i="15"/>
  <c r="AM29" i="15"/>
  <c r="C29" i="15"/>
  <c r="D29" i="15" s="1"/>
  <c r="AT28" i="15"/>
  <c r="AS28" i="15"/>
  <c r="AR28" i="15"/>
  <c r="AN28" i="15"/>
  <c r="AM28" i="15"/>
  <c r="C28" i="15"/>
  <c r="D28" i="15" s="1"/>
  <c r="AT27" i="15"/>
  <c r="AS27" i="15"/>
  <c r="AN27" i="15"/>
  <c r="K27" i="15"/>
  <c r="C27" i="15"/>
  <c r="D27" i="15" s="1"/>
  <c r="AT26" i="15"/>
  <c r="AS26" i="15"/>
  <c r="AR26" i="15"/>
  <c r="AN26" i="15"/>
  <c r="AM26" i="15"/>
  <c r="C26" i="15"/>
  <c r="D26" i="15" s="1"/>
  <c r="AT25" i="15"/>
  <c r="AS25" i="15"/>
  <c r="AR25" i="15"/>
  <c r="AN25" i="15"/>
  <c r="AM25" i="15"/>
  <c r="C25" i="15"/>
  <c r="D25" i="15" s="1"/>
  <c r="AT24" i="15"/>
  <c r="AS24" i="15"/>
  <c r="AR24" i="15"/>
  <c r="AN24" i="15"/>
  <c r="AM24" i="15"/>
  <c r="C24" i="15"/>
  <c r="D24" i="15" s="1"/>
  <c r="AT23" i="15"/>
  <c r="AS23" i="15"/>
  <c r="AR23" i="15"/>
  <c r="AN23" i="15"/>
  <c r="AM23" i="15"/>
  <c r="C23" i="15"/>
  <c r="D23" i="15"/>
  <c r="AT22" i="15"/>
  <c r="AT46" i="15" s="1"/>
  <c r="AR22" i="15"/>
  <c r="AM22" i="15"/>
  <c r="O22" i="15"/>
  <c r="AN22" i="15" s="1"/>
  <c r="C22" i="15"/>
  <c r="D22" i="15" s="1"/>
  <c r="AT21" i="15"/>
  <c r="AT45" i="15" s="1"/>
  <c r="AS21" i="15"/>
  <c r="AN21" i="15"/>
  <c r="K21" i="15"/>
  <c r="AM21" i="15"/>
  <c r="J21" i="15"/>
  <c r="I21" i="15"/>
  <c r="H21" i="15"/>
  <c r="G21" i="15"/>
  <c r="F21" i="15"/>
  <c r="AR20" i="15"/>
  <c r="AN20" i="15"/>
  <c r="AM20" i="15"/>
  <c r="C20" i="15"/>
  <c r="D20" i="15" s="1"/>
  <c r="AR19" i="15"/>
  <c r="AN19" i="15"/>
  <c r="AM19" i="15"/>
  <c r="C19" i="15"/>
  <c r="D19" i="15" s="1"/>
  <c r="AY17" i="15"/>
  <c r="AY57" i="15" s="1"/>
  <c r="AY59" i="15" s="1"/>
  <c r="U17" i="15"/>
  <c r="T17" i="15"/>
  <c r="T45" i="15" s="1"/>
  <c r="S17" i="15"/>
  <c r="S57" i="15" s="1"/>
  <c r="R17" i="15"/>
  <c r="R45" i="15" s="1"/>
  <c r="AO16" i="15"/>
  <c r="AP16" i="15" s="1"/>
  <c r="C16" i="15"/>
  <c r="D16" i="15" s="1"/>
  <c r="Q15" i="15"/>
  <c r="P15" i="15"/>
  <c r="O15" i="15"/>
  <c r="AN15" i="15" s="1"/>
  <c r="N15" i="15"/>
  <c r="M15" i="15"/>
  <c r="L15" i="15"/>
  <c r="K15" i="15"/>
  <c r="AM15" i="15" s="1"/>
  <c r="J15" i="15"/>
  <c r="AR15" i="15" s="1"/>
  <c r="I15" i="15"/>
  <c r="H15" i="15"/>
  <c r="G15" i="15"/>
  <c r="F15" i="15"/>
  <c r="Q14" i="15"/>
  <c r="Q17" i="15" s="1"/>
  <c r="Q43" i="15" s="1"/>
  <c r="P14" i="15"/>
  <c r="P17" i="15"/>
  <c r="O14" i="15"/>
  <c r="M14" i="15"/>
  <c r="M17" i="15" s="1"/>
  <c r="L14" i="15"/>
  <c r="L17" i="15" s="1"/>
  <c r="L57" i="15" s="1"/>
  <c r="K14" i="15"/>
  <c r="J14" i="15"/>
  <c r="I14" i="15"/>
  <c r="H14" i="15"/>
  <c r="H17" i="15" s="1"/>
  <c r="G14" i="15"/>
  <c r="G17" i="15" s="1"/>
  <c r="F14" i="15"/>
  <c r="F17" i="15" s="1"/>
  <c r="AT73" i="33"/>
  <c r="AS73" i="33"/>
  <c r="AR73" i="33"/>
  <c r="AN73" i="33"/>
  <c r="AM73" i="33"/>
  <c r="C73" i="33"/>
  <c r="AK71" i="33"/>
  <c r="AJ71" i="33"/>
  <c r="AI71" i="33"/>
  <c r="AH71" i="33"/>
  <c r="AG71" i="33"/>
  <c r="AF71" i="33"/>
  <c r="AE71" i="33"/>
  <c r="AD71" i="33"/>
  <c r="AC71" i="33"/>
  <c r="AB71" i="33"/>
  <c r="AA71" i="33"/>
  <c r="Z71" i="33"/>
  <c r="U71" i="33"/>
  <c r="T71" i="33"/>
  <c r="S71" i="33"/>
  <c r="R71" i="33"/>
  <c r="Q71" i="33"/>
  <c r="P71" i="33"/>
  <c r="O71" i="33"/>
  <c r="N71" i="33"/>
  <c r="I71" i="33"/>
  <c r="H71" i="33"/>
  <c r="G71" i="33"/>
  <c r="F71" i="33"/>
  <c r="AU70" i="33"/>
  <c r="AT70" i="33"/>
  <c r="AS70" i="33"/>
  <c r="AN70" i="33"/>
  <c r="M70" i="33"/>
  <c r="C70" i="33" s="1"/>
  <c r="D70" i="33" s="1"/>
  <c r="L70" i="33"/>
  <c r="K70" i="33"/>
  <c r="J70" i="33"/>
  <c r="AU69" i="33"/>
  <c r="AT69" i="33"/>
  <c r="AS69" i="33"/>
  <c r="AN69" i="33"/>
  <c r="L69" i="33"/>
  <c r="AM69" i="33" s="1"/>
  <c r="C69" i="33"/>
  <c r="D69" i="33" s="1"/>
  <c r="AU68" i="33"/>
  <c r="AT68" i="33"/>
  <c r="AS68" i="33"/>
  <c r="AR68" i="33"/>
  <c r="AN68" i="33"/>
  <c r="AM68" i="33"/>
  <c r="C68" i="33"/>
  <c r="D68" i="33" s="1"/>
  <c r="AU67" i="33"/>
  <c r="AT67" i="33"/>
  <c r="AS67" i="33"/>
  <c r="AR67" i="33"/>
  <c r="AN67" i="33"/>
  <c r="AM67" i="33"/>
  <c r="C67" i="33"/>
  <c r="D67" i="33" s="1"/>
  <c r="AY66" i="33"/>
  <c r="AY71" i="33" s="1"/>
  <c r="AX66" i="33"/>
  <c r="AX71" i="33" s="1"/>
  <c r="AW66" i="33"/>
  <c r="AW71" i="33" s="1"/>
  <c r="AV66" i="33"/>
  <c r="AV71" i="33" s="1"/>
  <c r="AT66" i="33"/>
  <c r="AS66" i="33"/>
  <c r="AN66" i="33"/>
  <c r="Y66" i="33"/>
  <c r="Y71" i="33" s="1"/>
  <c r="X66" i="33"/>
  <c r="X71" i="33" s="1"/>
  <c r="X82" i="33" s="1"/>
  <c r="W66" i="33"/>
  <c r="W71" i="33"/>
  <c r="V66" i="33"/>
  <c r="M66" i="33"/>
  <c r="AM66" i="33" s="1"/>
  <c r="L66" i="33"/>
  <c r="K66" i="33"/>
  <c r="J66" i="33"/>
  <c r="AU65" i="33"/>
  <c r="AT65" i="33"/>
  <c r="AS65" i="33"/>
  <c r="AN65" i="33"/>
  <c r="M65" i="33"/>
  <c r="L65" i="33"/>
  <c r="K65" i="33"/>
  <c r="J65" i="33"/>
  <c r="BB59" i="33"/>
  <c r="BA59" i="33"/>
  <c r="AZ59" i="33"/>
  <c r="AY59" i="33"/>
  <c r="H59" i="33"/>
  <c r="G59" i="33"/>
  <c r="F59" i="33"/>
  <c r="BA58" i="33"/>
  <c r="AZ58" i="33"/>
  <c r="AY58" i="33"/>
  <c r="AU52" i="33"/>
  <c r="AT52" i="33"/>
  <c r="P52" i="33"/>
  <c r="O52" i="33"/>
  <c r="AN52" i="33" s="1"/>
  <c r="N52" i="33"/>
  <c r="AS52" i="33" s="1"/>
  <c r="AO52" i="33" s="1"/>
  <c r="M52" i="33"/>
  <c r="L52" i="33"/>
  <c r="K52" i="33"/>
  <c r="AM52" i="33" s="1"/>
  <c r="J52" i="33"/>
  <c r="AR52" i="33" s="1"/>
  <c r="I52" i="33"/>
  <c r="C39" i="33"/>
  <c r="I38" i="33"/>
  <c r="C38" i="33" s="1"/>
  <c r="AZ36" i="33"/>
  <c r="AZ50" i="33" s="1"/>
  <c r="AY36" i="33"/>
  <c r="AY42" i="33" s="1"/>
  <c r="AX35" i="33"/>
  <c r="AX59" i="33" s="1"/>
  <c r="AW35" i="33"/>
  <c r="AW59" i="33" s="1"/>
  <c r="AV35" i="33"/>
  <c r="AV59" i="33" s="1"/>
  <c r="AK35" i="33"/>
  <c r="AJ35" i="33"/>
  <c r="AJ59" i="33" s="1"/>
  <c r="AI35" i="33"/>
  <c r="AI59" i="33" s="1"/>
  <c r="AH35" i="33"/>
  <c r="AH59" i="33" s="1"/>
  <c r="AG35" i="33"/>
  <c r="AG59" i="33" s="1"/>
  <c r="AF35" i="33"/>
  <c r="AF59" i="33" s="1"/>
  <c r="AE35" i="33"/>
  <c r="AE59" i="33" s="1"/>
  <c r="AD35" i="33"/>
  <c r="AD59" i="33"/>
  <c r="AC35" i="33"/>
  <c r="AB35" i="33"/>
  <c r="AB59" i="33" s="1"/>
  <c r="AA35" i="33"/>
  <c r="Z35" i="33"/>
  <c r="Z59" i="33" s="1"/>
  <c r="Y35" i="33"/>
  <c r="Y59" i="33" s="1"/>
  <c r="X35" i="33"/>
  <c r="X59" i="33" s="1"/>
  <c r="W35" i="33"/>
  <c r="W59" i="33" s="1"/>
  <c r="V35" i="33"/>
  <c r="V59" i="33" s="1"/>
  <c r="U35" i="33"/>
  <c r="T35" i="33"/>
  <c r="T59" i="33" s="1"/>
  <c r="S35" i="33"/>
  <c r="S59" i="33" s="1"/>
  <c r="R35" i="33"/>
  <c r="Q35" i="33"/>
  <c r="Q59" i="33" s="1"/>
  <c r="P35" i="33"/>
  <c r="N35" i="33"/>
  <c r="M35" i="33"/>
  <c r="L35" i="33"/>
  <c r="L59" i="33" s="1"/>
  <c r="K35" i="33"/>
  <c r="J35" i="33"/>
  <c r="I35" i="33"/>
  <c r="AT33" i="33"/>
  <c r="AS33" i="33"/>
  <c r="AR33" i="33"/>
  <c r="AN33" i="33"/>
  <c r="AM33" i="33"/>
  <c r="C33" i="33"/>
  <c r="AU32" i="33"/>
  <c r="AT32" i="33"/>
  <c r="AS32" i="33"/>
  <c r="AR32" i="33"/>
  <c r="AO32" i="33" s="1"/>
  <c r="AP32" i="33" s="1"/>
  <c r="AN32" i="33"/>
  <c r="AM32" i="33"/>
  <c r="C32" i="33"/>
  <c r="AU31" i="33"/>
  <c r="AT31" i="33"/>
  <c r="AS31" i="33"/>
  <c r="AR31" i="33"/>
  <c r="AN31" i="33"/>
  <c r="AM31" i="33"/>
  <c r="C31" i="33"/>
  <c r="AU30" i="33"/>
  <c r="AT30" i="33"/>
  <c r="AS30" i="33"/>
  <c r="AR30" i="33"/>
  <c r="AN30" i="33"/>
  <c r="AM30" i="33"/>
  <c r="C30" i="33"/>
  <c r="D30" i="33" s="1"/>
  <c r="AU29" i="33"/>
  <c r="AT29" i="33"/>
  <c r="AS29" i="33"/>
  <c r="AR29" i="33"/>
  <c r="AN29" i="33"/>
  <c r="AM29" i="33"/>
  <c r="C29" i="33"/>
  <c r="D29" i="33" s="1"/>
  <c r="AU28" i="33"/>
  <c r="AT28" i="33"/>
  <c r="AS28" i="33"/>
  <c r="AR28" i="33"/>
  <c r="AN28" i="33"/>
  <c r="AM28" i="33"/>
  <c r="C28" i="33"/>
  <c r="D28" i="33" s="1"/>
  <c r="AU27" i="33"/>
  <c r="AT27" i="33"/>
  <c r="AS27" i="33"/>
  <c r="AR27" i="33"/>
  <c r="AN27" i="33"/>
  <c r="AM27" i="33"/>
  <c r="C27" i="33"/>
  <c r="D27" i="33" s="1"/>
  <c r="AU26" i="33"/>
  <c r="AT26" i="33"/>
  <c r="AS26" i="33"/>
  <c r="AR26" i="33"/>
  <c r="AN26" i="33"/>
  <c r="AM26" i="33"/>
  <c r="C26" i="33"/>
  <c r="D26" i="33" s="1"/>
  <c r="AU25" i="33"/>
  <c r="AT25" i="33"/>
  <c r="AS25" i="33"/>
  <c r="AO25" i="33" s="1"/>
  <c r="AP25" i="33" s="1"/>
  <c r="AR25" i="33"/>
  <c r="AN25" i="33"/>
  <c r="AM25" i="33"/>
  <c r="C25" i="33"/>
  <c r="D25" i="33" s="1"/>
  <c r="AU24" i="33"/>
  <c r="AT24" i="33"/>
  <c r="AS24" i="33"/>
  <c r="AR24" i="33"/>
  <c r="AR35" i="33" s="1"/>
  <c r="AN24" i="33"/>
  <c r="AM24" i="33"/>
  <c r="C24" i="33"/>
  <c r="D24" i="33" s="1"/>
  <c r="AU23" i="33"/>
  <c r="AT23" i="33"/>
  <c r="AR23" i="33"/>
  <c r="AM23" i="33"/>
  <c r="O23" i="33"/>
  <c r="C23" i="33"/>
  <c r="D23" i="33" s="1"/>
  <c r="AS22" i="33"/>
  <c r="AR22" i="33"/>
  <c r="AN22" i="33"/>
  <c r="AM22" i="33"/>
  <c r="C22" i="33"/>
  <c r="D22" i="33" s="1"/>
  <c r="AX20" i="33"/>
  <c r="AW20" i="33"/>
  <c r="AV20" i="33"/>
  <c r="AU20" i="33"/>
  <c r="AT20" i="33"/>
  <c r="AK20" i="33"/>
  <c r="AJ20" i="33"/>
  <c r="AI20" i="33"/>
  <c r="AH20" i="33"/>
  <c r="AG20" i="33"/>
  <c r="AF20" i="33"/>
  <c r="AE20" i="33"/>
  <c r="AD20" i="33"/>
  <c r="AC20" i="33"/>
  <c r="AB20" i="33"/>
  <c r="AA20" i="33"/>
  <c r="Z20" i="33"/>
  <c r="Y20" i="33"/>
  <c r="X20" i="33"/>
  <c r="W20" i="33"/>
  <c r="V20" i="33"/>
  <c r="U20" i="33"/>
  <c r="T20" i="33"/>
  <c r="S20" i="33"/>
  <c r="R20" i="33"/>
  <c r="Q20" i="33"/>
  <c r="P20" i="33"/>
  <c r="AN19" i="33"/>
  <c r="AN18" i="33"/>
  <c r="AX16" i="33"/>
  <c r="AX47" i="33" s="1"/>
  <c r="AW16" i="33"/>
  <c r="AV16" i="33"/>
  <c r="AK16" i="33"/>
  <c r="AK45" i="33" s="1"/>
  <c r="AJ16" i="33"/>
  <c r="AJ44" i="33"/>
  <c r="AI16" i="33"/>
  <c r="AH16" i="33"/>
  <c r="AH44" i="33"/>
  <c r="AG16" i="33"/>
  <c r="AF16" i="33"/>
  <c r="AE16" i="33"/>
  <c r="AE58" i="33" s="1"/>
  <c r="AD16" i="33"/>
  <c r="AC16" i="33"/>
  <c r="AC45" i="33" s="1"/>
  <c r="AB16" i="33"/>
  <c r="AA16" i="33"/>
  <c r="Z16" i="33"/>
  <c r="Z44" i="33" s="1"/>
  <c r="Y16" i="33"/>
  <c r="X16" i="33"/>
  <c r="X48" i="33" s="1"/>
  <c r="W16" i="33"/>
  <c r="W58" i="33"/>
  <c r="W60" i="33" s="1"/>
  <c r="V16" i="33"/>
  <c r="V44" i="33"/>
  <c r="U16" i="33"/>
  <c r="U44" i="33"/>
  <c r="T16" i="33"/>
  <c r="T58" i="33" s="1"/>
  <c r="S16" i="33"/>
  <c r="S46" i="33"/>
  <c r="R16" i="33"/>
  <c r="R44" i="33" s="1"/>
  <c r="Q16" i="33"/>
  <c r="P16" i="33"/>
  <c r="P58" i="33" s="1"/>
  <c r="AN58" i="33" s="1"/>
  <c r="O16" i="33"/>
  <c r="O58" i="33" s="1"/>
  <c r="N15" i="33"/>
  <c r="AS15" i="33"/>
  <c r="M15" i="33"/>
  <c r="L15" i="33"/>
  <c r="K15" i="33"/>
  <c r="J15" i="33"/>
  <c r="I15" i="33"/>
  <c r="H15" i="33"/>
  <c r="G15" i="33"/>
  <c r="F15" i="33"/>
  <c r="AU14" i="33"/>
  <c r="AU16" i="33"/>
  <c r="AT14" i="33"/>
  <c r="AT16" i="33" s="1"/>
  <c r="AT47" i="33" s="1"/>
  <c r="AN14" i="33"/>
  <c r="AN16" i="33" s="1"/>
  <c r="AN45" i="33" s="1"/>
  <c r="N14" i="33"/>
  <c r="AS14" i="33"/>
  <c r="AS16" i="33" s="1"/>
  <c r="AS45" i="33" s="1"/>
  <c r="M14" i="33"/>
  <c r="L14" i="33"/>
  <c r="L16" i="33" s="1"/>
  <c r="L45" i="33" s="1"/>
  <c r="K14" i="33"/>
  <c r="AM14" i="33" s="1"/>
  <c r="AM16" i="33" s="1"/>
  <c r="AM47" i="33" s="1"/>
  <c r="J14" i="33"/>
  <c r="AR14" i="33" s="1"/>
  <c r="I14" i="33"/>
  <c r="I16" i="33" s="1"/>
  <c r="I47" i="33" s="1"/>
  <c r="H14" i="33"/>
  <c r="H16" i="33" s="1"/>
  <c r="H58" i="33" s="1"/>
  <c r="G14" i="33"/>
  <c r="G16" i="33" s="1"/>
  <c r="G58" i="33" s="1"/>
  <c r="G60" i="33" s="1"/>
  <c r="F14" i="33"/>
  <c r="F16" i="33" s="1"/>
  <c r="F58" i="33" s="1"/>
  <c r="F60" i="33" s="1"/>
  <c r="AT77" i="13"/>
  <c r="O77" i="13"/>
  <c r="AN77" i="13"/>
  <c r="N77" i="13"/>
  <c r="AS77" i="13"/>
  <c r="M77" i="13"/>
  <c r="AR77" i="13" s="1"/>
  <c r="Q75" i="13"/>
  <c r="P75" i="13"/>
  <c r="O75" i="13"/>
  <c r="N75" i="13"/>
  <c r="M75" i="13"/>
  <c r="K75" i="13"/>
  <c r="J75" i="13"/>
  <c r="I75" i="13"/>
  <c r="H75" i="13"/>
  <c r="G75" i="13"/>
  <c r="F75" i="13"/>
  <c r="AS74" i="13"/>
  <c r="AN74" i="13"/>
  <c r="L74" i="13"/>
  <c r="AR74" i="13" s="1"/>
  <c r="AO74" i="13" s="1"/>
  <c r="C74" i="13"/>
  <c r="D74" i="13" s="1"/>
  <c r="AY73" i="13"/>
  <c r="AS73" i="13"/>
  <c r="AR73" i="13"/>
  <c r="AN73" i="13"/>
  <c r="AM73" i="13"/>
  <c r="C73" i="13"/>
  <c r="D73" i="13" s="1"/>
  <c r="AS72" i="13"/>
  <c r="AR72" i="13"/>
  <c r="AN72" i="13"/>
  <c r="AM72" i="13"/>
  <c r="C72" i="13"/>
  <c r="D72" i="13"/>
  <c r="AY71" i="13"/>
  <c r="AS71" i="13"/>
  <c r="AR71" i="13"/>
  <c r="AN71" i="13"/>
  <c r="AM71" i="13"/>
  <c r="C71" i="13"/>
  <c r="D71" i="13" s="1"/>
  <c r="AY70" i="13"/>
  <c r="AS70" i="13"/>
  <c r="AR70" i="13"/>
  <c r="AN70" i="13"/>
  <c r="AM70" i="13"/>
  <c r="C70" i="13"/>
  <c r="D70" i="13" s="1"/>
  <c r="AS69" i="13"/>
  <c r="AR69" i="13"/>
  <c r="AO69" i="13" s="1"/>
  <c r="AN69" i="13"/>
  <c r="AM69" i="13"/>
  <c r="C69" i="13"/>
  <c r="D69" i="13"/>
  <c r="Q52" i="13"/>
  <c r="P52" i="13"/>
  <c r="O52" i="13"/>
  <c r="AN52" i="13" s="1"/>
  <c r="N52" i="13"/>
  <c r="AS52" i="13" s="1"/>
  <c r="M52" i="13"/>
  <c r="L52" i="13"/>
  <c r="K52" i="13"/>
  <c r="AM52" i="13" s="1"/>
  <c r="J52" i="13"/>
  <c r="AR52" i="13" s="1"/>
  <c r="I52" i="13"/>
  <c r="AW45" i="13"/>
  <c r="AV45" i="13"/>
  <c r="AU45" i="13"/>
  <c r="AT45" i="13"/>
  <c r="AW44" i="13"/>
  <c r="AV44" i="13"/>
  <c r="AU44" i="13"/>
  <c r="AT44" i="13"/>
  <c r="AV42" i="13"/>
  <c r="AU42" i="13"/>
  <c r="AK42" i="13"/>
  <c r="AJ42" i="13"/>
  <c r="AI42" i="13"/>
  <c r="AH42" i="13"/>
  <c r="AG42" i="13"/>
  <c r="AF42" i="13"/>
  <c r="AE42" i="13"/>
  <c r="AD42" i="13"/>
  <c r="AC42" i="13"/>
  <c r="AB42" i="13"/>
  <c r="AA42" i="13"/>
  <c r="Z42" i="13"/>
  <c r="Y42" i="13"/>
  <c r="X42" i="13"/>
  <c r="W42" i="13"/>
  <c r="V42" i="13"/>
  <c r="I39" i="13"/>
  <c r="I37" i="15" s="1"/>
  <c r="C37" i="15" s="1"/>
  <c r="I38" i="13"/>
  <c r="C38" i="13" s="1"/>
  <c r="U35" i="13"/>
  <c r="T35" i="13"/>
  <c r="S35" i="13"/>
  <c r="S59" i="13" s="1"/>
  <c r="R35" i="13"/>
  <c r="R59" i="13" s="1"/>
  <c r="Q35" i="13"/>
  <c r="P35" i="13"/>
  <c r="N35" i="13"/>
  <c r="N59" i="13" s="1"/>
  <c r="M35" i="13"/>
  <c r="L35" i="13"/>
  <c r="L59" i="13" s="1"/>
  <c r="H35" i="13"/>
  <c r="H59" i="13"/>
  <c r="G35" i="13"/>
  <c r="F35" i="13"/>
  <c r="AS34" i="13"/>
  <c r="AR34" i="13"/>
  <c r="AN34" i="13"/>
  <c r="AM34" i="13"/>
  <c r="C34" i="13"/>
  <c r="AS33" i="13"/>
  <c r="AR33" i="13"/>
  <c r="AN33" i="13"/>
  <c r="AM33" i="13"/>
  <c r="C33" i="13"/>
  <c r="AS32" i="13"/>
  <c r="AR32" i="13"/>
  <c r="AN32" i="13"/>
  <c r="AM32" i="13"/>
  <c r="C32" i="13"/>
  <c r="AT31" i="13"/>
  <c r="AS31" i="13"/>
  <c r="AR31" i="13"/>
  <c r="AN31" i="13"/>
  <c r="AM31" i="13"/>
  <c r="C31" i="13"/>
  <c r="AR30" i="13"/>
  <c r="AO30" i="13" s="1"/>
  <c r="AP30" i="13" s="1"/>
  <c r="AM30" i="13"/>
  <c r="O30" i="13"/>
  <c r="C30" i="13"/>
  <c r="AT29" i="13"/>
  <c r="AS29" i="13"/>
  <c r="AR29" i="13"/>
  <c r="AN29" i="13"/>
  <c r="AM29" i="13"/>
  <c r="C29" i="13"/>
  <c r="D29" i="13" s="1"/>
  <c r="AT28" i="13"/>
  <c r="AR28" i="13"/>
  <c r="AM28" i="13"/>
  <c r="O28" i="13"/>
  <c r="AS28" i="13" s="1"/>
  <c r="C28" i="13"/>
  <c r="D28" i="13" s="1"/>
  <c r="AT27" i="13"/>
  <c r="AS27" i="13"/>
  <c r="AR27" i="13"/>
  <c r="AN27" i="13"/>
  <c r="AM27" i="13"/>
  <c r="C27" i="13"/>
  <c r="D27" i="13" s="1"/>
  <c r="AT26" i="13"/>
  <c r="AS26" i="13"/>
  <c r="AR26" i="13"/>
  <c r="AN26" i="13"/>
  <c r="AM26" i="13"/>
  <c r="C26" i="13"/>
  <c r="D26" i="13" s="1"/>
  <c r="AT25" i="13"/>
  <c r="AS25" i="13"/>
  <c r="AR25" i="13"/>
  <c r="AN25" i="13"/>
  <c r="AM25" i="13"/>
  <c r="C25" i="13"/>
  <c r="D25" i="13" s="1"/>
  <c r="AT24" i="13"/>
  <c r="AS24" i="13"/>
  <c r="AR24" i="13"/>
  <c r="AN24" i="13"/>
  <c r="AM24" i="13"/>
  <c r="C24" i="13"/>
  <c r="D24" i="13" s="1"/>
  <c r="AT23" i="13"/>
  <c r="AS23" i="13"/>
  <c r="AR23" i="13"/>
  <c r="AN23" i="13"/>
  <c r="AM23" i="13"/>
  <c r="C23" i="13"/>
  <c r="D23" i="13"/>
  <c r="AT22" i="13"/>
  <c r="AS22" i="13"/>
  <c r="AO22" i="13" s="1"/>
  <c r="AP22" i="13" s="1"/>
  <c r="AR22" i="13"/>
  <c r="AN22" i="13"/>
  <c r="AM22" i="13"/>
  <c r="C22" i="13"/>
  <c r="D22" i="13" s="1"/>
  <c r="AT21" i="13"/>
  <c r="AR21" i="13"/>
  <c r="AM21" i="13"/>
  <c r="O21" i="13"/>
  <c r="C21" i="13"/>
  <c r="D21" i="13" s="1"/>
  <c r="AT20" i="13"/>
  <c r="O20" i="13"/>
  <c r="AN20" i="13" s="1"/>
  <c r="K20" i="13"/>
  <c r="J20" i="13"/>
  <c r="I20" i="13"/>
  <c r="AR19" i="13"/>
  <c r="AN19" i="13"/>
  <c r="AM19" i="13"/>
  <c r="C19" i="13"/>
  <c r="D19" i="13" s="1"/>
  <c r="AR18" i="13"/>
  <c r="AR20" i="13" s="1"/>
  <c r="AN18" i="13"/>
  <c r="AM18" i="13"/>
  <c r="C18" i="13"/>
  <c r="D18" i="13" s="1"/>
  <c r="AZ16" i="13"/>
  <c r="AZ58" i="13" s="1"/>
  <c r="AZ60" i="13" s="1"/>
  <c r="AY16" i="13"/>
  <c r="U16" i="13"/>
  <c r="T15" i="13"/>
  <c r="S15" i="13"/>
  <c r="R15" i="13"/>
  <c r="Q15" i="13"/>
  <c r="P15" i="13"/>
  <c r="O15" i="13"/>
  <c r="N15" i="13"/>
  <c r="M15" i="13"/>
  <c r="L15" i="13"/>
  <c r="K15" i="13"/>
  <c r="J15" i="13"/>
  <c r="I15" i="13"/>
  <c r="H15" i="13"/>
  <c r="G15" i="13"/>
  <c r="F15" i="13"/>
  <c r="T14" i="13"/>
  <c r="S14" i="13"/>
  <c r="R14" i="13"/>
  <c r="Q14" i="13"/>
  <c r="P14" i="13"/>
  <c r="O14" i="13"/>
  <c r="AN14" i="13" s="1"/>
  <c r="N14" i="13"/>
  <c r="AS14" i="13" s="1"/>
  <c r="M14" i="13"/>
  <c r="L14" i="13"/>
  <c r="K14" i="13"/>
  <c r="AM14" i="13" s="1"/>
  <c r="J14" i="13"/>
  <c r="AR14" i="13" s="1"/>
  <c r="AO14" i="13" s="1"/>
  <c r="AP14" i="13" s="1"/>
  <c r="I14" i="13"/>
  <c r="C14" i="13" s="1"/>
  <c r="D14" i="13" s="1"/>
  <c r="H14" i="13"/>
  <c r="G14" i="13"/>
  <c r="F14" i="13"/>
  <c r="T13" i="13"/>
  <c r="T16" i="13" s="1"/>
  <c r="S13" i="13"/>
  <c r="S16" i="13" s="1"/>
  <c r="R13" i="13"/>
  <c r="R16" i="13" s="1"/>
  <c r="Q13" i="13"/>
  <c r="Q16" i="13" s="1"/>
  <c r="Q44" i="13" s="1"/>
  <c r="P13" i="13"/>
  <c r="P16" i="13" s="1"/>
  <c r="P48" i="13" s="1"/>
  <c r="O13" i="13"/>
  <c r="O16" i="13" s="1"/>
  <c r="O58" i="13" s="1"/>
  <c r="N13" i="13"/>
  <c r="M13" i="13"/>
  <c r="L13" i="13"/>
  <c r="L16" i="13" s="1"/>
  <c r="L46" i="13" s="1"/>
  <c r="K13" i="13"/>
  <c r="K16" i="13" s="1"/>
  <c r="K58" i="13" s="1"/>
  <c r="J13" i="13"/>
  <c r="J16" i="13" s="1"/>
  <c r="J46" i="13" s="1"/>
  <c r="I13" i="13"/>
  <c r="I16" i="13" s="1"/>
  <c r="H13" i="13"/>
  <c r="H16" i="13" s="1"/>
  <c r="G13" i="13"/>
  <c r="G16" i="13" s="1"/>
  <c r="G44" i="13" s="1"/>
  <c r="F13" i="13"/>
  <c r="F16" i="13" s="1"/>
  <c r="M62" i="50"/>
  <c r="Q82" i="39"/>
  <c r="P82" i="39"/>
  <c r="O82" i="39"/>
  <c r="N82" i="39"/>
  <c r="M82" i="39"/>
  <c r="L82" i="39"/>
  <c r="K82" i="39"/>
  <c r="J82" i="39"/>
  <c r="I82" i="39"/>
  <c r="H82" i="39"/>
  <c r="G82" i="39"/>
  <c r="F82" i="39"/>
  <c r="AS81" i="39"/>
  <c r="AO81" i="39" s="1"/>
  <c r="AP81" i="39" s="1"/>
  <c r="AR81" i="39"/>
  <c r="AN81" i="39"/>
  <c r="AM81" i="39"/>
  <c r="AS80" i="39"/>
  <c r="AR80" i="39"/>
  <c r="AN80" i="39"/>
  <c r="AM80" i="39"/>
  <c r="AS79" i="39"/>
  <c r="AR79" i="39"/>
  <c r="AN79" i="39"/>
  <c r="AM79" i="39"/>
  <c r="AS78" i="39"/>
  <c r="AO78" i="39" s="1"/>
  <c r="AR78" i="39"/>
  <c r="AN78" i="39"/>
  <c r="AM78" i="39"/>
  <c r="AS77" i="39"/>
  <c r="AR77" i="39"/>
  <c r="AN77" i="39"/>
  <c r="AM77" i="39"/>
  <c r="AS76" i="39"/>
  <c r="AR76" i="39"/>
  <c r="AN76" i="39"/>
  <c r="AM76" i="39"/>
  <c r="Q65" i="39"/>
  <c r="P65" i="39"/>
  <c r="O65" i="39"/>
  <c r="N65" i="39"/>
  <c r="U64" i="39"/>
  <c r="U69" i="39" s="1"/>
  <c r="T64" i="39"/>
  <c r="T69" i="39"/>
  <c r="S64" i="39"/>
  <c r="S69" i="39" s="1"/>
  <c r="R64" i="39"/>
  <c r="AR37" i="39"/>
  <c r="AR38" i="39"/>
  <c r="AN37" i="39"/>
  <c r="AM37" i="39"/>
  <c r="I37" i="39"/>
  <c r="AR36" i="39"/>
  <c r="AR35" i="39"/>
  <c r="AR34" i="39"/>
  <c r="AR33" i="39"/>
  <c r="U31" i="39"/>
  <c r="U65" i="39" s="1"/>
  <c r="T31" i="39"/>
  <c r="T65" i="39" s="1"/>
  <c r="S31" i="39"/>
  <c r="S32" i="39" s="1"/>
  <c r="S39" i="39" s="1"/>
  <c r="R31" i="39"/>
  <c r="R65" i="39"/>
  <c r="R66" i="39" s="1"/>
  <c r="R67" i="39" s="1"/>
  <c r="AR30" i="39"/>
  <c r="AN30" i="39"/>
  <c r="AM30" i="39"/>
  <c r="AR29" i="39"/>
  <c r="AO29" i="39" s="1"/>
  <c r="AN29" i="39"/>
  <c r="AM29" i="39"/>
  <c r="AR28" i="39"/>
  <c r="AO28" i="39" s="1"/>
  <c r="AP28" i="39" s="1"/>
  <c r="AN28" i="39"/>
  <c r="AM28" i="39"/>
  <c r="AR27" i="39"/>
  <c r="AO27" i="39" s="1"/>
  <c r="AP27" i="39" s="1"/>
  <c r="AN27" i="39"/>
  <c r="AM27" i="39"/>
  <c r="AR26" i="39"/>
  <c r="AO26" i="39" s="1"/>
  <c r="AP26" i="39" s="1"/>
  <c r="AN26" i="39"/>
  <c r="AM26" i="39"/>
  <c r="AR25" i="39"/>
  <c r="AO25" i="39" s="1"/>
  <c r="AP25" i="39" s="1"/>
  <c r="AN25" i="39"/>
  <c r="AM25" i="39"/>
  <c r="AR24" i="39"/>
  <c r="AO24" i="39" s="1"/>
  <c r="AP24" i="39" s="1"/>
  <c r="AN24" i="39"/>
  <c r="AM24" i="39"/>
  <c r="AR23" i="39"/>
  <c r="AO23" i="39" s="1"/>
  <c r="AP23" i="39" s="1"/>
  <c r="AN23" i="39"/>
  <c r="AM23" i="39"/>
  <c r="AR22" i="39"/>
  <c r="AO22" i="39" s="1"/>
  <c r="AP22" i="39"/>
  <c r="AN22" i="39"/>
  <c r="AM22" i="39"/>
  <c r="AR21" i="39"/>
  <c r="AO21" i="39" s="1"/>
  <c r="AP21" i="39" s="1"/>
  <c r="AN21" i="39"/>
  <c r="AM21" i="39"/>
  <c r="AR20" i="39"/>
  <c r="AO20" i="39" s="1"/>
  <c r="AP20" i="39" s="1"/>
  <c r="AN20" i="39"/>
  <c r="AM20" i="39"/>
  <c r="AN19" i="39"/>
  <c r="M19" i="39"/>
  <c r="M31" i="39" s="1"/>
  <c r="M65" i="39" s="1"/>
  <c r="L19" i="39"/>
  <c r="L31" i="39"/>
  <c r="K19" i="39"/>
  <c r="J19" i="39"/>
  <c r="J31" i="39" s="1"/>
  <c r="I19" i="39"/>
  <c r="I31" i="39" s="1"/>
  <c r="I65" i="39" s="1"/>
  <c r="H19" i="39"/>
  <c r="H31" i="39" s="1"/>
  <c r="G19" i="39"/>
  <c r="G31" i="39"/>
  <c r="F19" i="39"/>
  <c r="F31" i="39" s="1"/>
  <c r="AR18" i="39"/>
  <c r="AO18" i="39" s="1"/>
  <c r="AP18" i="39" s="1"/>
  <c r="AN18" i="39"/>
  <c r="AM18" i="39"/>
  <c r="AR17" i="39"/>
  <c r="AN17" i="39"/>
  <c r="AM17" i="39"/>
  <c r="Q15" i="39"/>
  <c r="Q64" i="39" s="1"/>
  <c r="P15" i="39"/>
  <c r="P64" i="39" s="1"/>
  <c r="O15" i="39"/>
  <c r="O64" i="39" s="1"/>
  <c r="O69" i="39" s="1"/>
  <c r="N15" i="39"/>
  <c r="N64" i="39" s="1"/>
  <c r="M15" i="39"/>
  <c r="L15" i="39"/>
  <c r="L64" i="39" s="1"/>
  <c r="K15" i="39"/>
  <c r="K64" i="39" s="1"/>
  <c r="J15" i="39"/>
  <c r="J64" i="39"/>
  <c r="I15" i="39"/>
  <c r="I64" i="39" s="1"/>
  <c r="H15" i="39"/>
  <c r="G15" i="39"/>
  <c r="F15" i="39"/>
  <c r="AR14" i="39"/>
  <c r="AO14" i="39" s="1"/>
  <c r="AN14" i="39"/>
  <c r="AN15" i="39" s="1"/>
  <c r="AM14" i="39"/>
  <c r="AM15" i="39" s="1"/>
  <c r="E213" i="47"/>
  <c r="E214" i="47"/>
  <c r="E187" i="47"/>
  <c r="J297" i="47"/>
  <c r="J263" i="47"/>
  <c r="J262" i="47"/>
  <c r="J260" i="47"/>
  <c r="J293" i="47"/>
  <c r="J308" i="47"/>
  <c r="J270" i="47"/>
  <c r="L270" i="47" s="1"/>
  <c r="J301" i="47"/>
  <c r="J302" i="47"/>
  <c r="Q22" i="43"/>
  <c r="Y17" i="43"/>
  <c r="BL81" i="43"/>
  <c r="BD78" i="43"/>
  <c r="BC78" i="43"/>
  <c r="BB78" i="43"/>
  <c r="S78" i="43"/>
  <c r="R78" i="43"/>
  <c r="Q78" i="43"/>
  <c r="P78" i="43"/>
  <c r="O78" i="43"/>
  <c r="AV78" i="43" s="1"/>
  <c r="N78" i="43"/>
  <c r="M78" i="43"/>
  <c r="L78" i="43"/>
  <c r="K78" i="43"/>
  <c r="J78" i="43"/>
  <c r="I78" i="43"/>
  <c r="BG76" i="43"/>
  <c r="AL76" i="43"/>
  <c r="AK76" i="43"/>
  <c r="AJ76" i="43"/>
  <c r="AG76" i="43"/>
  <c r="AF76" i="43"/>
  <c r="AE76" i="43"/>
  <c r="AD76" i="43"/>
  <c r="AB76" i="43"/>
  <c r="AA76" i="43"/>
  <c r="Z76" i="43"/>
  <c r="BD75" i="43"/>
  <c r="BC75" i="43"/>
  <c r="BB75" i="43"/>
  <c r="Y75" i="43"/>
  <c r="S75" i="43"/>
  <c r="R75" i="43"/>
  <c r="Q75" i="43"/>
  <c r="P75" i="43"/>
  <c r="O75" i="43"/>
  <c r="AV75" i="43" s="1"/>
  <c r="N75" i="43"/>
  <c r="M75" i="43"/>
  <c r="L75" i="43"/>
  <c r="K75" i="43"/>
  <c r="AU75" i="43" s="1"/>
  <c r="J75" i="43"/>
  <c r="I75" i="43"/>
  <c r="BD74" i="43"/>
  <c r="BC74" i="43"/>
  <c r="BB74" i="43"/>
  <c r="Y74" i="43"/>
  <c r="S74" i="43"/>
  <c r="R74" i="43"/>
  <c r="Q74" i="43"/>
  <c r="P74" i="43"/>
  <c r="O74" i="43"/>
  <c r="N74" i="43"/>
  <c r="M74" i="43"/>
  <c r="L74" i="43"/>
  <c r="K74" i="43"/>
  <c r="AU74" i="43" s="1"/>
  <c r="J74" i="43"/>
  <c r="I74" i="43"/>
  <c r="BD73" i="43"/>
  <c r="BC73" i="43"/>
  <c r="BB73" i="43"/>
  <c r="Y73" i="43"/>
  <c r="S73" i="43"/>
  <c r="R73" i="43"/>
  <c r="Q73" i="43"/>
  <c r="P73" i="43"/>
  <c r="O73" i="43"/>
  <c r="N73" i="43"/>
  <c r="BA73" i="43" s="1"/>
  <c r="M73" i="43"/>
  <c r="L73" i="43"/>
  <c r="K73" i="43"/>
  <c r="J73" i="43"/>
  <c r="I73" i="43"/>
  <c r="BH72" i="43"/>
  <c r="BD72" i="43"/>
  <c r="BC72" i="43"/>
  <c r="BB72" i="43"/>
  <c r="Y72" i="43"/>
  <c r="S72" i="43"/>
  <c r="R72" i="43"/>
  <c r="Q72" i="43"/>
  <c r="P72" i="43"/>
  <c r="O72" i="43"/>
  <c r="N72" i="43"/>
  <c r="M72" i="43"/>
  <c r="L72" i="43"/>
  <c r="K72" i="43"/>
  <c r="J72" i="43"/>
  <c r="I72" i="43"/>
  <c r="BI71" i="43"/>
  <c r="BI76" i="43" s="1"/>
  <c r="BH71" i="43"/>
  <c r="BD71" i="43"/>
  <c r="BC71" i="43"/>
  <c r="BB71" i="43"/>
  <c r="AI71" i="43"/>
  <c r="AI76" i="43" s="1"/>
  <c r="AH71" i="43"/>
  <c r="AH76" i="43" s="1"/>
  <c r="AC71" i="43"/>
  <c r="AC76" i="43" s="1"/>
  <c r="Y71" i="43"/>
  <c r="S71" i="43"/>
  <c r="R71" i="43"/>
  <c r="Q71" i="43"/>
  <c r="P71" i="43"/>
  <c r="O71" i="43"/>
  <c r="N71" i="43"/>
  <c r="M71" i="43"/>
  <c r="L71" i="43"/>
  <c r="K71" i="43"/>
  <c r="J71" i="43"/>
  <c r="I71" i="43"/>
  <c r="BD70" i="43"/>
  <c r="BC70" i="43"/>
  <c r="BB70" i="43"/>
  <c r="Y70" i="43"/>
  <c r="S70" i="43"/>
  <c r="R70" i="43"/>
  <c r="Q70" i="43"/>
  <c r="P70" i="43"/>
  <c r="O70" i="43"/>
  <c r="N70" i="43"/>
  <c r="M70" i="43"/>
  <c r="L70" i="43"/>
  <c r="K70" i="43"/>
  <c r="J70" i="43"/>
  <c r="I70" i="43"/>
  <c r="BE65" i="43"/>
  <c r="BE64" i="43"/>
  <c r="BI63" i="43"/>
  <c r="BH63" i="43"/>
  <c r="BG63" i="43"/>
  <c r="BE63" i="43"/>
  <c r="AL63" i="43"/>
  <c r="AK63" i="43"/>
  <c r="AJ63" i="43"/>
  <c r="AI63" i="43"/>
  <c r="AH63" i="43"/>
  <c r="BD61" i="43"/>
  <c r="BD60" i="43"/>
  <c r="BC60" i="43"/>
  <c r="BB60" i="43"/>
  <c r="AG60" i="43"/>
  <c r="AF60" i="43"/>
  <c r="AE60" i="43"/>
  <c r="AD60" i="43"/>
  <c r="BD59" i="43"/>
  <c r="BC59" i="43"/>
  <c r="BB59" i="43"/>
  <c r="BD58" i="43"/>
  <c r="BC58" i="43"/>
  <c r="BB58" i="43"/>
  <c r="BD52" i="43"/>
  <c r="BC52" i="43"/>
  <c r="BB52" i="43"/>
  <c r="BA52" i="43"/>
  <c r="AZ52" i="43"/>
  <c r="S52" i="43"/>
  <c r="R52" i="43"/>
  <c r="Q52" i="43"/>
  <c r="O52" i="43"/>
  <c r="AV52" i="43" s="1"/>
  <c r="N52" i="43"/>
  <c r="M52" i="43"/>
  <c r="L52" i="43"/>
  <c r="K52" i="43"/>
  <c r="AU52" i="43" s="1"/>
  <c r="J52" i="43"/>
  <c r="I52" i="43"/>
  <c r="BE50" i="43"/>
  <c r="BE49" i="43"/>
  <c r="BE48" i="43"/>
  <c r="BI47" i="43"/>
  <c r="BH47" i="43"/>
  <c r="BG47" i="43"/>
  <c r="BE47" i="43"/>
  <c r="AL47" i="43"/>
  <c r="AK47" i="43"/>
  <c r="AJ47" i="43"/>
  <c r="AI47" i="43"/>
  <c r="AH47" i="43"/>
  <c r="BI46" i="43"/>
  <c r="BH46" i="43"/>
  <c r="BG46" i="43"/>
  <c r="BE46" i="43"/>
  <c r="AL46" i="43"/>
  <c r="AK46" i="43"/>
  <c r="AJ46" i="43"/>
  <c r="AI46" i="43"/>
  <c r="AH46" i="43"/>
  <c r="BI45" i="43"/>
  <c r="BH45" i="43"/>
  <c r="BG45" i="43"/>
  <c r="BE45" i="43"/>
  <c r="AL45" i="43"/>
  <c r="AK45" i="43"/>
  <c r="AJ45" i="43"/>
  <c r="AI45" i="43"/>
  <c r="AH45" i="43"/>
  <c r="BG44" i="43"/>
  <c r="BE44" i="43"/>
  <c r="BG43" i="43"/>
  <c r="BE43" i="43"/>
  <c r="BD40" i="43"/>
  <c r="BC40" i="43"/>
  <c r="BB40" i="43"/>
  <c r="Y40" i="43"/>
  <c r="S40" i="43"/>
  <c r="R40" i="43"/>
  <c r="P40" i="43"/>
  <c r="O40" i="43"/>
  <c r="N40" i="43"/>
  <c r="BA40" i="43" s="1"/>
  <c r="M40" i="43"/>
  <c r="L40" i="43"/>
  <c r="K40" i="43"/>
  <c r="J40" i="43"/>
  <c r="BA39" i="43"/>
  <c r="AZ39" i="43"/>
  <c r="AV39" i="43"/>
  <c r="AU39" i="43"/>
  <c r="I39" i="43"/>
  <c r="C39" i="43" s="1"/>
  <c r="BA38" i="43"/>
  <c r="AZ38" i="43"/>
  <c r="AV38" i="43"/>
  <c r="AU38" i="43"/>
  <c r="J38" i="43"/>
  <c r="I38" i="43"/>
  <c r="C38" i="43" s="1"/>
  <c r="D38" i="43" s="1"/>
  <c r="AZ37" i="43"/>
  <c r="AV37" i="43"/>
  <c r="AU37" i="43"/>
  <c r="N37" i="43"/>
  <c r="BA37" i="43" s="1"/>
  <c r="J37" i="43"/>
  <c r="I37" i="43"/>
  <c r="C37" i="43" s="1"/>
  <c r="AZ36" i="43"/>
  <c r="AV36" i="43"/>
  <c r="AU36" i="43"/>
  <c r="N36" i="43"/>
  <c r="BA36" i="43" s="1"/>
  <c r="J36" i="43"/>
  <c r="I36" i="43"/>
  <c r="C36" i="43" s="1"/>
  <c r="D36" i="43" s="1"/>
  <c r="AG35" i="43"/>
  <c r="AG41" i="43" s="1"/>
  <c r="AF35" i="43"/>
  <c r="AF41" i="43" s="1"/>
  <c r="AE35" i="43"/>
  <c r="AE41" i="43" s="1"/>
  <c r="AD35" i="43"/>
  <c r="AD41" i="43" s="1"/>
  <c r="BJ34" i="43"/>
  <c r="BJ59" i="43" s="1"/>
  <c r="BI34" i="43"/>
  <c r="BI48" i="43" s="1"/>
  <c r="BH34" i="43"/>
  <c r="BG34" i="43"/>
  <c r="AL34" i="43"/>
  <c r="AK34" i="43"/>
  <c r="AJ34" i="43"/>
  <c r="AJ59" i="43" s="1"/>
  <c r="AJ64" i="43" s="1"/>
  <c r="AI34" i="43"/>
  <c r="AI35" i="43" s="1"/>
  <c r="AH34" i="43"/>
  <c r="AH48" i="43" s="1"/>
  <c r="AC34" i="43"/>
  <c r="AC59" i="43" s="1"/>
  <c r="AC63" i="43" s="1"/>
  <c r="AB34" i="43"/>
  <c r="AB59" i="43" s="1"/>
  <c r="AA34" i="43"/>
  <c r="Z34" i="43"/>
  <c r="U34" i="43"/>
  <c r="AV32" i="43"/>
  <c r="AU32" i="43"/>
  <c r="Y32" i="43"/>
  <c r="BA31" i="43"/>
  <c r="AW31" i="43"/>
  <c r="AX31" i="43" s="1"/>
  <c r="AV31" i="43"/>
  <c r="AU31" i="43"/>
  <c r="C31" i="43"/>
  <c r="BD30" i="43"/>
  <c r="BC30" i="43"/>
  <c r="BB30" i="43"/>
  <c r="S30" i="43"/>
  <c r="R30" i="43"/>
  <c r="Q30" i="43"/>
  <c r="P30" i="43"/>
  <c r="O30" i="43"/>
  <c r="N30" i="43"/>
  <c r="M30" i="43"/>
  <c r="L30" i="43"/>
  <c r="K30" i="43"/>
  <c r="J30" i="43"/>
  <c r="I30" i="43"/>
  <c r="BD29" i="43"/>
  <c r="BC29" i="43"/>
  <c r="BB29" i="43"/>
  <c r="Y29" i="43"/>
  <c r="S29" i="43"/>
  <c r="R29" i="43"/>
  <c r="Q29" i="43"/>
  <c r="P29" i="43"/>
  <c r="O29" i="43"/>
  <c r="N29" i="43"/>
  <c r="M29" i="43"/>
  <c r="L29" i="43"/>
  <c r="K29" i="43"/>
  <c r="AU29" i="43" s="1"/>
  <c r="J29" i="43"/>
  <c r="I29" i="43"/>
  <c r="BD28" i="43"/>
  <c r="BC28" i="43"/>
  <c r="BB28" i="43"/>
  <c r="Y28" i="43"/>
  <c r="S28" i="43"/>
  <c r="R28" i="43"/>
  <c r="Q28" i="43"/>
  <c r="P28" i="43"/>
  <c r="O28" i="43"/>
  <c r="N28" i="43"/>
  <c r="M28" i="43"/>
  <c r="L28" i="43"/>
  <c r="K28" i="43"/>
  <c r="J28" i="43"/>
  <c r="I28" i="43"/>
  <c r="BD27" i="43"/>
  <c r="BC27" i="43"/>
  <c r="BB27" i="43"/>
  <c r="Y27" i="43"/>
  <c r="S27" i="43"/>
  <c r="R27" i="43"/>
  <c r="Q27" i="43"/>
  <c r="P27" i="43"/>
  <c r="O27" i="43"/>
  <c r="AV27" i="43" s="1"/>
  <c r="N27" i="43"/>
  <c r="M27" i="43"/>
  <c r="L27" i="43"/>
  <c r="K27" i="43"/>
  <c r="AU27" i="43" s="1"/>
  <c r="J27" i="43"/>
  <c r="I27" i="43"/>
  <c r="BD26" i="43"/>
  <c r="BC26" i="43"/>
  <c r="BB26" i="43"/>
  <c r="Y26" i="43"/>
  <c r="S26" i="43"/>
  <c r="R26" i="43"/>
  <c r="Q26" i="43"/>
  <c r="P26" i="43"/>
  <c r="O26" i="43"/>
  <c r="N26" i="43"/>
  <c r="M26" i="43"/>
  <c r="L26" i="43"/>
  <c r="K26" i="43"/>
  <c r="J26" i="43"/>
  <c r="I26" i="43"/>
  <c r="BD25" i="43"/>
  <c r="BC25" i="43"/>
  <c r="BB25" i="43"/>
  <c r="Y25" i="43"/>
  <c r="S25" i="43"/>
  <c r="R25" i="43"/>
  <c r="Q25" i="43"/>
  <c r="P25" i="43"/>
  <c r="O25" i="43"/>
  <c r="N25" i="43"/>
  <c r="BA25" i="43" s="1"/>
  <c r="M25" i="43"/>
  <c r="L25" i="43"/>
  <c r="K25" i="43"/>
  <c r="J25" i="43"/>
  <c r="I25" i="43"/>
  <c r="BD24" i="43"/>
  <c r="BC24" i="43"/>
  <c r="BB24" i="43"/>
  <c r="Y24" i="43"/>
  <c r="S24" i="43"/>
  <c r="R24" i="43"/>
  <c r="Q24" i="43"/>
  <c r="P24" i="43"/>
  <c r="O24" i="43"/>
  <c r="N24" i="43"/>
  <c r="M24" i="43"/>
  <c r="L24" i="43"/>
  <c r="K24" i="43"/>
  <c r="AU24" i="43" s="1"/>
  <c r="J24" i="43"/>
  <c r="I24" i="43"/>
  <c r="BD23" i="43"/>
  <c r="BC23" i="43"/>
  <c r="BB23" i="43"/>
  <c r="Y23" i="43"/>
  <c r="S23" i="43"/>
  <c r="R23" i="43"/>
  <c r="Q23" i="43"/>
  <c r="P23" i="43"/>
  <c r="O23" i="43"/>
  <c r="AV23" i="43" s="1"/>
  <c r="N23" i="43"/>
  <c r="M23" i="43"/>
  <c r="L23" i="43"/>
  <c r="K23" i="43"/>
  <c r="J23" i="43"/>
  <c r="I23" i="43"/>
  <c r="BD22" i="43"/>
  <c r="BC22" i="43"/>
  <c r="BB22" i="43"/>
  <c r="Y22" i="43"/>
  <c r="S22" i="43"/>
  <c r="R22" i="43"/>
  <c r="P22" i="43"/>
  <c r="O22" i="43"/>
  <c r="N22" i="43"/>
  <c r="M22" i="43"/>
  <c r="L22" i="43"/>
  <c r="K22" i="43"/>
  <c r="AU22" i="43" s="1"/>
  <c r="J22" i="43"/>
  <c r="I22" i="43"/>
  <c r="BA21" i="43"/>
  <c r="AX21" i="43" s="1"/>
  <c r="AZ21" i="43"/>
  <c r="BD20" i="43"/>
  <c r="BC20" i="43"/>
  <c r="BB20" i="43"/>
  <c r="Y20" i="43"/>
  <c r="S20" i="43"/>
  <c r="R20" i="43"/>
  <c r="Q20" i="43"/>
  <c r="P20" i="43"/>
  <c r="O20" i="43"/>
  <c r="AV20" i="43" s="1"/>
  <c r="N20" i="43"/>
  <c r="M20" i="43"/>
  <c r="L20" i="43"/>
  <c r="K20" i="43"/>
  <c r="AU20" i="43" s="1"/>
  <c r="J20" i="43"/>
  <c r="I20" i="43"/>
  <c r="T19" i="43"/>
  <c r="T34" i="43" s="1"/>
  <c r="BD18" i="43"/>
  <c r="BC18" i="43"/>
  <c r="BB18" i="43"/>
  <c r="Y18" i="43"/>
  <c r="S18" i="43"/>
  <c r="R18" i="43"/>
  <c r="Q18" i="43"/>
  <c r="P18" i="43"/>
  <c r="O18" i="43"/>
  <c r="N18" i="43"/>
  <c r="M18" i="43"/>
  <c r="L18" i="43"/>
  <c r="K18" i="43"/>
  <c r="J18" i="43"/>
  <c r="I18" i="43"/>
  <c r="BD17" i="43"/>
  <c r="BC17" i="43"/>
  <c r="BB17" i="43"/>
  <c r="Q17" i="43"/>
  <c r="P17" i="43"/>
  <c r="O17" i="43"/>
  <c r="N17" i="43"/>
  <c r="M17" i="43"/>
  <c r="L17" i="43"/>
  <c r="K17" i="43"/>
  <c r="J17" i="43"/>
  <c r="I17" i="43"/>
  <c r="BJ15" i="43"/>
  <c r="AC15" i="43"/>
  <c r="AC46" i="43" s="1"/>
  <c r="AB15" i="43"/>
  <c r="AA15" i="43"/>
  <c r="AA43" i="43" s="1"/>
  <c r="Z15" i="43"/>
  <c r="J15" i="43"/>
  <c r="J58" i="43"/>
  <c r="BD14" i="43"/>
  <c r="BD15" i="43" s="1"/>
  <c r="BC14" i="43"/>
  <c r="BC15" i="43" s="1"/>
  <c r="BB14" i="43"/>
  <c r="BB15" i="43" s="1"/>
  <c r="S14" i="43"/>
  <c r="S15" i="43" s="1"/>
  <c r="R14" i="43"/>
  <c r="R15" i="43" s="1"/>
  <c r="R58" i="43" s="1"/>
  <c r="Q14" i="43"/>
  <c r="Q15" i="43" s="1"/>
  <c r="Q58" i="43" s="1"/>
  <c r="O14" i="43"/>
  <c r="O15" i="43" s="1"/>
  <c r="O58" i="43" s="1"/>
  <c r="N14" i="43"/>
  <c r="N15" i="43" s="1"/>
  <c r="M14" i="43"/>
  <c r="M15" i="43" s="1"/>
  <c r="M58" i="43" s="1"/>
  <c r="L14" i="43"/>
  <c r="L15" i="43" s="1"/>
  <c r="L58" i="43" s="1"/>
  <c r="K14" i="43"/>
  <c r="I14" i="43"/>
  <c r="I261" i="47"/>
  <c r="I259" i="47"/>
  <c r="E117" i="47"/>
  <c r="E129" i="47"/>
  <c r="I25" i="47"/>
  <c r="E33" i="47"/>
  <c r="E32" i="47"/>
  <c r="E40" i="47"/>
  <c r="E39" i="47"/>
  <c r="F62" i="50"/>
  <c r="E228" i="47"/>
  <c r="E82" i="47"/>
  <c r="G109" i="47"/>
  <c r="G93" i="47"/>
  <c r="G124" i="47"/>
  <c r="G145" i="47" s="1"/>
  <c r="G158" i="47" s="1"/>
  <c r="G173" i="47" s="1"/>
  <c r="G199" i="47" s="1"/>
  <c r="G226" i="47" s="1"/>
  <c r="J268" i="47"/>
  <c r="J274" i="47"/>
  <c r="E212" i="47"/>
  <c r="J259" i="47"/>
  <c r="J264" i="47"/>
  <c r="E185" i="47"/>
  <c r="J269" i="47"/>
  <c r="J261" i="47"/>
  <c r="J267" i="47"/>
  <c r="I274" i="47"/>
  <c r="E230" i="47"/>
  <c r="G110" i="47"/>
  <c r="D125" i="47"/>
  <c r="E239" i="47"/>
  <c r="E25" i="47"/>
  <c r="E131" i="47"/>
  <c r="D64" i="26"/>
  <c r="D66" i="26" s="1"/>
  <c r="AW36" i="33"/>
  <c r="AW50" i="33" s="1"/>
  <c r="C75" i="13"/>
  <c r="D75" i="13" s="1"/>
  <c r="AO31" i="13"/>
  <c r="AP31" i="13" s="1"/>
  <c r="AZ59" i="15"/>
  <c r="T60" i="33"/>
  <c r="R70" i="39"/>
  <c r="AY60" i="33"/>
  <c r="P66" i="39"/>
  <c r="P67" i="39" s="1"/>
  <c r="AO67" i="15"/>
  <c r="L75" i="13"/>
  <c r="C14" i="15"/>
  <c r="D14" i="15" s="1"/>
  <c r="AO31" i="33"/>
  <c r="AP31" i="33" s="1"/>
  <c r="AO79" i="39"/>
  <c r="AP79" i="39" s="1"/>
  <c r="AO31" i="15"/>
  <c r="AM77" i="13"/>
  <c r="C70" i="15"/>
  <c r="D70" i="15" s="1"/>
  <c r="R49" i="33"/>
  <c r="AP69" i="13"/>
  <c r="AO26" i="33"/>
  <c r="AP26" i="33" s="1"/>
  <c r="S17" i="43"/>
  <c r="AO67" i="33"/>
  <c r="AP67" i="33" s="1"/>
  <c r="H32" i="39"/>
  <c r="H39" i="39" s="1"/>
  <c r="E64" i="26"/>
  <c r="E66" i="26"/>
  <c r="AT47" i="13"/>
  <c r="AO71" i="13"/>
  <c r="AP71" i="13" s="1"/>
  <c r="AU66" i="33"/>
  <c r="AD82" i="33"/>
  <c r="AO19" i="15"/>
  <c r="AP19" i="15" s="1"/>
  <c r="AO24" i="15"/>
  <c r="AP24" i="15" s="1"/>
  <c r="C85" i="26"/>
  <c r="AO73" i="13"/>
  <c r="AP73" i="13" s="1"/>
  <c r="AM27" i="15"/>
  <c r="AM34" i="15" s="1"/>
  <c r="AM82" i="39"/>
  <c r="AO29" i="13"/>
  <c r="AP29" i="13" s="1"/>
  <c r="AY75" i="13"/>
  <c r="BA60" i="33"/>
  <c r="P35" i="15"/>
  <c r="P49" i="15" s="1"/>
  <c r="P57" i="15"/>
  <c r="P46" i="15"/>
  <c r="P45" i="15"/>
  <c r="Z44" i="43"/>
  <c r="AI48" i="43"/>
  <c r="AR82" i="39"/>
  <c r="AM74" i="13"/>
  <c r="AM75" i="13" s="1"/>
  <c r="C77" i="13"/>
  <c r="D77" i="13" s="1"/>
  <c r="W36" i="33"/>
  <c r="W50" i="33" s="1"/>
  <c r="I40" i="33"/>
  <c r="C40" i="33" s="1"/>
  <c r="AW44" i="33"/>
  <c r="AW45" i="33"/>
  <c r="X58" i="33"/>
  <c r="W82" i="33"/>
  <c r="L35" i="15"/>
  <c r="L49" i="15" s="1"/>
  <c r="T46" i="15"/>
  <c r="C51" i="15"/>
  <c r="D51" i="15" s="1"/>
  <c r="AA44" i="43"/>
  <c r="G32" i="39"/>
  <c r="G39" i="39" s="1"/>
  <c r="T66" i="39"/>
  <c r="T71" i="39"/>
  <c r="I40" i="13"/>
  <c r="C40" i="13" s="1"/>
  <c r="J16" i="33"/>
  <c r="J58" i="33" s="1"/>
  <c r="AR58" i="33" s="1"/>
  <c r="Z36" i="33"/>
  <c r="Z50" i="33" s="1"/>
  <c r="O45" i="33"/>
  <c r="AY50" i="33"/>
  <c r="Z58" i="33"/>
  <c r="Z60" i="33" s="1"/>
  <c r="AR69" i="33"/>
  <c r="AO69" i="33" s="1"/>
  <c r="AP69" i="33" s="1"/>
  <c r="AY35" i="15"/>
  <c r="T47" i="15"/>
  <c r="BJ46" i="43"/>
  <c r="BI59" i="43"/>
  <c r="W45" i="33"/>
  <c r="R46" i="33"/>
  <c r="R47" i="33"/>
  <c r="AE48" i="33"/>
  <c r="V71" i="33"/>
  <c r="V82" i="33" s="1"/>
  <c r="E78" i="26"/>
  <c r="E83" i="26" s="1"/>
  <c r="N21" i="33" s="1"/>
  <c r="D83" i="26"/>
  <c r="D85" i="26" s="1"/>
  <c r="BJ48" i="43"/>
  <c r="AM13" i="13"/>
  <c r="AM16" i="13" s="1"/>
  <c r="AN28" i="13"/>
  <c r="X44" i="33"/>
  <c r="X45" i="33"/>
  <c r="W47" i="33"/>
  <c r="AH58" i="33"/>
  <c r="I17" i="15"/>
  <c r="R43" i="15"/>
  <c r="BA59" i="15"/>
  <c r="AN70" i="15"/>
  <c r="I70" i="47"/>
  <c r="Q70" i="47" s="1"/>
  <c r="AA47" i="43"/>
  <c r="AI59" i="43"/>
  <c r="AN13" i="13"/>
  <c r="AN16" i="13" s="1"/>
  <c r="AO28" i="13"/>
  <c r="AP28" i="13" s="1"/>
  <c r="AC44" i="33"/>
  <c r="X46" i="33"/>
  <c r="Z47" i="33"/>
  <c r="AX58" i="33"/>
  <c r="R47" i="15"/>
  <c r="I39" i="15"/>
  <c r="C39" i="15" s="1"/>
  <c r="S44" i="15"/>
  <c r="S45" i="15"/>
  <c r="K70" i="47"/>
  <c r="B110" i="26"/>
  <c r="B112" i="26" s="1"/>
  <c r="I21" i="33" s="1"/>
  <c r="Z43" i="43"/>
  <c r="AK59" i="43"/>
  <c r="AK64" i="43" s="1"/>
  <c r="R32" i="39"/>
  <c r="R39" i="39" s="1"/>
  <c r="AO77" i="39"/>
  <c r="AP77" i="39" s="1"/>
  <c r="AZ36" i="13"/>
  <c r="AZ42" i="13"/>
  <c r="AT46" i="13"/>
  <c r="AO72" i="13"/>
  <c r="AP72" i="13" s="1"/>
  <c r="AX49" i="33"/>
  <c r="AE44" i="33"/>
  <c r="AE46" i="33"/>
  <c r="AE47" i="33"/>
  <c r="S35" i="15"/>
  <c r="S49" i="15" s="1"/>
  <c r="T43" i="15"/>
  <c r="T44" i="15"/>
  <c r="E30" i="26"/>
  <c r="E32" i="26" s="1"/>
  <c r="C110" i="26"/>
  <c r="C112" i="26" s="1"/>
  <c r="T32" i="39"/>
  <c r="T39" i="39" s="1"/>
  <c r="AO37" i="39"/>
  <c r="AP37" i="39" s="1"/>
  <c r="AO26" i="13"/>
  <c r="AP26" i="13" s="1"/>
  <c r="AO27" i="33"/>
  <c r="AP27" i="33" s="1"/>
  <c r="AH45" i="33"/>
  <c r="AF47" i="33"/>
  <c r="R58" i="33"/>
  <c r="B95" i="26"/>
  <c r="B97" i="26" s="1"/>
  <c r="M21" i="33" s="1"/>
  <c r="M20" i="33" s="1"/>
  <c r="AN82" i="39"/>
  <c r="C39" i="13"/>
  <c r="AH49" i="33"/>
  <c r="R36" i="33"/>
  <c r="R50" i="33" s="1"/>
  <c r="AH47" i="33"/>
  <c r="Z49" i="33"/>
  <c r="S46" i="15"/>
  <c r="O46" i="13"/>
  <c r="P52" i="43"/>
  <c r="K76" i="43"/>
  <c r="BH59" i="43"/>
  <c r="BH64" i="43" s="1"/>
  <c r="L36" i="13"/>
  <c r="L42" i="13" s="1"/>
  <c r="AW37" i="43"/>
  <c r="Q40" i="43"/>
  <c r="AO22" i="33"/>
  <c r="AP22" i="33" s="1"/>
  <c r="AH35" i="43"/>
  <c r="AH49" i="43" s="1"/>
  <c r="BI35" i="43"/>
  <c r="AU45" i="33"/>
  <c r="AU46" i="33"/>
  <c r="AU44" i="33"/>
  <c r="BJ35" i="43"/>
  <c r="BJ41" i="43" s="1"/>
  <c r="AA45" i="43"/>
  <c r="AJ48" i="43"/>
  <c r="AA58" i="43"/>
  <c r="AJ35" i="43"/>
  <c r="AC58" i="43"/>
  <c r="AC60" i="43"/>
  <c r="AC65" i="43" s="1"/>
  <c r="AH59" i="43"/>
  <c r="M59" i="33"/>
  <c r="AC35" i="43"/>
  <c r="AC45" i="43"/>
  <c r="BJ58" i="43"/>
  <c r="BJ60" i="43" s="1"/>
  <c r="BJ65" i="43" s="1"/>
  <c r="AL35" i="43"/>
  <c r="AA46" i="43"/>
  <c r="BJ45" i="43"/>
  <c r="J32" i="39"/>
  <c r="J39" i="39" s="1"/>
  <c r="J65" i="39"/>
  <c r="AR13" i="13"/>
  <c r="R46" i="13"/>
  <c r="R45" i="13"/>
  <c r="J303" i="47"/>
  <c r="AN30" i="13"/>
  <c r="AS30" i="13"/>
  <c r="Q59" i="13"/>
  <c r="G43" i="15"/>
  <c r="G57" i="15"/>
  <c r="G44" i="15"/>
  <c r="U45" i="15"/>
  <c r="U57" i="15"/>
  <c r="U46" i="15"/>
  <c r="U35" i="15"/>
  <c r="U49" i="15" s="1"/>
  <c r="U47" i="15"/>
  <c r="G46" i="15"/>
  <c r="J296" i="47"/>
  <c r="Q69" i="39"/>
  <c r="S44" i="33"/>
  <c r="S45" i="33"/>
  <c r="S58" i="33"/>
  <c r="S36" i="33"/>
  <c r="S50" i="33" s="1"/>
  <c r="S47" i="33"/>
  <c r="AA44" i="33"/>
  <c r="AA45" i="33"/>
  <c r="AA58" i="33"/>
  <c r="AA36" i="33"/>
  <c r="AA50" i="33" s="1"/>
  <c r="AA82" i="33"/>
  <c r="AI44" i="33"/>
  <c r="AI45" i="33"/>
  <c r="AI82" i="33"/>
  <c r="AI48" i="33"/>
  <c r="AI47" i="33"/>
  <c r="AI58" i="33"/>
  <c r="AI46" i="33"/>
  <c r="AI36" i="33"/>
  <c r="AI50" i="33" s="1"/>
  <c r="M59" i="13"/>
  <c r="AR16" i="33"/>
  <c r="AR49" i="33" s="1"/>
  <c r="AO14" i="33"/>
  <c r="AP14" i="33"/>
  <c r="AY58" i="13"/>
  <c r="AY60" i="13" s="1"/>
  <c r="AY36" i="13"/>
  <c r="I32" i="39"/>
  <c r="I39" i="39" s="1"/>
  <c r="I66" i="39"/>
  <c r="S65" i="39"/>
  <c r="AG49" i="33"/>
  <c r="H34" i="15"/>
  <c r="H45" i="15"/>
  <c r="I69" i="39"/>
  <c r="C13" i="13"/>
  <c r="D13" i="13" s="1"/>
  <c r="M16" i="13"/>
  <c r="S49" i="33"/>
  <c r="S48" i="33"/>
  <c r="AA59" i="33"/>
  <c r="AI49" i="33"/>
  <c r="J71" i="33"/>
  <c r="J34" i="15"/>
  <c r="AO18" i="13"/>
  <c r="AP18" i="13" s="1"/>
  <c r="AP74" i="13"/>
  <c r="AR75" i="13"/>
  <c r="Q46" i="33"/>
  <c r="Q58" i="33"/>
  <c r="Q60" i="33" s="1"/>
  <c r="Q36" i="33"/>
  <c r="Q48" i="33"/>
  <c r="Q44" i="33"/>
  <c r="Q47" i="33"/>
  <c r="Y47" i="33"/>
  <c r="Y46" i="33"/>
  <c r="Y44" i="33"/>
  <c r="Y36" i="33"/>
  <c r="Y50" i="33" s="1"/>
  <c r="Y48" i="33"/>
  <c r="AG45" i="33"/>
  <c r="AG47" i="33"/>
  <c r="AG48" i="33"/>
  <c r="Q45" i="33"/>
  <c r="J59" i="33"/>
  <c r="AP78" i="39"/>
  <c r="T48" i="13"/>
  <c r="T45" i="13"/>
  <c r="AN71" i="33"/>
  <c r="AO26" i="15"/>
  <c r="AP26" i="15" s="1"/>
  <c r="AO64" i="15"/>
  <c r="AP64" i="15" s="1"/>
  <c r="T70" i="39"/>
  <c r="AO80" i="39"/>
  <c r="AP80" i="39" s="1"/>
  <c r="P58" i="13"/>
  <c r="K35" i="13"/>
  <c r="AO23" i="13"/>
  <c r="AP23" i="13" s="1"/>
  <c r="AX36" i="33"/>
  <c r="AX50" i="33" s="1"/>
  <c r="T48" i="15"/>
  <c r="T35" i="15"/>
  <c r="T49" i="15" s="1"/>
  <c r="T58" i="15"/>
  <c r="F70" i="47"/>
  <c r="P70" i="47" s="1"/>
  <c r="U70" i="39"/>
  <c r="U32" i="39"/>
  <c r="U39" i="39" s="1"/>
  <c r="AS21" i="13"/>
  <c r="O35" i="13"/>
  <c r="AN21" i="13"/>
  <c r="C52" i="13"/>
  <c r="D52" i="13" s="1"/>
  <c r="AT44" i="33"/>
  <c r="AT45" i="33"/>
  <c r="AT58" i="33"/>
  <c r="AT46" i="33"/>
  <c r="L48" i="15"/>
  <c r="L47" i="15"/>
  <c r="L58" i="15"/>
  <c r="U58" i="15"/>
  <c r="U48" i="15"/>
  <c r="AR15" i="39"/>
  <c r="M64" i="39"/>
  <c r="AR64" i="39" s="1"/>
  <c r="M32" i="39"/>
  <c r="M39" i="39" s="1"/>
  <c r="R69" i="39"/>
  <c r="U59" i="13"/>
  <c r="AT59" i="13" s="1"/>
  <c r="AT62" i="13" s="1"/>
  <c r="U36" i="13"/>
  <c r="Y82" i="33"/>
  <c r="AG82" i="33"/>
  <c r="K17" i="15"/>
  <c r="AM14" i="15"/>
  <c r="AM17" i="15" s="1"/>
  <c r="AM44" i="15" s="1"/>
  <c r="AO76" i="39"/>
  <c r="AP76" i="39" s="1"/>
  <c r="AT48" i="13"/>
  <c r="I48" i="33"/>
  <c r="AV58" i="33"/>
  <c r="AV60" i="33"/>
  <c r="AV47" i="33"/>
  <c r="AV46" i="33"/>
  <c r="AV45" i="33"/>
  <c r="AV36" i="33"/>
  <c r="AV42" i="33" s="1"/>
  <c r="AV44" i="33"/>
  <c r="AZ42" i="33"/>
  <c r="AS71" i="33"/>
  <c r="H57" i="15"/>
  <c r="Q45" i="15"/>
  <c r="Q57" i="15"/>
  <c r="Q59" i="15" s="1"/>
  <c r="Q46" i="15"/>
  <c r="Q44" i="15"/>
  <c r="Q35" i="15"/>
  <c r="M45" i="15"/>
  <c r="M57" i="15"/>
  <c r="M43" i="15"/>
  <c r="U47" i="13"/>
  <c r="T49" i="13"/>
  <c r="T59" i="13"/>
  <c r="AO77" i="13"/>
  <c r="AP77" i="13" s="1"/>
  <c r="K16" i="33"/>
  <c r="K49" i="33" s="1"/>
  <c r="T45" i="33"/>
  <c r="T48" i="33"/>
  <c r="T47" i="33"/>
  <c r="T46" i="33"/>
  <c r="T36" i="33"/>
  <c r="T50" i="33" s="1"/>
  <c r="T44" i="33"/>
  <c r="AB45" i="33"/>
  <c r="AB48" i="33"/>
  <c r="AB47" i="33"/>
  <c r="AB46" i="33"/>
  <c r="AB36" i="33"/>
  <c r="AB50" i="33" s="1"/>
  <c r="AB58" i="33"/>
  <c r="AB60" i="33" s="1"/>
  <c r="AB44" i="33"/>
  <c r="AJ45" i="33"/>
  <c r="AJ48" i="33"/>
  <c r="AJ47" i="33"/>
  <c r="AJ46" i="33"/>
  <c r="AJ36" i="33"/>
  <c r="AJ50" i="33" s="1"/>
  <c r="AJ58" i="33"/>
  <c r="AJ60" i="33" s="1"/>
  <c r="AB82" i="33"/>
  <c r="AO19" i="13"/>
  <c r="AP19" i="13" s="1"/>
  <c r="AO25" i="13"/>
  <c r="AP25" i="13" s="1"/>
  <c r="C14" i="33"/>
  <c r="D14" i="33" s="1"/>
  <c r="M16" i="33"/>
  <c r="M49" i="33" s="1"/>
  <c r="N16" i="33"/>
  <c r="N49" i="33" s="1"/>
  <c r="V49" i="33"/>
  <c r="V48" i="33"/>
  <c r="V47" i="33"/>
  <c r="V46" i="33"/>
  <c r="V58" i="33"/>
  <c r="V60" i="33"/>
  <c r="V36" i="33"/>
  <c r="V50" i="33" s="1"/>
  <c r="AD49" i="33"/>
  <c r="AD48" i="33"/>
  <c r="AD58" i="33"/>
  <c r="AD60" i="33" s="1"/>
  <c r="AD45" i="33"/>
  <c r="AN46" i="33"/>
  <c r="AD36" i="33"/>
  <c r="AD50" i="33" s="1"/>
  <c r="V45" i="33"/>
  <c r="AJ82" i="33"/>
  <c r="AS15" i="15"/>
  <c r="AO15" i="15" s="1"/>
  <c r="AP15" i="15" s="1"/>
  <c r="N17" i="15"/>
  <c r="N47" i="15" s="1"/>
  <c r="R58" i="15"/>
  <c r="R48" i="15"/>
  <c r="R35" i="15"/>
  <c r="R49" i="15" s="1"/>
  <c r="AO24" i="13"/>
  <c r="AP24" i="13" s="1"/>
  <c r="U49" i="33"/>
  <c r="U59" i="33"/>
  <c r="AC49" i="33"/>
  <c r="AC59" i="33"/>
  <c r="AK49" i="33"/>
  <c r="AK59" i="33"/>
  <c r="AK60" i="33" s="1"/>
  <c r="AS20" i="13"/>
  <c r="U48" i="33"/>
  <c r="U47" i="33"/>
  <c r="U46" i="33"/>
  <c r="U36" i="33"/>
  <c r="U50" i="33" s="1"/>
  <c r="U58" i="33"/>
  <c r="AC48" i="33"/>
  <c r="AC47" i="33"/>
  <c r="AC46" i="33"/>
  <c r="AC36" i="33"/>
  <c r="AC50" i="33" s="1"/>
  <c r="AC58" i="33"/>
  <c r="AK48" i="33"/>
  <c r="AK47" i="33"/>
  <c r="AK46" i="33"/>
  <c r="AK36" i="33"/>
  <c r="AK50" i="33" s="1"/>
  <c r="AK58" i="33"/>
  <c r="W44" i="33"/>
  <c r="Z45" i="33"/>
  <c r="W46" i="33"/>
  <c r="AH46" i="33"/>
  <c r="AF48" i="33"/>
  <c r="Q49" i="33"/>
  <c r="AE49" i="33"/>
  <c r="K59" i="33"/>
  <c r="AM59" i="33" s="1"/>
  <c r="AT71" i="33"/>
  <c r="AO73" i="33"/>
  <c r="AC82" i="33"/>
  <c r="AT47" i="15"/>
  <c r="J35" i="13"/>
  <c r="J36" i="13" s="1"/>
  <c r="AW58" i="33"/>
  <c r="AW60" i="33" s="1"/>
  <c r="AW48" i="33"/>
  <c r="AW47" i="33"/>
  <c r="AW46" i="33"/>
  <c r="AE36" i="33"/>
  <c r="AE50" i="33" s="1"/>
  <c r="O44" i="33"/>
  <c r="AK44" i="33"/>
  <c r="R45" i="33"/>
  <c r="X47" i="33"/>
  <c r="W48" i="33"/>
  <c r="AH48" i="33"/>
  <c r="K71" i="33"/>
  <c r="AH82" i="33"/>
  <c r="C15" i="15"/>
  <c r="D15" i="15" s="1"/>
  <c r="F46" i="15"/>
  <c r="F34" i="15"/>
  <c r="F58" i="15" s="1"/>
  <c r="P44" i="15"/>
  <c r="F45" i="15"/>
  <c r="K65" i="47"/>
  <c r="Q65" i="47"/>
  <c r="AU47" i="33"/>
  <c r="U45" i="33"/>
  <c r="AE45" i="33"/>
  <c r="O46" i="33"/>
  <c r="Z46" i="33"/>
  <c r="W49" i="33"/>
  <c r="L71" i="33"/>
  <c r="U82" i="33"/>
  <c r="J17" i="15"/>
  <c r="J45" i="15" s="1"/>
  <c r="AR14" i="15"/>
  <c r="F57" i="15"/>
  <c r="F44" i="15"/>
  <c r="G34" i="15"/>
  <c r="G35" i="15"/>
  <c r="G49" i="15" s="1"/>
  <c r="G45" i="15"/>
  <c r="P43" i="15"/>
  <c r="D124" i="47"/>
  <c r="D145" i="47" s="1"/>
  <c r="D158" i="47" s="1"/>
  <c r="D173" i="47" s="1"/>
  <c r="D199" i="47" s="1"/>
  <c r="D226" i="47" s="1"/>
  <c r="T49" i="33"/>
  <c r="AB49" i="33"/>
  <c r="AJ49" i="33"/>
  <c r="AH36" i="33"/>
  <c r="AH50" i="33" s="1"/>
  <c r="Z48" i="33"/>
  <c r="AE82" i="33"/>
  <c r="Z82" i="33"/>
  <c r="AK82" i="33"/>
  <c r="L45" i="15"/>
  <c r="L46" i="15"/>
  <c r="L44" i="15"/>
  <c r="L43" i="15"/>
  <c r="I34" i="15"/>
  <c r="C21" i="15"/>
  <c r="D21" i="15" s="1"/>
  <c r="AO25" i="15"/>
  <c r="AP25" i="15" s="1"/>
  <c r="S47" i="15"/>
  <c r="S58" i="15"/>
  <c r="S59" i="15" s="1"/>
  <c r="S48" i="15"/>
  <c r="N58" i="15"/>
  <c r="R57" i="15"/>
  <c r="R46" i="15"/>
  <c r="R44" i="15"/>
  <c r="AS22" i="15"/>
  <c r="O34" i="15"/>
  <c r="Q48" i="15"/>
  <c r="AV48" i="33"/>
  <c r="AV49" i="33"/>
  <c r="N59" i="33"/>
  <c r="P48" i="15"/>
  <c r="P47" i="15"/>
  <c r="T57" i="15"/>
  <c r="P58" i="15"/>
  <c r="AO69" i="15"/>
  <c r="AP69" i="15" s="1"/>
  <c r="AW49" i="33"/>
  <c r="Q47" i="15"/>
  <c r="D102" i="26"/>
  <c r="D95" i="26"/>
  <c r="B64" i="26"/>
  <c r="B66" i="26" s="1"/>
  <c r="C102" i="26"/>
  <c r="C11" i="26"/>
  <c r="C14" i="26" s="1"/>
  <c r="C16" i="26" s="1"/>
  <c r="B18" i="26" s="1"/>
  <c r="E95" i="26"/>
  <c r="E97" i="26" s="1"/>
  <c r="J21" i="33" s="1"/>
  <c r="E139" i="47"/>
  <c r="E11" i="47"/>
  <c r="E114" i="47"/>
  <c r="E21" i="47"/>
  <c r="G125" i="47"/>
  <c r="G146" i="47" s="1"/>
  <c r="G159" i="47" s="1"/>
  <c r="G174" i="47" s="1"/>
  <c r="G200" i="47" s="1"/>
  <c r="G227" i="47" s="1"/>
  <c r="D146" i="47"/>
  <c r="D159" i="47" s="1"/>
  <c r="D174" i="47" s="1"/>
  <c r="D200" i="47" s="1"/>
  <c r="D227" i="47" s="1"/>
  <c r="P71" i="39"/>
  <c r="P41" i="15"/>
  <c r="AZ50" i="13"/>
  <c r="I43" i="15"/>
  <c r="C43" i="15" s="1"/>
  <c r="L41" i="15"/>
  <c r="P59" i="15"/>
  <c r="I70" i="39"/>
  <c r="AK60" i="43"/>
  <c r="AK65" i="43" s="1"/>
  <c r="AM45" i="15"/>
  <c r="AN35" i="13"/>
  <c r="R71" i="39"/>
  <c r="K46" i="15"/>
  <c r="AC64" i="43"/>
  <c r="M70" i="39"/>
  <c r="AY41" i="15"/>
  <c r="AY49" i="15"/>
  <c r="AI60" i="43"/>
  <c r="AI65" i="43"/>
  <c r="AI64" i="43"/>
  <c r="AC60" i="33"/>
  <c r="O21" i="33"/>
  <c r="AS21" i="33" s="1"/>
  <c r="AS20" i="33" s="1"/>
  <c r="AM43" i="15"/>
  <c r="E85" i="26"/>
  <c r="X60" i="33"/>
  <c r="J47" i="13"/>
  <c r="BI41" i="43"/>
  <c r="BI50" i="43" s="1"/>
  <c r="BI49" i="43"/>
  <c r="N48" i="15"/>
  <c r="AH41" i="43"/>
  <c r="AH50" i="43" s="1"/>
  <c r="O58" i="15"/>
  <c r="AS58" i="15" s="1"/>
  <c r="AN58" i="15"/>
  <c r="AT58" i="15"/>
  <c r="Q49" i="15"/>
  <c r="Q41" i="15"/>
  <c r="U50" i="13"/>
  <c r="U42" i="13"/>
  <c r="M69" i="39"/>
  <c r="M66" i="39"/>
  <c r="AM64" i="39"/>
  <c r="J58" i="13"/>
  <c r="AR58" i="13" s="1"/>
  <c r="J45" i="13"/>
  <c r="J48" i="13"/>
  <c r="J44" i="13"/>
  <c r="AJ49" i="43"/>
  <c r="AJ41" i="43"/>
  <c r="AJ50" i="43" s="1"/>
  <c r="BJ50" i="43"/>
  <c r="BJ49" i="43"/>
  <c r="AL49" i="43"/>
  <c r="AL41" i="43"/>
  <c r="AL50" i="43" s="1"/>
  <c r="BJ64" i="43"/>
  <c r="T59" i="15"/>
  <c r="AR17" i="15"/>
  <c r="N44" i="33"/>
  <c r="K45" i="15"/>
  <c r="K44" i="15"/>
  <c r="K43" i="15"/>
  <c r="K57" i="15"/>
  <c r="AO15" i="39"/>
  <c r="AP15" i="39" s="1"/>
  <c r="Q42" i="33"/>
  <c r="Q50" i="33"/>
  <c r="M47" i="13"/>
  <c r="M44" i="13"/>
  <c r="U59" i="15"/>
  <c r="AR16" i="13"/>
  <c r="J57" i="15"/>
  <c r="J59" i="15" s="1"/>
  <c r="J35" i="15"/>
  <c r="J49" i="15" s="1"/>
  <c r="J43" i="15"/>
  <c r="J44" i="15"/>
  <c r="U60" i="33"/>
  <c r="U66" i="39"/>
  <c r="U71" i="39" s="1"/>
  <c r="J58" i="15"/>
  <c r="J47" i="15"/>
  <c r="J48" i="15"/>
  <c r="S70" i="39"/>
  <c r="S66" i="39"/>
  <c r="AI60" i="33"/>
  <c r="S60" i="33"/>
  <c r="AC49" i="43"/>
  <c r="AC41" i="43"/>
  <c r="AC50" i="43" s="1"/>
  <c r="R59" i="15"/>
  <c r="I58" i="15"/>
  <c r="F47" i="15"/>
  <c r="N57" i="15"/>
  <c r="AS57" i="15" s="1"/>
  <c r="N46" i="15"/>
  <c r="N44" i="15"/>
  <c r="N43" i="15"/>
  <c r="N35" i="15"/>
  <c r="N41" i="15" s="1"/>
  <c r="N45" i="15"/>
  <c r="H48" i="15"/>
  <c r="H47" i="15"/>
  <c r="H58" i="15"/>
  <c r="J70" i="39"/>
  <c r="J69" i="39"/>
  <c r="AH64" i="43"/>
  <c r="AH60" i="43"/>
  <c r="AH65" i="43" s="1"/>
  <c r="AR48" i="33"/>
  <c r="D97" i="26"/>
  <c r="K21" i="33"/>
  <c r="AM46" i="15"/>
  <c r="G47" i="15"/>
  <c r="G48" i="15"/>
  <c r="G58" i="15"/>
  <c r="G59" i="15" s="1"/>
  <c r="J46" i="15"/>
  <c r="I71" i="39"/>
  <c r="I67" i="39"/>
  <c r="AA60" i="33"/>
  <c r="AR46" i="33"/>
  <c r="BH60" i="43"/>
  <c r="BH65" i="43" s="1"/>
  <c r="E242" i="47"/>
  <c r="O20" i="33"/>
  <c r="O35" i="33" s="1"/>
  <c r="AN21" i="33"/>
  <c r="N20" i="33"/>
  <c r="AR43" i="15"/>
  <c r="AR44" i="15"/>
  <c r="AT59" i="15"/>
  <c r="M71" i="39"/>
  <c r="M67" i="39"/>
  <c r="N59" i="15"/>
  <c r="J41" i="15"/>
  <c r="E238" i="47"/>
  <c r="E244" i="47"/>
  <c r="AS59" i="15"/>
  <c r="AN20" i="33"/>
  <c r="K64" i="47"/>
  <c r="D34" i="47"/>
  <c r="D209" i="47"/>
  <c r="D242" i="47"/>
  <c r="F298" i="47"/>
  <c r="F297" i="47"/>
  <c r="F296" i="47"/>
  <c r="F295" i="47"/>
  <c r="F294" i="47"/>
  <c r="F264" i="47"/>
  <c r="D178" i="47"/>
  <c r="D207" i="47"/>
  <c r="D72" i="47" s="1"/>
  <c r="D21" i="47"/>
  <c r="D206" i="47"/>
  <c r="D12" i="47"/>
  <c r="D13" i="47"/>
  <c r="D15" i="47"/>
  <c r="D233" i="47"/>
  <c r="D77" i="47" s="1"/>
  <c r="D234" i="47"/>
  <c r="D181" i="47"/>
  <c r="F263" i="47"/>
  <c r="D177" i="47"/>
  <c r="D204" i="47"/>
  <c r="D25" i="47"/>
  <c r="D203" i="47"/>
  <c r="D231" i="47"/>
  <c r="D113" i="47"/>
  <c r="D139" i="47"/>
  <c r="F293" i="47"/>
  <c r="D117" i="47"/>
  <c r="D230" i="47"/>
  <c r="D24" i="47"/>
  <c r="F271" i="47"/>
  <c r="G271" i="47" s="1"/>
  <c r="H271" i="47" s="1"/>
  <c r="G234" i="47"/>
  <c r="F272" i="47"/>
  <c r="D111" i="47"/>
  <c r="D131" i="47"/>
  <c r="D68" i="47" s="1"/>
  <c r="D238" i="47"/>
  <c r="D244" i="47"/>
  <c r="C52" i="33" l="1"/>
  <c r="D52" i="33" s="1"/>
  <c r="AO51" i="15"/>
  <c r="AP51" i="15" s="1"/>
  <c r="Q48" i="13"/>
  <c r="Q36" i="13"/>
  <c r="Q50" i="13" s="1"/>
  <c r="Q62" i="13"/>
  <c r="Q46" i="13"/>
  <c r="Q49" i="13"/>
  <c r="Q45" i="13"/>
  <c r="Q58" i="13"/>
  <c r="Q63" i="13" s="1"/>
  <c r="Q47" i="13"/>
  <c r="G45" i="13"/>
  <c r="L50" i="13"/>
  <c r="O44" i="13"/>
  <c r="O49" i="13"/>
  <c r="K49" i="13"/>
  <c r="K36" i="13"/>
  <c r="K44" i="13"/>
  <c r="C15" i="13"/>
  <c r="D15" i="13" s="1"/>
  <c r="K47" i="13"/>
  <c r="K48" i="13"/>
  <c r="K45" i="13"/>
  <c r="O48" i="13"/>
  <c r="O47" i="13"/>
  <c r="O45" i="13"/>
  <c r="K48" i="33"/>
  <c r="K36" i="33"/>
  <c r="K42" i="33" s="1"/>
  <c r="K58" i="33"/>
  <c r="AM58" i="33" s="1"/>
  <c r="AM60" i="33" s="1"/>
  <c r="AO16" i="33"/>
  <c r="AP16" i="33" s="1"/>
  <c r="K46" i="33"/>
  <c r="K47" i="33"/>
  <c r="K50" i="33"/>
  <c r="L43" i="50"/>
  <c r="L44" i="33"/>
  <c r="N45" i="33"/>
  <c r="N36" i="33"/>
  <c r="N50" i="33" s="1"/>
  <c r="L48" i="33"/>
  <c r="L47" i="33"/>
  <c r="N58" i="33"/>
  <c r="AS58" i="33" s="1"/>
  <c r="AO58" i="33" s="1"/>
  <c r="AP58" i="33" s="1"/>
  <c r="L49" i="33"/>
  <c r="N46" i="33"/>
  <c r="N47" i="33"/>
  <c r="N48" i="33"/>
  <c r="X30" i="50"/>
  <c r="K60" i="50"/>
  <c r="K67" i="50" s="1"/>
  <c r="J46" i="33"/>
  <c r="J49" i="33"/>
  <c r="X31" i="50"/>
  <c r="H204" i="47"/>
  <c r="L33" i="50"/>
  <c r="J36" i="33"/>
  <c r="J48" i="33"/>
  <c r="H209" i="47"/>
  <c r="H218" i="47" s="1"/>
  <c r="J47" i="33"/>
  <c r="X20" i="50"/>
  <c r="C15" i="33"/>
  <c r="X35" i="50"/>
  <c r="AR36" i="33"/>
  <c r="AR50" i="33" s="1"/>
  <c r="M46" i="33"/>
  <c r="N42" i="33"/>
  <c r="L32" i="50"/>
  <c r="AM46" i="33"/>
  <c r="H181" i="47"/>
  <c r="H192" i="47" s="1"/>
  <c r="V9" i="47"/>
  <c r="W9" i="47" s="1"/>
  <c r="L19" i="50"/>
  <c r="L37" i="50"/>
  <c r="I35" i="50"/>
  <c r="I43" i="50"/>
  <c r="C24" i="43"/>
  <c r="D24" i="43" s="1"/>
  <c r="C75" i="43"/>
  <c r="D75" i="43" s="1"/>
  <c r="U18" i="50"/>
  <c r="C28" i="43"/>
  <c r="D28" i="43" s="1"/>
  <c r="I19" i="50"/>
  <c r="N19" i="50" s="1"/>
  <c r="AV74" i="43"/>
  <c r="AW38" i="43"/>
  <c r="AX38" i="43" s="1"/>
  <c r="C30" i="43"/>
  <c r="I36" i="50"/>
  <c r="C20" i="43"/>
  <c r="D20" i="43" s="1"/>
  <c r="AV73" i="43"/>
  <c r="AW39" i="43"/>
  <c r="AX39" i="43" s="1"/>
  <c r="M47" i="43"/>
  <c r="C25" i="43"/>
  <c r="D25" i="43" s="1"/>
  <c r="AW36" i="43"/>
  <c r="AX36" i="43" s="1"/>
  <c r="C72" i="43"/>
  <c r="D72" i="43" s="1"/>
  <c r="C73" i="43"/>
  <c r="D73" i="43" s="1"/>
  <c r="C23" i="43"/>
  <c r="D23" i="43" s="1"/>
  <c r="AV22" i="43"/>
  <c r="J76" i="43"/>
  <c r="C29" i="43"/>
  <c r="AV40" i="43"/>
  <c r="J16" i="47"/>
  <c r="J27" i="47" s="1"/>
  <c r="O59" i="33"/>
  <c r="O60" i="33" s="1"/>
  <c r="O36" i="33"/>
  <c r="O42" i="33" s="1"/>
  <c r="AV50" i="33"/>
  <c r="M47" i="33"/>
  <c r="C47" i="33" s="1"/>
  <c r="AL59" i="43"/>
  <c r="AL48" i="43"/>
  <c r="H60" i="33"/>
  <c r="K60" i="33"/>
  <c r="AA59" i="43"/>
  <c r="AA63" i="43" s="1"/>
  <c r="AA35" i="43"/>
  <c r="AA48" i="43"/>
  <c r="L65" i="39"/>
  <c r="L32" i="39"/>
  <c r="L39" i="39" s="1"/>
  <c r="AS23" i="33"/>
  <c r="AN23" i="33"/>
  <c r="O47" i="33"/>
  <c r="E41" i="47"/>
  <c r="AR57" i="15"/>
  <c r="C16" i="33"/>
  <c r="D16" i="33" s="1"/>
  <c r="J49" i="13"/>
  <c r="P45" i="33"/>
  <c r="AB58" i="43"/>
  <c r="AB64" i="43" s="1"/>
  <c r="AB48" i="43"/>
  <c r="AB46" i="43"/>
  <c r="AB45" i="43"/>
  <c r="AB44" i="43"/>
  <c r="AB47" i="43"/>
  <c r="AB35" i="43"/>
  <c r="AB43" i="43"/>
  <c r="M44" i="33"/>
  <c r="J59" i="13"/>
  <c r="U62" i="13"/>
  <c r="AF49" i="33"/>
  <c r="AF82" i="33"/>
  <c r="AF36" i="33"/>
  <c r="AF50" i="33" s="1"/>
  <c r="AF44" i="33"/>
  <c r="AF58" i="33"/>
  <c r="AF60" i="33" s="1"/>
  <c r="AF45" i="33"/>
  <c r="AF46" i="33"/>
  <c r="P44" i="33"/>
  <c r="P46" i="33"/>
  <c r="P47" i="33"/>
  <c r="P36" i="33"/>
  <c r="C66" i="33"/>
  <c r="D66" i="33" s="1"/>
  <c r="AR66" i="33"/>
  <c r="AO66" i="33" s="1"/>
  <c r="AP66" i="33" s="1"/>
  <c r="M45" i="33"/>
  <c r="I35" i="13"/>
  <c r="C20" i="13"/>
  <c r="D20" i="13" s="1"/>
  <c r="Y45" i="33"/>
  <c r="Y58" i="33"/>
  <c r="Y60" i="33" s="1"/>
  <c r="Y49" i="33"/>
  <c r="AO20" i="15"/>
  <c r="AP20" i="15" s="1"/>
  <c r="AR21" i="15"/>
  <c r="E110" i="26"/>
  <c r="E112" i="26" s="1"/>
  <c r="E117" i="26"/>
  <c r="M48" i="33"/>
  <c r="C48" i="33" s="1"/>
  <c r="M58" i="33"/>
  <c r="M60" i="33" s="1"/>
  <c r="Q16" i="50"/>
  <c r="U16" i="50" s="1"/>
  <c r="AR65" i="33"/>
  <c r="AO65" i="33" s="1"/>
  <c r="AP65" i="33" s="1"/>
  <c r="M71" i="33"/>
  <c r="C71" i="33" s="1"/>
  <c r="D71" i="33" s="1"/>
  <c r="C65" i="33"/>
  <c r="D65" i="33" s="1"/>
  <c r="M36" i="33"/>
  <c r="AM65" i="33"/>
  <c r="H48" i="13"/>
  <c r="H47" i="13"/>
  <c r="H44" i="13"/>
  <c r="AS14" i="15"/>
  <c r="O17" i="15"/>
  <c r="AN14" i="15"/>
  <c r="AN17" i="15" s="1"/>
  <c r="B68" i="26"/>
  <c r="G22" i="50"/>
  <c r="L34" i="50"/>
  <c r="AY70" i="15"/>
  <c r="J49" i="47"/>
  <c r="C26" i="43"/>
  <c r="D26" i="43" s="1"/>
  <c r="C52" i="43"/>
  <c r="D52" i="43" s="1"/>
  <c r="C70" i="43"/>
  <c r="D70" i="43" s="1"/>
  <c r="I34" i="50"/>
  <c r="AX60" i="33"/>
  <c r="K22" i="50"/>
  <c r="K46" i="50" s="1"/>
  <c r="L259" i="47"/>
  <c r="AV29" i="43"/>
  <c r="AO33" i="33"/>
  <c r="AP33" i="33" s="1"/>
  <c r="G272" i="47"/>
  <c r="H272" i="47" s="1"/>
  <c r="U30" i="50"/>
  <c r="H22" i="50"/>
  <c r="H46" i="50" s="1"/>
  <c r="AM35" i="15"/>
  <c r="AM49" i="15" s="1"/>
  <c r="AM48" i="15"/>
  <c r="AM47" i="15"/>
  <c r="BB61" i="43"/>
  <c r="AN45" i="13"/>
  <c r="AN44" i="13"/>
  <c r="AN46" i="13"/>
  <c r="AN47" i="13"/>
  <c r="AI49" i="43"/>
  <c r="AI41" i="43"/>
  <c r="AI50" i="43" s="1"/>
  <c r="I18" i="33"/>
  <c r="I19" i="33"/>
  <c r="E201" i="47"/>
  <c r="H59" i="15"/>
  <c r="AE60" i="33"/>
  <c r="L261" i="47"/>
  <c r="BA23" i="43"/>
  <c r="C27" i="43"/>
  <c r="D27" i="43" s="1"/>
  <c r="AA60" i="43"/>
  <c r="J44" i="43"/>
  <c r="AV28" i="43"/>
  <c r="AJ60" i="43"/>
  <c r="AJ65" i="43" s="1"/>
  <c r="AZ78" i="43"/>
  <c r="I266" i="47"/>
  <c r="AH60" i="33"/>
  <c r="T22" i="50"/>
  <c r="T47" i="50" s="1"/>
  <c r="AO57" i="15"/>
  <c r="AP57" i="15" s="1"/>
  <c r="AT57" i="15"/>
  <c r="I47" i="15"/>
  <c r="AB60" i="43"/>
  <c r="AB65" i="43" s="1"/>
  <c r="BC65" i="43"/>
  <c r="S76" i="43"/>
  <c r="X34" i="50"/>
  <c r="BD65" i="43"/>
  <c r="AU71" i="43"/>
  <c r="BH76" i="43"/>
  <c r="BD64" i="43"/>
  <c r="AZ75" i="43"/>
  <c r="R76" i="43"/>
  <c r="BA78" i="43"/>
  <c r="AO24" i="33"/>
  <c r="AP24" i="33" s="1"/>
  <c r="AO28" i="33"/>
  <c r="AP28" i="33" s="1"/>
  <c r="AO29" i="33"/>
  <c r="AP29" i="33" s="1"/>
  <c r="AO30" i="33"/>
  <c r="AP30" i="33" s="1"/>
  <c r="AO28" i="15"/>
  <c r="AP28" i="15" s="1"/>
  <c r="AT34" i="15"/>
  <c r="AM70" i="15"/>
  <c r="R33" i="50"/>
  <c r="S25" i="50"/>
  <c r="I20" i="50"/>
  <c r="N20" i="50" s="1"/>
  <c r="AN44" i="33"/>
  <c r="AT35" i="33"/>
  <c r="AU35" i="33"/>
  <c r="AU59" i="33" s="1"/>
  <c r="B34" i="26"/>
  <c r="Q25" i="50"/>
  <c r="F32" i="39"/>
  <c r="F39" i="39" s="1"/>
  <c r="AO23" i="15"/>
  <c r="AP23" i="15" s="1"/>
  <c r="L31" i="50"/>
  <c r="N39" i="50"/>
  <c r="AN31" i="39"/>
  <c r="AN32" i="39" s="1"/>
  <c r="AN39" i="39" s="1"/>
  <c r="AO27" i="13"/>
  <c r="AP27" i="13" s="1"/>
  <c r="AS70" i="15"/>
  <c r="D37" i="47"/>
  <c r="I21" i="50"/>
  <c r="N21" i="50" s="1"/>
  <c r="I29" i="50"/>
  <c r="J17" i="50"/>
  <c r="L17" i="50" s="1"/>
  <c r="AO21" i="13"/>
  <c r="AP21" i="13" s="1"/>
  <c r="U35" i="50"/>
  <c r="E25" i="50"/>
  <c r="J24" i="50"/>
  <c r="V36" i="50"/>
  <c r="I36" i="13"/>
  <c r="I50" i="13" s="1"/>
  <c r="AN75" i="13"/>
  <c r="G25" i="50"/>
  <c r="L35" i="50"/>
  <c r="AZ60" i="33"/>
  <c r="AU71" i="33"/>
  <c r="AO68" i="33"/>
  <c r="AP68" i="33" s="1"/>
  <c r="H234" i="47"/>
  <c r="K234" i="47" s="1"/>
  <c r="E163" i="47"/>
  <c r="Y30" i="43"/>
  <c r="S19" i="43"/>
  <c r="S45" i="43" s="1"/>
  <c r="D160" i="47"/>
  <c r="O50" i="33"/>
  <c r="AM57" i="15"/>
  <c r="AS34" i="15"/>
  <c r="AO22" i="15"/>
  <c r="AP22" i="15" s="1"/>
  <c r="O48" i="33"/>
  <c r="O49" i="33"/>
  <c r="AN36" i="13"/>
  <c r="AN50" i="13" s="1"/>
  <c r="AN48" i="13"/>
  <c r="AN49" i="13"/>
  <c r="G61" i="50"/>
  <c r="Z59" i="43"/>
  <c r="Z48" i="43"/>
  <c r="K31" i="39"/>
  <c r="AM19" i="39"/>
  <c r="AM31" i="39" s="1"/>
  <c r="AM32" i="39" s="1"/>
  <c r="AM39" i="39" s="1"/>
  <c r="F44" i="13"/>
  <c r="F45" i="13"/>
  <c r="F48" i="13"/>
  <c r="F58" i="13"/>
  <c r="F47" i="13"/>
  <c r="F46" i="13"/>
  <c r="F36" i="13"/>
  <c r="F50" i="13" s="1"/>
  <c r="I59" i="33"/>
  <c r="C59" i="33" s="1"/>
  <c r="D59" i="33" s="1"/>
  <c r="I49" i="33"/>
  <c r="C49" i="33" s="1"/>
  <c r="I36" i="33"/>
  <c r="C35" i="33"/>
  <c r="D35" i="33" s="1"/>
  <c r="M58" i="15"/>
  <c r="C58" i="15" s="1"/>
  <c r="D58" i="15" s="1"/>
  <c r="C34" i="15"/>
  <c r="D34" i="15" s="1"/>
  <c r="M35" i="15"/>
  <c r="M47" i="15"/>
  <c r="C47" i="15" s="1"/>
  <c r="M48" i="15"/>
  <c r="D235" i="47"/>
  <c r="AM21" i="33"/>
  <c r="K19" i="33"/>
  <c r="O36" i="13"/>
  <c r="O59" i="13"/>
  <c r="BI64" i="43"/>
  <c r="BI60" i="43"/>
  <c r="BI65" i="43" s="1"/>
  <c r="G305" i="47"/>
  <c r="K18" i="33"/>
  <c r="N49" i="15"/>
  <c r="F48" i="15"/>
  <c r="AR69" i="39"/>
  <c r="D117" i="26"/>
  <c r="D110" i="26"/>
  <c r="D112" i="26" s="1"/>
  <c r="B114" i="26" s="1"/>
  <c r="AY42" i="13"/>
  <c r="AY50" i="13"/>
  <c r="AR59" i="33"/>
  <c r="J60" i="33"/>
  <c r="AR60" i="33" s="1"/>
  <c r="AM58" i="13"/>
  <c r="D201" i="47"/>
  <c r="S67" i="39"/>
  <c r="S71" i="39"/>
  <c r="E37" i="47"/>
  <c r="E38" i="47"/>
  <c r="E112" i="47"/>
  <c r="N66" i="39"/>
  <c r="AS64" i="39"/>
  <c r="AO64" i="39" s="1"/>
  <c r="AP64" i="39" s="1"/>
  <c r="N70" i="39"/>
  <c r="N69" i="39"/>
  <c r="AR19" i="39"/>
  <c r="AO17" i="39"/>
  <c r="AP17" i="39" s="1"/>
  <c r="G59" i="13"/>
  <c r="G62" i="13" s="1"/>
  <c r="G36" i="13"/>
  <c r="G50" i="13" s="1"/>
  <c r="K300" i="47"/>
  <c r="Y33" i="50"/>
  <c r="AO20" i="13"/>
  <c r="AP20" i="13" s="1"/>
  <c r="AS35" i="13"/>
  <c r="C17" i="15"/>
  <c r="D17" i="15" s="1"/>
  <c r="I44" i="15"/>
  <c r="I45" i="15"/>
  <c r="C45" i="15" s="1"/>
  <c r="I46" i="15"/>
  <c r="I48" i="15"/>
  <c r="I57" i="15"/>
  <c r="I35" i="15"/>
  <c r="J18" i="33"/>
  <c r="AR21" i="33"/>
  <c r="AO21" i="33" s="1"/>
  <c r="AP21" i="33" s="1"/>
  <c r="J19" i="33"/>
  <c r="F59" i="15"/>
  <c r="Y14" i="43"/>
  <c r="Y15" i="43" s="1"/>
  <c r="Y58" i="43" s="1"/>
  <c r="H61" i="50"/>
  <c r="O43" i="15"/>
  <c r="O44" i="15"/>
  <c r="L76" i="43"/>
  <c r="AZ70" i="43"/>
  <c r="I44" i="33"/>
  <c r="O48" i="15"/>
  <c r="M76" i="43"/>
  <c r="AB63" i="43"/>
  <c r="E12" i="47"/>
  <c r="G12" i="47" s="1"/>
  <c r="O12" i="47" s="1"/>
  <c r="AU14" i="43"/>
  <c r="AU15" i="43" s="1"/>
  <c r="K15" i="43"/>
  <c r="K44" i="43" s="1"/>
  <c r="AZ14" i="43"/>
  <c r="BH35" i="43"/>
  <c r="BH48" i="43"/>
  <c r="N76" i="43"/>
  <c r="BG35" i="43"/>
  <c r="BG48" i="43"/>
  <c r="BG59" i="43"/>
  <c r="E184" i="47"/>
  <c r="J184" i="47" s="1"/>
  <c r="Q66" i="39"/>
  <c r="Q70" i="39"/>
  <c r="O47" i="15"/>
  <c r="K59" i="13"/>
  <c r="K60" i="13" s="1"/>
  <c r="K64" i="13" s="1"/>
  <c r="O46" i="15"/>
  <c r="I264" i="47"/>
  <c r="L264" i="47" s="1"/>
  <c r="Q47" i="43"/>
  <c r="P49" i="13"/>
  <c r="P59" i="13"/>
  <c r="P60" i="13" s="1"/>
  <c r="P64" i="13" s="1"/>
  <c r="H110" i="47"/>
  <c r="E125" i="47"/>
  <c r="T26" i="50"/>
  <c r="B99" i="26"/>
  <c r="C21" i="33"/>
  <c r="D21" i="33" s="1"/>
  <c r="AN65" i="39"/>
  <c r="AU70" i="43"/>
  <c r="G62" i="50"/>
  <c r="S62" i="50"/>
  <c r="D66" i="47"/>
  <c r="F66" i="47" s="1"/>
  <c r="P66" i="47" s="1"/>
  <c r="E60" i="50"/>
  <c r="AA64" i="43"/>
  <c r="AS65" i="39"/>
  <c r="AS70" i="39" s="1"/>
  <c r="AK35" i="43"/>
  <c r="AK48" i="43"/>
  <c r="P69" i="39"/>
  <c r="P70" i="39"/>
  <c r="P59" i="33"/>
  <c r="AN59" i="33" s="1"/>
  <c r="AN60" i="33" s="1"/>
  <c r="P48" i="33"/>
  <c r="P49" i="33"/>
  <c r="F35" i="15"/>
  <c r="F49" i="15" s="1"/>
  <c r="F43" i="15"/>
  <c r="L59" i="15"/>
  <c r="AO65" i="15"/>
  <c r="AP65" i="15" s="1"/>
  <c r="AR70" i="15"/>
  <c r="AO70" i="15" s="1"/>
  <c r="AP70" i="15" s="1"/>
  <c r="AC47" i="43"/>
  <c r="AC48" i="43"/>
  <c r="R47" i="43"/>
  <c r="S47" i="43"/>
  <c r="L47" i="43"/>
  <c r="BC47" i="43"/>
  <c r="BD47" i="43"/>
  <c r="I40" i="43"/>
  <c r="C40" i="43" s="1"/>
  <c r="D40" i="43" s="1"/>
  <c r="S58" i="13"/>
  <c r="S63" i="13" s="1"/>
  <c r="S48" i="13"/>
  <c r="U49" i="13"/>
  <c r="AO52" i="13"/>
  <c r="AP52" i="13" s="1"/>
  <c r="AU58" i="33"/>
  <c r="AM15" i="33"/>
  <c r="AR15" i="33"/>
  <c r="AO15" i="33" s="1"/>
  <c r="AD44" i="33"/>
  <c r="AD47" i="33"/>
  <c r="AD46" i="33"/>
  <c r="AO23" i="33"/>
  <c r="AP23" i="33" s="1"/>
  <c r="AR47" i="33"/>
  <c r="AR27" i="15"/>
  <c r="K34" i="15"/>
  <c r="V29" i="50"/>
  <c r="X29" i="50" s="1"/>
  <c r="W28" i="50"/>
  <c r="X28" i="50" s="1"/>
  <c r="AN46" i="15"/>
  <c r="AN44" i="15"/>
  <c r="BJ47" i="43"/>
  <c r="BJ63" i="43"/>
  <c r="C71" i="43"/>
  <c r="D71" i="43" s="1"/>
  <c r="Q76" i="43"/>
  <c r="P62" i="50"/>
  <c r="D62" i="50"/>
  <c r="E203" i="47"/>
  <c r="J203" i="47" s="1"/>
  <c r="K62" i="50"/>
  <c r="W62" i="50"/>
  <c r="N16" i="13"/>
  <c r="N47" i="13" s="1"/>
  <c r="AS13" i="13"/>
  <c r="F59" i="13"/>
  <c r="F49" i="13"/>
  <c r="L58" i="33"/>
  <c r="L60" i="33" s="1"/>
  <c r="L46" i="33"/>
  <c r="L36" i="33"/>
  <c r="R59" i="33"/>
  <c r="R60" i="33" s="1"/>
  <c r="R48" i="33"/>
  <c r="X36" i="33"/>
  <c r="X50" i="33" s="1"/>
  <c r="X49" i="33"/>
  <c r="AR70" i="33"/>
  <c r="AM70" i="33"/>
  <c r="AM71" i="33" s="1"/>
  <c r="H44" i="15"/>
  <c r="H46" i="15"/>
  <c r="H43" i="15"/>
  <c r="H35" i="15"/>
  <c r="H49" i="15" s="1"/>
  <c r="M46" i="15"/>
  <c r="M44" i="15"/>
  <c r="AN34" i="15"/>
  <c r="E134" i="47"/>
  <c r="Z46" i="43"/>
  <c r="Z47" i="43"/>
  <c r="Z45" i="43"/>
  <c r="Z58" i="43"/>
  <c r="Z60" i="43" s="1"/>
  <c r="Z35" i="43"/>
  <c r="BC61" i="43"/>
  <c r="R17" i="43"/>
  <c r="R19" i="43" s="1"/>
  <c r="E188" i="47"/>
  <c r="J266" i="47"/>
  <c r="L266" i="47" s="1"/>
  <c r="AN64" i="39"/>
  <c r="O70" i="39"/>
  <c r="O66" i="39"/>
  <c r="AS82" i="39"/>
  <c r="AO82" i="39" s="1"/>
  <c r="AP82" i="39" s="1"/>
  <c r="U46" i="13"/>
  <c r="U48" i="13"/>
  <c r="U58" i="13"/>
  <c r="AR35" i="13"/>
  <c r="AO35" i="13" s="1"/>
  <c r="AP35" i="13" s="1"/>
  <c r="AM20" i="13"/>
  <c r="AM35" i="13" s="1"/>
  <c r="AM48" i="13" s="1"/>
  <c r="K46" i="13"/>
  <c r="AT35" i="13"/>
  <c r="I58" i="33"/>
  <c r="I46" i="33"/>
  <c r="C46" i="33" s="1"/>
  <c r="I28" i="50"/>
  <c r="N28" i="50" s="1"/>
  <c r="J66" i="39"/>
  <c r="AS75" i="13"/>
  <c r="AO75" i="13" s="1"/>
  <c r="AP75" i="13" s="1"/>
  <c r="AO70" i="13"/>
  <c r="AP70" i="13" s="1"/>
  <c r="AS44" i="33"/>
  <c r="AS46" i="33"/>
  <c r="AO46" i="33" s="1"/>
  <c r="AA47" i="33"/>
  <c r="AA46" i="33"/>
  <c r="AA49" i="33"/>
  <c r="AA48" i="33"/>
  <c r="AG58" i="33"/>
  <c r="AG60" i="33" s="1"/>
  <c r="AG46" i="33"/>
  <c r="AG44" i="33"/>
  <c r="AG36" i="33"/>
  <c r="AG50" i="33" s="1"/>
  <c r="AM35" i="33"/>
  <c r="B83" i="26"/>
  <c r="B85" i="26" s="1"/>
  <c r="B87" i="26" s="1"/>
  <c r="H178" i="47"/>
  <c r="V27" i="50"/>
  <c r="X27" i="50" s="1"/>
  <c r="S43" i="15"/>
  <c r="I298" i="47"/>
  <c r="AZ26" i="43"/>
  <c r="BA30" i="43"/>
  <c r="D38" i="47"/>
  <c r="D40" i="47"/>
  <c r="G40" i="47" s="1"/>
  <c r="O40" i="47" s="1"/>
  <c r="AX48" i="33"/>
  <c r="M43" i="43"/>
  <c r="BD76" i="43"/>
  <c r="D185" i="47"/>
  <c r="J185" i="47" s="1"/>
  <c r="V37" i="50"/>
  <c r="V21" i="50"/>
  <c r="X21" i="50" s="1"/>
  <c r="J298" i="47"/>
  <c r="I18" i="50"/>
  <c r="S22" i="50"/>
  <c r="S47" i="50" s="1"/>
  <c r="J25" i="50"/>
  <c r="D25" i="50"/>
  <c r="D26" i="50" s="1"/>
  <c r="D188" i="47"/>
  <c r="AX46" i="33"/>
  <c r="Q43" i="43"/>
  <c r="M44" i="43"/>
  <c r="D136" i="47"/>
  <c r="F22" i="50"/>
  <c r="U20" i="50"/>
  <c r="BA22" i="43"/>
  <c r="AV30" i="43"/>
  <c r="T62" i="50"/>
  <c r="H62" i="50"/>
  <c r="AN15" i="13"/>
  <c r="D17" i="50"/>
  <c r="D22" i="50" s="1"/>
  <c r="D46" i="50" s="1"/>
  <c r="E24" i="50"/>
  <c r="H23" i="47"/>
  <c r="K23" i="47" s="1"/>
  <c r="P23" i="47" s="1"/>
  <c r="W37" i="50"/>
  <c r="E22" i="50"/>
  <c r="H26" i="50"/>
  <c r="I21" i="47"/>
  <c r="J43" i="43"/>
  <c r="BC44" i="43"/>
  <c r="E62" i="50"/>
  <c r="Q62" i="50"/>
  <c r="Y35" i="50"/>
  <c r="H233" i="47"/>
  <c r="H77" i="47" s="1"/>
  <c r="U37" i="50"/>
  <c r="W22" i="50"/>
  <c r="W47" i="50" s="1"/>
  <c r="X16" i="50"/>
  <c r="N38" i="50"/>
  <c r="O44" i="43"/>
  <c r="BD44" i="43"/>
  <c r="BA20" i="43"/>
  <c r="AZ22" i="43"/>
  <c r="AV25" i="43"/>
  <c r="AV26" i="43"/>
  <c r="AZ27" i="43"/>
  <c r="AZ29" i="43"/>
  <c r="AU30" i="43"/>
  <c r="BB65" i="43"/>
  <c r="AZ74" i="43"/>
  <c r="J62" i="50"/>
  <c r="S24" i="50"/>
  <c r="S26" i="50" s="1"/>
  <c r="G24" i="50"/>
  <c r="G82" i="47"/>
  <c r="X32" i="50"/>
  <c r="L29" i="50"/>
  <c r="V24" i="50"/>
  <c r="H25" i="47"/>
  <c r="P24" i="50"/>
  <c r="I32" i="50"/>
  <c r="N32" i="50" s="1"/>
  <c r="J18" i="50"/>
  <c r="H39" i="47"/>
  <c r="P39" i="47" s="1"/>
  <c r="D213" i="47"/>
  <c r="F213" i="47" s="1"/>
  <c r="K47" i="50"/>
  <c r="U32" i="50"/>
  <c r="I31" i="50"/>
  <c r="I16" i="50"/>
  <c r="N16" i="50" s="1"/>
  <c r="I27" i="50"/>
  <c r="N27" i="50" s="1"/>
  <c r="I30" i="50"/>
  <c r="N30" i="50" s="1"/>
  <c r="Q36" i="50"/>
  <c r="U36" i="50" s="1"/>
  <c r="J42" i="13"/>
  <c r="J50" i="13"/>
  <c r="M49" i="13"/>
  <c r="M45" i="13"/>
  <c r="M48" i="13"/>
  <c r="M58" i="13"/>
  <c r="M36" i="13"/>
  <c r="M62" i="13"/>
  <c r="M46" i="13"/>
  <c r="K303" i="47"/>
  <c r="Y38" i="50"/>
  <c r="Z38" i="50" s="1"/>
  <c r="Y39" i="50"/>
  <c r="Z39" i="50" s="1"/>
  <c r="H235" i="47"/>
  <c r="K306" i="47"/>
  <c r="L306" i="47" s="1"/>
  <c r="AM44" i="13"/>
  <c r="AM45" i="13"/>
  <c r="Y37" i="50"/>
  <c r="O42" i="13"/>
  <c r="O50" i="13"/>
  <c r="M25" i="50"/>
  <c r="Y25" i="50"/>
  <c r="Y47" i="50" s="1"/>
  <c r="Y34" i="50"/>
  <c r="K301" i="47"/>
  <c r="AR47" i="13"/>
  <c r="G47" i="13"/>
  <c r="G49" i="13"/>
  <c r="G46" i="13"/>
  <c r="G58" i="13"/>
  <c r="G63" i="13" s="1"/>
  <c r="G48" i="13"/>
  <c r="I58" i="13"/>
  <c r="I49" i="13"/>
  <c r="I44" i="13"/>
  <c r="C44" i="13" s="1"/>
  <c r="I47" i="13"/>
  <c r="C47" i="13" s="1"/>
  <c r="I45" i="13"/>
  <c r="C16" i="13"/>
  <c r="D16" i="13" s="1"/>
  <c r="I46" i="13"/>
  <c r="I48" i="13"/>
  <c r="P45" i="13"/>
  <c r="P36" i="13"/>
  <c r="P44" i="13"/>
  <c r="P47" i="13"/>
  <c r="P46" i="13"/>
  <c r="R58" i="13"/>
  <c r="R48" i="13"/>
  <c r="R62" i="13"/>
  <c r="R47" i="13"/>
  <c r="R49" i="13"/>
  <c r="R36" i="13"/>
  <c r="R44" i="13"/>
  <c r="T47" i="13"/>
  <c r="T46" i="13"/>
  <c r="T58" i="13"/>
  <c r="T60" i="13" s="1"/>
  <c r="T64" i="13" s="1"/>
  <c r="T36" i="13"/>
  <c r="T62" i="13"/>
  <c r="T44" i="13"/>
  <c r="AM15" i="13"/>
  <c r="AR15" i="13"/>
  <c r="Y62" i="50"/>
  <c r="AS15" i="13"/>
  <c r="Y24" i="50"/>
  <c r="Y46" i="50" s="1"/>
  <c r="M24" i="50"/>
  <c r="H24" i="47"/>
  <c r="G76" i="47" s="1"/>
  <c r="AN58" i="13"/>
  <c r="S60" i="13"/>
  <c r="S64" i="13" s="1"/>
  <c r="Q42" i="13"/>
  <c r="S49" i="13"/>
  <c r="S47" i="13"/>
  <c r="H49" i="13"/>
  <c r="H62" i="13"/>
  <c r="L45" i="13"/>
  <c r="L44" i="13"/>
  <c r="S62" i="13"/>
  <c r="AR44" i="13"/>
  <c r="AR45" i="13"/>
  <c r="AR49" i="13"/>
  <c r="Q60" i="13"/>
  <c r="Q64" i="13" s="1"/>
  <c r="L62" i="13"/>
  <c r="S44" i="13"/>
  <c r="H46" i="13"/>
  <c r="H45" i="13"/>
  <c r="H58" i="13"/>
  <c r="L47" i="13"/>
  <c r="L48" i="13"/>
  <c r="S36" i="13"/>
  <c r="S46" i="13"/>
  <c r="AR48" i="13"/>
  <c r="AR46" i="13"/>
  <c r="L49" i="13"/>
  <c r="S45" i="13"/>
  <c r="H36" i="13"/>
  <c r="H50" i="13" s="1"/>
  <c r="L58" i="13"/>
  <c r="E36" i="47"/>
  <c r="H40" i="47"/>
  <c r="P40" i="47" s="1"/>
  <c r="E208" i="47"/>
  <c r="F26" i="50"/>
  <c r="F40" i="50" s="1"/>
  <c r="BD19" i="43"/>
  <c r="BD46" i="43" s="1"/>
  <c r="E160" i="47"/>
  <c r="G235" i="47"/>
  <c r="E260" i="47"/>
  <c r="E267" i="47"/>
  <c r="E268" i="47"/>
  <c r="E264" i="47"/>
  <c r="E262" i="47"/>
  <c r="C17" i="43"/>
  <c r="D17" i="43" s="1"/>
  <c r="AV18" i="43"/>
  <c r="C18" i="43"/>
  <c r="D18" i="43" s="1"/>
  <c r="L43" i="43"/>
  <c r="D237" i="47"/>
  <c r="D243" i="47" s="1"/>
  <c r="D236" i="47"/>
  <c r="K265" i="47"/>
  <c r="K273" i="47" s="1"/>
  <c r="K275" i="47" s="1"/>
  <c r="W26" i="50"/>
  <c r="K26" i="50"/>
  <c r="K40" i="50" s="1"/>
  <c r="E177" i="47"/>
  <c r="J177" i="47" s="1"/>
  <c r="D162" i="47"/>
  <c r="BB19" i="43"/>
  <c r="BB46" i="43" s="1"/>
  <c r="M19" i="43"/>
  <c r="M34" i="43" s="1"/>
  <c r="M35" i="43" s="1"/>
  <c r="Q19" i="43"/>
  <c r="Q45" i="43" s="1"/>
  <c r="BC19" i="43"/>
  <c r="BC63" i="43" s="1"/>
  <c r="BA18" i="43"/>
  <c r="O19" i="43"/>
  <c r="O45" i="43" s="1"/>
  <c r="BC43" i="43"/>
  <c r="Q44" i="43"/>
  <c r="I19" i="43"/>
  <c r="J19" i="43"/>
  <c r="J34" i="43" s="1"/>
  <c r="AZ17" i="43"/>
  <c r="G209" i="47"/>
  <c r="G218" i="47" s="1"/>
  <c r="I218" i="47" s="1"/>
  <c r="Q218" i="47" s="1"/>
  <c r="E261" i="47"/>
  <c r="E266" i="47"/>
  <c r="G206" i="47"/>
  <c r="G71" i="47" s="1"/>
  <c r="K71" i="47" s="1"/>
  <c r="E303" i="47"/>
  <c r="H33" i="47"/>
  <c r="Q164" i="47"/>
  <c r="G231" i="47"/>
  <c r="I231" i="47" s="1"/>
  <c r="Q231" i="47" s="1"/>
  <c r="G233" i="47"/>
  <c r="G77" i="47" s="1"/>
  <c r="G178" i="47"/>
  <c r="G237" i="47"/>
  <c r="K237" i="47" s="1"/>
  <c r="D262" i="47"/>
  <c r="G262" i="47" s="1"/>
  <c r="H262" i="47" s="1"/>
  <c r="D269" i="47"/>
  <c r="G207" i="47"/>
  <c r="K207" i="47" s="1"/>
  <c r="G181" i="47"/>
  <c r="L132" i="47"/>
  <c r="D270" i="47"/>
  <c r="E274" i="47"/>
  <c r="D266" i="47"/>
  <c r="I85" i="47"/>
  <c r="Q85" i="47" s="1"/>
  <c r="L36" i="50"/>
  <c r="W36" i="50"/>
  <c r="F230" i="47"/>
  <c r="P230" i="47" s="1"/>
  <c r="E297" i="47"/>
  <c r="D261" i="47"/>
  <c r="D263" i="47"/>
  <c r="AD22" i="50"/>
  <c r="G24" i="47"/>
  <c r="K85" i="47"/>
  <c r="D163" i="47"/>
  <c r="L130" i="47"/>
  <c r="D129" i="47"/>
  <c r="F129" i="47" s="1"/>
  <c r="P129" i="47" s="1"/>
  <c r="M127" i="47"/>
  <c r="E22" i="47"/>
  <c r="E132" i="47"/>
  <c r="E67" i="47" s="1"/>
  <c r="H131" i="47"/>
  <c r="H68" i="47" s="1"/>
  <c r="E136" i="47"/>
  <c r="G131" i="47"/>
  <c r="G68" i="47" s="1"/>
  <c r="E14" i="47"/>
  <c r="Y19" i="43"/>
  <c r="E115" i="47"/>
  <c r="M130" i="47"/>
  <c r="H134" i="47"/>
  <c r="H139" i="47"/>
  <c r="E13" i="47"/>
  <c r="G13" i="47" s="1"/>
  <c r="O13" i="47" s="1"/>
  <c r="U31" i="50"/>
  <c r="Z31" i="50" s="1"/>
  <c r="U29" i="50"/>
  <c r="F47" i="50"/>
  <c r="D11" i="47"/>
  <c r="G11" i="47" s="1"/>
  <c r="O11" i="47" s="1"/>
  <c r="E10" i="47"/>
  <c r="D128" i="47"/>
  <c r="R27" i="50"/>
  <c r="U27" i="50" s="1"/>
  <c r="R19" i="50"/>
  <c r="R22" i="50" s="1"/>
  <c r="D274" i="47"/>
  <c r="F46" i="50"/>
  <c r="R62" i="50"/>
  <c r="U43" i="50"/>
  <c r="Z43" i="50" s="1"/>
  <c r="U34" i="50"/>
  <c r="I37" i="50"/>
  <c r="U28" i="50"/>
  <c r="Y76" i="43"/>
  <c r="I33" i="50"/>
  <c r="D76" i="47"/>
  <c r="L129" i="47"/>
  <c r="D132" i="47"/>
  <c r="D67" i="47" s="1"/>
  <c r="I268" i="47"/>
  <c r="L268" i="47" s="1"/>
  <c r="I269" i="47"/>
  <c r="L269" i="47" s="1"/>
  <c r="U21" i="50"/>
  <c r="I267" i="47"/>
  <c r="L267" i="47" s="1"/>
  <c r="H117" i="47"/>
  <c r="I297" i="47"/>
  <c r="L297" i="47" s="1"/>
  <c r="I263" i="47"/>
  <c r="L263" i="47" s="1"/>
  <c r="BB44" i="43"/>
  <c r="BB43" i="43"/>
  <c r="P19" i="43"/>
  <c r="L44" i="43"/>
  <c r="AZ18" i="43"/>
  <c r="C22" i="43"/>
  <c r="D22" i="43" s="1"/>
  <c r="AU23" i="43"/>
  <c r="K47" i="43"/>
  <c r="AZ23" i="43"/>
  <c r="BA26" i="43"/>
  <c r="N47" i="43"/>
  <c r="AZ30" i="43"/>
  <c r="AV70" i="43"/>
  <c r="BA70" i="43"/>
  <c r="O76" i="43"/>
  <c r="AV71" i="43"/>
  <c r="P76" i="43"/>
  <c r="BA71" i="43"/>
  <c r="AV72" i="43"/>
  <c r="BA72" i="43"/>
  <c r="C74" i="43"/>
  <c r="D74" i="43" s="1"/>
  <c r="I76" i="43"/>
  <c r="E19" i="47"/>
  <c r="AU40" i="43"/>
  <c r="AZ40" i="43"/>
  <c r="AW40" i="43" s="1"/>
  <c r="AX40" i="43" s="1"/>
  <c r="BC64" i="43"/>
  <c r="BA74" i="43"/>
  <c r="K58" i="43"/>
  <c r="K43" i="43"/>
  <c r="I296" i="47"/>
  <c r="L296" i="47" s="1"/>
  <c r="M126" i="47"/>
  <c r="N58" i="43"/>
  <c r="N44" i="43"/>
  <c r="S58" i="43"/>
  <c r="S43" i="43"/>
  <c r="O43" i="43"/>
  <c r="AV17" i="43"/>
  <c r="BA17" i="43"/>
  <c r="AU18" i="43"/>
  <c r="S44" i="43"/>
  <c r="AZ20" i="43"/>
  <c r="J47" i="43"/>
  <c r="AU25" i="43"/>
  <c r="BA27" i="43"/>
  <c r="I15" i="43"/>
  <c r="I47" i="43" s="1"/>
  <c r="C14" i="43"/>
  <c r="D14" i="43" s="1"/>
  <c r="AU17" i="43"/>
  <c r="K19" i="43"/>
  <c r="BB47" i="43"/>
  <c r="AV24" i="43"/>
  <c r="BA24" i="43"/>
  <c r="AU28" i="43"/>
  <c r="AZ28" i="43"/>
  <c r="AZ71" i="43"/>
  <c r="BB76" i="43"/>
  <c r="AZ72" i="43"/>
  <c r="AU72" i="43"/>
  <c r="AZ73" i="43"/>
  <c r="AW73" i="43" s="1"/>
  <c r="AX73" i="43" s="1"/>
  <c r="AU73" i="43"/>
  <c r="AU78" i="43"/>
  <c r="H66" i="47"/>
  <c r="I260" i="47"/>
  <c r="L19" i="43"/>
  <c r="BD43" i="43"/>
  <c r="O47" i="43"/>
  <c r="AW52" i="43"/>
  <c r="AX52" i="43" s="1"/>
  <c r="BB64" i="43"/>
  <c r="BC76" i="43"/>
  <c r="BA75" i="43"/>
  <c r="N43" i="43"/>
  <c r="N19" i="43"/>
  <c r="R44" i="43"/>
  <c r="AZ24" i="43"/>
  <c r="AZ25" i="43"/>
  <c r="AW25" i="43" s="1"/>
  <c r="AX25" i="43" s="1"/>
  <c r="AU26" i="43"/>
  <c r="BA28" i="43"/>
  <c r="BA29" i="43"/>
  <c r="I295" i="47"/>
  <c r="C78" i="43"/>
  <c r="D78" i="43" s="1"/>
  <c r="I262" i="47"/>
  <c r="L262" i="47" s="1"/>
  <c r="K51" i="47"/>
  <c r="P51" i="47" s="1"/>
  <c r="D134" i="47"/>
  <c r="P164" i="47"/>
  <c r="H86" i="47"/>
  <c r="I86" i="47" s="1"/>
  <c r="Q86" i="47" s="1"/>
  <c r="G35" i="47"/>
  <c r="F209" i="47"/>
  <c r="P209" i="47" s="1"/>
  <c r="J204" i="47"/>
  <c r="J181" i="47"/>
  <c r="F139" i="47"/>
  <c r="P139" i="47" s="1"/>
  <c r="F131" i="47"/>
  <c r="P131" i="47" s="1"/>
  <c r="E68" i="47"/>
  <c r="F242" i="47"/>
  <c r="P242" i="47" s="1"/>
  <c r="F181" i="47"/>
  <c r="P181" i="47" s="1"/>
  <c r="J187" i="47"/>
  <c r="F178" i="47"/>
  <c r="P178" i="47" s="1"/>
  <c r="J178" i="47"/>
  <c r="F187" i="47"/>
  <c r="P187" i="47" s="1"/>
  <c r="D192" i="47"/>
  <c r="E192" i="47"/>
  <c r="J231" i="47"/>
  <c r="F238" i="47"/>
  <c r="P238" i="47" s="1"/>
  <c r="F231" i="47"/>
  <c r="P231" i="47" s="1"/>
  <c r="J244" i="47"/>
  <c r="J242" i="47"/>
  <c r="J234" i="47"/>
  <c r="G25" i="47"/>
  <c r="G21" i="47"/>
  <c r="F117" i="47"/>
  <c r="P117" i="47" s="1"/>
  <c r="I33" i="47"/>
  <c r="F16" i="47"/>
  <c r="F85" i="47"/>
  <c r="P85" i="47" s="1"/>
  <c r="F31" i="47"/>
  <c r="K35" i="47"/>
  <c r="P35" i="47" s="1"/>
  <c r="F20" i="47"/>
  <c r="G23" i="47"/>
  <c r="O23" i="47" s="1"/>
  <c r="F86" i="47"/>
  <c r="P86" i="47" s="1"/>
  <c r="M51" i="47"/>
  <c r="G51" i="47"/>
  <c r="O51" i="47" s="1"/>
  <c r="F82" i="47"/>
  <c r="P82" i="47" s="1"/>
  <c r="G33" i="47"/>
  <c r="O33" i="47" s="1"/>
  <c r="K32" i="47"/>
  <c r="P32" i="47" s="1"/>
  <c r="G32" i="47"/>
  <c r="O32" i="47" s="1"/>
  <c r="G39" i="47"/>
  <c r="O39" i="47" s="1"/>
  <c r="F228" i="47"/>
  <c r="P228" i="47" s="1"/>
  <c r="F239" i="47"/>
  <c r="P239" i="47" s="1"/>
  <c r="F204" i="47"/>
  <c r="P204" i="47" s="1"/>
  <c r="J207" i="47"/>
  <c r="J214" i="47"/>
  <c r="F214" i="47"/>
  <c r="F212" i="47"/>
  <c r="J212" i="47"/>
  <c r="F72" i="47"/>
  <c r="P72" i="47" s="1"/>
  <c r="F206" i="47"/>
  <c r="D71" i="47"/>
  <c r="J206" i="47"/>
  <c r="D218" i="47"/>
  <c r="J209" i="47"/>
  <c r="F244" i="47"/>
  <c r="P244" i="47" s="1"/>
  <c r="J239" i="47"/>
  <c r="P77" i="47"/>
  <c r="J230" i="47"/>
  <c r="F233" i="47"/>
  <c r="P233" i="47" s="1"/>
  <c r="F234" i="47"/>
  <c r="H243" i="47"/>
  <c r="J238" i="47"/>
  <c r="J233" i="47"/>
  <c r="J228" i="47"/>
  <c r="I42" i="13" l="1"/>
  <c r="N49" i="13"/>
  <c r="N58" i="13"/>
  <c r="N60" i="13" s="1"/>
  <c r="N64" i="13" s="1"/>
  <c r="N45" i="13"/>
  <c r="N36" i="13"/>
  <c r="N42" i="13" s="1"/>
  <c r="K42" i="13"/>
  <c r="K50" i="13"/>
  <c r="C46" i="13"/>
  <c r="N43" i="50"/>
  <c r="K42" i="50"/>
  <c r="K44" i="50" s="1"/>
  <c r="K52" i="50" s="1"/>
  <c r="C44" i="33"/>
  <c r="Z30" i="50"/>
  <c r="N60" i="33"/>
  <c r="N33" i="50"/>
  <c r="AR42" i="33"/>
  <c r="L62" i="50"/>
  <c r="Z20" i="50"/>
  <c r="J50" i="33"/>
  <c r="J42" i="33"/>
  <c r="G204" i="47"/>
  <c r="I204" i="47" s="1"/>
  <c r="Q204" i="47" s="1"/>
  <c r="K63" i="50"/>
  <c r="K68" i="50" s="1"/>
  <c r="Z34" i="50"/>
  <c r="K181" i="47"/>
  <c r="J26" i="50"/>
  <c r="J40" i="50" s="1"/>
  <c r="N34" i="50"/>
  <c r="Z29" i="50"/>
  <c r="Z32" i="50"/>
  <c r="Z16" i="50"/>
  <c r="N37" i="50"/>
  <c r="T46" i="50"/>
  <c r="H47" i="50"/>
  <c r="H50" i="50"/>
  <c r="N36" i="50"/>
  <c r="G47" i="50"/>
  <c r="F42" i="50"/>
  <c r="F44" i="50" s="1"/>
  <c r="F52" i="50" s="1"/>
  <c r="AW30" i="43"/>
  <c r="N35" i="50"/>
  <c r="AW27" i="43"/>
  <c r="AX27" i="43" s="1"/>
  <c r="AW75" i="43"/>
  <c r="AX75" i="43" s="1"/>
  <c r="AW26" i="43"/>
  <c r="AX26" i="43" s="1"/>
  <c r="Q22" i="50"/>
  <c r="Q47" i="50" s="1"/>
  <c r="E47" i="50"/>
  <c r="Z35" i="50"/>
  <c r="AW74" i="43"/>
  <c r="AX74" i="43" s="1"/>
  <c r="AW20" i="43"/>
  <c r="AX20" i="43" s="1"/>
  <c r="E26" i="50"/>
  <c r="E40" i="50" s="1"/>
  <c r="N29" i="50"/>
  <c r="I17" i="50"/>
  <c r="N17" i="50" s="1"/>
  <c r="C47" i="43"/>
  <c r="AW29" i="43"/>
  <c r="AX29" i="43" s="1"/>
  <c r="Y43" i="43"/>
  <c r="Y46" i="43"/>
  <c r="J201" i="47"/>
  <c r="I234" i="47"/>
  <c r="I14" i="47"/>
  <c r="G37" i="47"/>
  <c r="O37" i="47" s="1"/>
  <c r="F39" i="47"/>
  <c r="F33" i="47"/>
  <c r="F38" i="47"/>
  <c r="F32" i="47"/>
  <c r="F37" i="47"/>
  <c r="F36" i="47"/>
  <c r="F35" i="47"/>
  <c r="F40" i="47"/>
  <c r="F34" i="47"/>
  <c r="AB49" i="43"/>
  <c r="AB41" i="43"/>
  <c r="AB50" i="43" s="1"/>
  <c r="Z21" i="50"/>
  <c r="J62" i="13"/>
  <c r="J63" i="13"/>
  <c r="J60" i="13"/>
  <c r="AN35" i="33"/>
  <c r="AN47" i="33"/>
  <c r="P50" i="33"/>
  <c r="P42" i="33"/>
  <c r="AS47" i="33"/>
  <c r="AO47" i="33" s="1"/>
  <c r="AS35" i="33"/>
  <c r="AS17" i="15"/>
  <c r="AO14" i="15"/>
  <c r="AP14" i="15" s="1"/>
  <c r="AA49" i="43"/>
  <c r="AA41" i="43"/>
  <c r="AA50" i="43" s="1"/>
  <c r="AW71" i="43"/>
  <c r="AX71" i="43" s="1"/>
  <c r="AU44" i="43"/>
  <c r="N31" i="50"/>
  <c r="AU48" i="33"/>
  <c r="V17" i="50"/>
  <c r="X17" i="50" s="1"/>
  <c r="J294" i="47"/>
  <c r="L70" i="39"/>
  <c r="L69" i="39"/>
  <c r="L66" i="39"/>
  <c r="P62" i="13"/>
  <c r="M50" i="33"/>
  <c r="M42" i="33"/>
  <c r="C35" i="13"/>
  <c r="D35" i="13" s="1"/>
  <c r="I59" i="13"/>
  <c r="I60" i="13" s="1"/>
  <c r="AL60" i="43"/>
  <c r="AL65" i="43" s="1"/>
  <c r="AL64" i="43"/>
  <c r="X37" i="50"/>
  <c r="Z37" i="50" s="1"/>
  <c r="AN45" i="15"/>
  <c r="AN43" i="15"/>
  <c r="O35" i="15"/>
  <c r="O57" i="15"/>
  <c r="O45" i="15"/>
  <c r="AO21" i="15"/>
  <c r="AP21" i="15" s="1"/>
  <c r="AR46" i="15"/>
  <c r="AR45" i="15"/>
  <c r="F250" i="47"/>
  <c r="G250" i="47" s="1"/>
  <c r="AW24" i="43"/>
  <c r="AX24" i="43" s="1"/>
  <c r="L298" i="47"/>
  <c r="AA61" i="43"/>
  <c r="AA65" i="43"/>
  <c r="H114" i="47"/>
  <c r="AU49" i="33"/>
  <c r="AU36" i="33"/>
  <c r="N130" i="47"/>
  <c r="O130" i="47" s="1"/>
  <c r="AT59" i="33"/>
  <c r="AT60" i="33" s="1"/>
  <c r="AT48" i="33"/>
  <c r="AT49" i="33"/>
  <c r="AT36" i="33"/>
  <c r="AT35" i="15"/>
  <c r="AT48" i="15"/>
  <c r="I45" i="33"/>
  <c r="C45" i="33" s="1"/>
  <c r="C19" i="33"/>
  <c r="D19" i="33" s="1"/>
  <c r="C44" i="15"/>
  <c r="AW78" i="43"/>
  <c r="AX78" i="43" s="1"/>
  <c r="C18" i="33"/>
  <c r="D18" i="33" s="1"/>
  <c r="I20" i="33"/>
  <c r="C20" i="33" s="1"/>
  <c r="D20" i="33" s="1"/>
  <c r="C49" i="13"/>
  <c r="I62" i="50"/>
  <c r="I12" i="47"/>
  <c r="F163" i="47"/>
  <c r="P163" i="47" s="1"/>
  <c r="I178" i="47"/>
  <c r="Q178" i="47" s="1"/>
  <c r="E46" i="50"/>
  <c r="J188" i="47"/>
  <c r="F185" i="47"/>
  <c r="P185" i="47" s="1"/>
  <c r="F48" i="50"/>
  <c r="S34" i="43"/>
  <c r="S35" i="43" s="1"/>
  <c r="S46" i="43"/>
  <c r="G38" i="47"/>
  <c r="O38" i="47" s="1"/>
  <c r="E235" i="47"/>
  <c r="J235" i="47" s="1"/>
  <c r="F184" i="47"/>
  <c r="P184" i="47" s="1"/>
  <c r="F188" i="47"/>
  <c r="P188" i="47" s="1"/>
  <c r="J213" i="47"/>
  <c r="E205" i="47"/>
  <c r="D208" i="47"/>
  <c r="D205" i="47" s="1"/>
  <c r="BD45" i="43"/>
  <c r="F134" i="47"/>
  <c r="P134" i="47" s="1"/>
  <c r="M48" i="43"/>
  <c r="F136" i="47"/>
  <c r="P136" i="47" s="1"/>
  <c r="F160" i="47"/>
  <c r="P160" i="47" s="1"/>
  <c r="K24" i="47"/>
  <c r="K77" i="47"/>
  <c r="M24" i="47"/>
  <c r="H180" i="47"/>
  <c r="H177" i="47"/>
  <c r="AN15" i="33"/>
  <c r="AM36" i="13"/>
  <c r="AM50" i="13" s="1"/>
  <c r="Q24" i="50"/>
  <c r="Q26" i="50" s="1"/>
  <c r="Z49" i="43"/>
  <c r="Z41" i="43"/>
  <c r="Z50" i="43" s="1"/>
  <c r="H66" i="50"/>
  <c r="C57" i="15"/>
  <c r="D57" i="15" s="1"/>
  <c r="I59" i="15"/>
  <c r="N67" i="39"/>
  <c r="N71" i="39"/>
  <c r="K45" i="33"/>
  <c r="AM19" i="33"/>
  <c r="AM45" i="33" s="1"/>
  <c r="D232" i="47"/>
  <c r="Z28" i="50"/>
  <c r="N48" i="13"/>
  <c r="V18" i="50"/>
  <c r="G26" i="50"/>
  <c r="G46" i="50"/>
  <c r="Z61" i="43"/>
  <c r="Z65" i="43"/>
  <c r="AR19" i="33"/>
  <c r="J45" i="33"/>
  <c r="C48" i="15"/>
  <c r="D175" i="47"/>
  <c r="H112" i="47"/>
  <c r="F49" i="50"/>
  <c r="G129" i="47"/>
  <c r="G267" i="47"/>
  <c r="W46" i="50"/>
  <c r="Y26" i="50"/>
  <c r="Y49" i="50" s="1"/>
  <c r="C58" i="13"/>
  <c r="D58" i="13" s="1"/>
  <c r="P63" i="13"/>
  <c r="AM49" i="13"/>
  <c r="V62" i="50"/>
  <c r="X62" i="50" s="1"/>
  <c r="AW22" i="43"/>
  <c r="AX22" i="43" s="1"/>
  <c r="AT49" i="13"/>
  <c r="AT36" i="13"/>
  <c r="O67" i="39"/>
  <c r="O71" i="39"/>
  <c r="AN47" i="15"/>
  <c r="AN35" i="15"/>
  <c r="AN49" i="15" s="1"/>
  <c r="AN48" i="15"/>
  <c r="AO70" i="33"/>
  <c r="AP70" i="33" s="1"/>
  <c r="AR71" i="33"/>
  <c r="AO71" i="33" s="1"/>
  <c r="AP71" i="33" s="1"/>
  <c r="BG64" i="43"/>
  <c r="BG60" i="43"/>
  <c r="BG65" i="43" s="1"/>
  <c r="C46" i="15"/>
  <c r="Z64" i="43"/>
  <c r="Z63" i="43"/>
  <c r="AN59" i="13"/>
  <c r="AN62" i="13" s="1"/>
  <c r="AS59" i="13"/>
  <c r="O62" i="13"/>
  <c r="K65" i="39"/>
  <c r="K32" i="39"/>
  <c r="K39" i="39" s="1"/>
  <c r="I60" i="33"/>
  <c r="C60" i="33" s="1"/>
  <c r="D60" i="33" s="1"/>
  <c r="C58" i="33"/>
  <c r="D58" i="33" s="1"/>
  <c r="AU76" i="43"/>
  <c r="I308" i="47"/>
  <c r="S46" i="50"/>
  <c r="T63" i="13"/>
  <c r="AR36" i="13"/>
  <c r="AR42" i="13" s="1"/>
  <c r="AM47" i="13"/>
  <c r="J71" i="39"/>
  <c r="J67" i="39"/>
  <c r="P33" i="50"/>
  <c r="U33" i="50" s="1"/>
  <c r="F62" i="13"/>
  <c r="F63" i="13"/>
  <c r="K58" i="15"/>
  <c r="K47" i="15"/>
  <c r="K48" i="15"/>
  <c r="K35" i="15"/>
  <c r="H82" i="47"/>
  <c r="AR18" i="33"/>
  <c r="J44" i="33"/>
  <c r="J20" i="33"/>
  <c r="M59" i="15"/>
  <c r="S60" i="50"/>
  <c r="S65" i="50" s="1"/>
  <c r="G60" i="50"/>
  <c r="G67" i="50" s="1"/>
  <c r="F60" i="13"/>
  <c r="F64" i="13" s="1"/>
  <c r="V25" i="50"/>
  <c r="AN66" i="39"/>
  <c r="AN69" i="39"/>
  <c r="AS16" i="13"/>
  <c r="AS49" i="13" s="1"/>
  <c r="AO49" i="13" s="1"/>
  <c r="AO13" i="13"/>
  <c r="AP13" i="13" s="1"/>
  <c r="T49" i="50"/>
  <c r="T48" i="50"/>
  <c r="T40" i="50"/>
  <c r="AO19" i="39"/>
  <c r="AP19" i="39" s="1"/>
  <c r="AR31" i="39"/>
  <c r="K44" i="33"/>
  <c r="AM18" i="33"/>
  <c r="AM44" i="33" s="1"/>
  <c r="K20" i="33"/>
  <c r="AM20" i="33" s="1"/>
  <c r="F203" i="47"/>
  <c r="P203" i="47" s="1"/>
  <c r="R43" i="43"/>
  <c r="N25" i="50"/>
  <c r="N46" i="13"/>
  <c r="N44" i="13"/>
  <c r="I42" i="33"/>
  <c r="C36" i="33"/>
  <c r="D36" i="33" s="1"/>
  <c r="I50" i="33"/>
  <c r="F201" i="47"/>
  <c r="P201" i="47" s="1"/>
  <c r="M23" i="47"/>
  <c r="BD34" i="43"/>
  <c r="BD35" i="43" s="1"/>
  <c r="U62" i="50"/>
  <c r="H208" i="47"/>
  <c r="D47" i="50"/>
  <c r="O60" i="13"/>
  <c r="O64" i="13" s="1"/>
  <c r="AM46" i="13"/>
  <c r="P17" i="50"/>
  <c r="AM49" i="33"/>
  <c r="AM48" i="33"/>
  <c r="AM36" i="33"/>
  <c r="AM50" i="33" s="1"/>
  <c r="U63" i="13"/>
  <c r="U60" i="13"/>
  <c r="U64" i="13" s="1"/>
  <c r="W33" i="50"/>
  <c r="X33" i="50" s="1"/>
  <c r="J300" i="47"/>
  <c r="AU60" i="33"/>
  <c r="AK41" i="43"/>
  <c r="AK50" i="43" s="1"/>
  <c r="AK49" i="43"/>
  <c r="H125" i="47"/>
  <c r="H146" i="47" s="1"/>
  <c r="H159" i="47" s="1"/>
  <c r="H174" i="47" s="1"/>
  <c r="H200" i="47" s="1"/>
  <c r="H227" i="47" s="1"/>
  <c r="E146" i="47"/>
  <c r="E159" i="47" s="1"/>
  <c r="E174" i="47" s="1"/>
  <c r="E200" i="47" s="1"/>
  <c r="E227" i="47" s="1"/>
  <c r="Q67" i="39"/>
  <c r="Q71" i="39"/>
  <c r="AZ15" i="43"/>
  <c r="AZ47" i="43" s="1"/>
  <c r="P60" i="50"/>
  <c r="D60" i="50"/>
  <c r="D65" i="50" s="1"/>
  <c r="H48" i="50"/>
  <c r="H49" i="50"/>
  <c r="H40" i="50"/>
  <c r="D41" i="47"/>
  <c r="G41" i="47" s="1"/>
  <c r="O41" i="47" s="1"/>
  <c r="H41" i="47"/>
  <c r="P41" i="47" s="1"/>
  <c r="AO27" i="15"/>
  <c r="AP27" i="15" s="1"/>
  <c r="AR34" i="15"/>
  <c r="AR47" i="15"/>
  <c r="BG41" i="43"/>
  <c r="BG50" i="43" s="1"/>
  <c r="BG49" i="43"/>
  <c r="BD63" i="43"/>
  <c r="P25" i="50"/>
  <c r="P26" i="50" s="1"/>
  <c r="P60" i="33"/>
  <c r="AS59" i="33"/>
  <c r="AS60" i="33" s="1"/>
  <c r="AO60" i="33" s="1"/>
  <c r="AP60" i="33" s="1"/>
  <c r="BH49" i="43"/>
  <c r="BH41" i="43"/>
  <c r="BH50" i="43" s="1"/>
  <c r="AO59" i="33"/>
  <c r="AP59" i="33" s="1"/>
  <c r="C76" i="43"/>
  <c r="D76" i="43" s="1"/>
  <c r="L128" i="47"/>
  <c r="AW28" i="43"/>
  <c r="AX28" i="43" s="1"/>
  <c r="I22" i="47"/>
  <c r="Y47" i="43"/>
  <c r="Z27" i="50"/>
  <c r="S61" i="50"/>
  <c r="E162" i="47"/>
  <c r="F162" i="47" s="1"/>
  <c r="P162" i="47" s="1"/>
  <c r="D36" i="47"/>
  <c r="G36" i="47" s="1"/>
  <c r="O36" i="47" s="1"/>
  <c r="N62" i="13"/>
  <c r="O63" i="13"/>
  <c r="M26" i="50"/>
  <c r="L18" i="50"/>
  <c r="L22" i="50" s="1"/>
  <c r="J22" i="50"/>
  <c r="J46" i="50" s="1"/>
  <c r="L42" i="33"/>
  <c r="L50" i="33"/>
  <c r="Y44" i="43"/>
  <c r="AN70" i="39"/>
  <c r="P14" i="43"/>
  <c r="K62" i="13"/>
  <c r="AR59" i="13"/>
  <c r="AM59" i="13"/>
  <c r="AM63" i="13" s="1"/>
  <c r="K63" i="13"/>
  <c r="I49" i="15"/>
  <c r="I41" i="15"/>
  <c r="C35" i="15"/>
  <c r="D35" i="15" s="1"/>
  <c r="AS66" i="39"/>
  <c r="AS69" i="39"/>
  <c r="AO69" i="39" s="1"/>
  <c r="M49" i="15"/>
  <c r="M41" i="15"/>
  <c r="I235" i="47"/>
  <c r="M46" i="50"/>
  <c r="R60" i="13"/>
  <c r="AT58" i="13"/>
  <c r="AT63" i="13" s="1"/>
  <c r="R63" i="13"/>
  <c r="P50" i="13"/>
  <c r="P42" i="13"/>
  <c r="M60" i="13"/>
  <c r="M64" i="13" s="1"/>
  <c r="M63" i="13"/>
  <c r="M47" i="50"/>
  <c r="AO15" i="13"/>
  <c r="AP15" i="13" s="1"/>
  <c r="T42" i="13"/>
  <c r="T50" i="13"/>
  <c r="K302" i="47"/>
  <c r="N24" i="50"/>
  <c r="G60" i="13"/>
  <c r="G64" i="13" s="1"/>
  <c r="R50" i="13"/>
  <c r="R42" i="13"/>
  <c r="C48" i="13"/>
  <c r="C45" i="13"/>
  <c r="M60" i="50"/>
  <c r="Y60" i="50"/>
  <c r="M50" i="13"/>
  <c r="C50" i="13" s="1"/>
  <c r="C36" i="13"/>
  <c r="D36" i="13" s="1"/>
  <c r="M42" i="13"/>
  <c r="N50" i="13"/>
  <c r="H63" i="13"/>
  <c r="H60" i="13"/>
  <c r="H64" i="13" s="1"/>
  <c r="AS58" i="13"/>
  <c r="N63" i="13"/>
  <c r="S50" i="13"/>
  <c r="S42" i="13"/>
  <c r="L60" i="13"/>
  <c r="L64" i="13" s="1"/>
  <c r="L63" i="13"/>
  <c r="K235" i="47"/>
  <c r="H37" i="47"/>
  <c r="P37" i="47" s="1"/>
  <c r="H203" i="47"/>
  <c r="G268" i="47"/>
  <c r="F268" i="47" s="1"/>
  <c r="H268" i="47" s="1"/>
  <c r="D180" i="47"/>
  <c r="D179" i="47" s="1"/>
  <c r="F177" i="47"/>
  <c r="P177" i="47" s="1"/>
  <c r="G261" i="47"/>
  <c r="H261" i="47" s="1"/>
  <c r="AZ19" i="43"/>
  <c r="AZ34" i="43" s="1"/>
  <c r="M45" i="43"/>
  <c r="C19" i="43"/>
  <c r="D19" i="43" s="1"/>
  <c r="M59" i="43"/>
  <c r="M60" i="43" s="1"/>
  <c r="M65" i="43" s="1"/>
  <c r="M46" i="43"/>
  <c r="E236" i="47"/>
  <c r="K66" i="50"/>
  <c r="K48" i="50"/>
  <c r="K65" i="50"/>
  <c r="K49" i="50"/>
  <c r="K51" i="50"/>
  <c r="D210" i="47"/>
  <c r="K50" i="50"/>
  <c r="W48" i="50"/>
  <c r="W49" i="50"/>
  <c r="K218" i="47"/>
  <c r="D191" i="47"/>
  <c r="E180" i="47"/>
  <c r="S40" i="50"/>
  <c r="S48" i="50"/>
  <c r="S49" i="50"/>
  <c r="H163" i="47"/>
  <c r="Q34" i="43"/>
  <c r="Q48" i="43" s="1"/>
  <c r="BB45" i="43"/>
  <c r="H162" i="47"/>
  <c r="BB63" i="43"/>
  <c r="Q46" i="43"/>
  <c r="BB34" i="43"/>
  <c r="BB48" i="43" s="1"/>
  <c r="I34" i="43"/>
  <c r="I59" i="43" s="1"/>
  <c r="O34" i="43"/>
  <c r="O48" i="43" s="1"/>
  <c r="D49" i="50"/>
  <c r="D40" i="50"/>
  <c r="D48" i="50"/>
  <c r="BC34" i="43"/>
  <c r="BC46" i="43"/>
  <c r="BC45" i="43"/>
  <c r="J46" i="43"/>
  <c r="J45" i="43"/>
  <c r="O46" i="43"/>
  <c r="Y34" i="43"/>
  <c r="Y59" i="43" s="1"/>
  <c r="Y45" i="43"/>
  <c r="G306" i="47"/>
  <c r="H306" i="47" s="1"/>
  <c r="I209" i="47"/>
  <c r="Q209" i="47" s="1"/>
  <c r="K209" i="47"/>
  <c r="K178" i="47"/>
  <c r="E304" i="47"/>
  <c r="E298" i="47"/>
  <c r="K206" i="47"/>
  <c r="I206" i="47"/>
  <c r="H11" i="47"/>
  <c r="D267" i="47"/>
  <c r="E296" i="47"/>
  <c r="K33" i="47"/>
  <c r="P33" i="47" s="1"/>
  <c r="G192" i="47"/>
  <c r="I192" i="47" s="1"/>
  <c r="Q192" i="47" s="1"/>
  <c r="D303" i="47"/>
  <c r="F274" i="47"/>
  <c r="H274" i="47" s="1"/>
  <c r="D301" i="47"/>
  <c r="E295" i="47"/>
  <c r="K231" i="47"/>
  <c r="I181" i="47"/>
  <c r="Q181" i="47" s="1"/>
  <c r="K233" i="47"/>
  <c r="G203" i="47"/>
  <c r="I233" i="47"/>
  <c r="Q233" i="47" s="1"/>
  <c r="L126" i="47"/>
  <c r="N126" i="47" s="1"/>
  <c r="O126" i="47" s="1"/>
  <c r="Q77" i="47"/>
  <c r="E302" i="47"/>
  <c r="I237" i="47"/>
  <c r="Q237" i="47" s="1"/>
  <c r="G243" i="47"/>
  <c r="K243" i="47" s="1"/>
  <c r="D298" i="47"/>
  <c r="T263" i="47"/>
  <c r="G270" i="47"/>
  <c r="H270" i="47" s="1"/>
  <c r="G269" i="47"/>
  <c r="H269" i="47" s="1"/>
  <c r="D293" i="47"/>
  <c r="D260" i="47"/>
  <c r="G260" i="47" s="1"/>
  <c r="H260" i="47" s="1"/>
  <c r="D297" i="47"/>
  <c r="D296" i="47"/>
  <c r="T261" i="47"/>
  <c r="T265" i="47"/>
  <c r="G72" i="47"/>
  <c r="G266" i="47"/>
  <c r="H266" i="47" s="1"/>
  <c r="G304" i="47"/>
  <c r="E293" i="47"/>
  <c r="H21" i="47"/>
  <c r="M21" i="47" s="1"/>
  <c r="G228" i="47"/>
  <c r="J304" i="47"/>
  <c r="L304" i="47" s="1"/>
  <c r="J265" i="47"/>
  <c r="J273" i="47" s="1"/>
  <c r="J275" i="47" s="1"/>
  <c r="X36" i="50"/>
  <c r="E308" i="47"/>
  <c r="E314" i="47" s="1"/>
  <c r="D304" i="47"/>
  <c r="E294" i="47"/>
  <c r="D295" i="47"/>
  <c r="E300" i="47"/>
  <c r="D264" i="47"/>
  <c r="G264" i="47" s="1"/>
  <c r="H264" i="47" s="1"/>
  <c r="V265" i="47"/>
  <c r="D308" i="47"/>
  <c r="D314" i="47" s="1"/>
  <c r="D302" i="47"/>
  <c r="E301" i="47"/>
  <c r="D294" i="47"/>
  <c r="E259" i="47"/>
  <c r="T264" i="47"/>
  <c r="D259" i="47"/>
  <c r="I131" i="47"/>
  <c r="Q131" i="47" s="1"/>
  <c r="R47" i="50"/>
  <c r="D161" i="47"/>
  <c r="U19" i="50"/>
  <c r="Z19" i="50" s="1"/>
  <c r="F61" i="50"/>
  <c r="D19" i="47"/>
  <c r="G19" i="47" s="1"/>
  <c r="O19" i="47" s="1"/>
  <c r="F50" i="50"/>
  <c r="F51" i="50"/>
  <c r="D115" i="47"/>
  <c r="F115" i="47" s="1"/>
  <c r="P115" i="47" s="1"/>
  <c r="F67" i="47"/>
  <c r="P67" i="47" s="1"/>
  <c r="M128" i="47"/>
  <c r="E161" i="47"/>
  <c r="T262" i="47"/>
  <c r="E78" i="47"/>
  <c r="H10" i="47"/>
  <c r="R24" i="50"/>
  <c r="D78" i="47"/>
  <c r="F132" i="47"/>
  <c r="P132" i="47" s="1"/>
  <c r="I294" i="47"/>
  <c r="I26" i="50"/>
  <c r="E15" i="47"/>
  <c r="H129" i="47"/>
  <c r="M41" i="43"/>
  <c r="M50" i="43" s="1"/>
  <c r="M49" i="43"/>
  <c r="J59" i="43"/>
  <c r="J48" i="43"/>
  <c r="J35" i="43"/>
  <c r="I293" i="47"/>
  <c r="I303" i="47"/>
  <c r="L303" i="47" s="1"/>
  <c r="H132" i="47"/>
  <c r="H67" i="47" s="1"/>
  <c r="H78" i="47" s="1"/>
  <c r="AZ76" i="43"/>
  <c r="M132" i="47"/>
  <c r="N132" i="47" s="1"/>
  <c r="O132" i="47" s="1"/>
  <c r="I301" i="47"/>
  <c r="L301" i="47" s="1"/>
  <c r="R34" i="43"/>
  <c r="R46" i="43"/>
  <c r="R45" i="43"/>
  <c r="Q71" i="47"/>
  <c r="BA19" i="43"/>
  <c r="G66" i="47"/>
  <c r="G263" i="47"/>
  <c r="H263" i="47" s="1"/>
  <c r="G132" i="47"/>
  <c r="L46" i="43"/>
  <c r="L34" i="43"/>
  <c r="L45" i="43"/>
  <c r="AW72" i="43"/>
  <c r="AX72" i="43" s="1"/>
  <c r="AV19" i="43"/>
  <c r="E111" i="47"/>
  <c r="AW18" i="43"/>
  <c r="AX18" i="43" s="1"/>
  <c r="AZ44" i="43"/>
  <c r="D22" i="47"/>
  <c r="G22" i="47" s="1"/>
  <c r="O21" i="47" s="1"/>
  <c r="D112" i="47"/>
  <c r="I44" i="43"/>
  <c r="C44" i="43" s="1"/>
  <c r="C15" i="43"/>
  <c r="D15" i="43" s="1"/>
  <c r="I45" i="43"/>
  <c r="I46" i="43"/>
  <c r="I43" i="43"/>
  <c r="C43" i="43" s="1"/>
  <c r="I58" i="43"/>
  <c r="K34" i="43"/>
  <c r="K45" i="43"/>
  <c r="K46" i="43"/>
  <c r="I13" i="47"/>
  <c r="AU58" i="43"/>
  <c r="D14" i="47"/>
  <c r="G14" i="47" s="1"/>
  <c r="O14" i="47" s="1"/>
  <c r="L127" i="47"/>
  <c r="N127" i="47" s="1"/>
  <c r="O127" i="47" s="1"/>
  <c r="D116" i="47"/>
  <c r="L260" i="47"/>
  <c r="AU43" i="43"/>
  <c r="AU19" i="43"/>
  <c r="E113" i="47"/>
  <c r="F113" i="47" s="1"/>
  <c r="P113" i="47" s="1"/>
  <c r="H113" i="47"/>
  <c r="M129" i="47"/>
  <c r="N129" i="47" s="1"/>
  <c r="O129" i="47" s="1"/>
  <c r="I302" i="47"/>
  <c r="AW23" i="43"/>
  <c r="AX23" i="43" s="1"/>
  <c r="D300" i="47"/>
  <c r="L131" i="47"/>
  <c r="N46" i="43"/>
  <c r="N34" i="43"/>
  <c r="N45" i="43"/>
  <c r="I300" i="47"/>
  <c r="M131" i="47"/>
  <c r="BA76" i="43"/>
  <c r="AW70" i="43"/>
  <c r="AX70" i="43" s="1"/>
  <c r="P34" i="43"/>
  <c r="D10" i="47"/>
  <c r="E116" i="47"/>
  <c r="H116" i="47"/>
  <c r="AV76" i="43"/>
  <c r="AU47" i="43"/>
  <c r="AW17" i="43"/>
  <c r="AX17" i="43" s="1"/>
  <c r="D114" i="47"/>
  <c r="F114" i="47" s="1"/>
  <c r="P114" i="47" s="1"/>
  <c r="D18" i="47"/>
  <c r="G139" i="47"/>
  <c r="I139" i="47" s="1"/>
  <c r="Q139" i="47" s="1"/>
  <c r="K86" i="47"/>
  <c r="G134" i="47"/>
  <c r="I134" i="47" s="1"/>
  <c r="Q134" i="47" s="1"/>
  <c r="G177" i="47"/>
  <c r="G111" i="47"/>
  <c r="J192" i="47"/>
  <c r="F192" i="47"/>
  <c r="P192" i="47" s="1"/>
  <c r="J218" i="47"/>
  <c r="F218" i="47"/>
  <c r="P218" i="47" s="1"/>
  <c r="F71" i="47"/>
  <c r="P71" i="47" s="1"/>
  <c r="C42" i="13" l="1"/>
  <c r="D42" i="13" s="1"/>
  <c r="C42" i="33"/>
  <c r="D42" i="33" s="1"/>
  <c r="N62" i="50"/>
  <c r="K204" i="47"/>
  <c r="W40" i="50"/>
  <c r="W51" i="50" s="1"/>
  <c r="C50" i="33"/>
  <c r="D217" i="47"/>
  <c r="L26" i="50"/>
  <c r="L49" i="50" s="1"/>
  <c r="J50" i="50"/>
  <c r="J51" i="50"/>
  <c r="J42" i="50"/>
  <c r="J44" i="50" s="1"/>
  <c r="J52" i="50" s="1"/>
  <c r="Z62" i="50"/>
  <c r="L294" i="47"/>
  <c r="AZ43" i="43"/>
  <c r="Q48" i="50"/>
  <c r="E65" i="50"/>
  <c r="E48" i="50"/>
  <c r="E49" i="50"/>
  <c r="Q60" i="50"/>
  <c r="Q65" i="50" s="1"/>
  <c r="I22" i="50"/>
  <c r="I48" i="50" s="1"/>
  <c r="C60" i="13"/>
  <c r="D60" i="13" s="1"/>
  <c r="I64" i="13"/>
  <c r="C64" i="13" s="1"/>
  <c r="I63" i="13"/>
  <c r="C63" i="13" s="1"/>
  <c r="AN57" i="15"/>
  <c r="AN59" i="15" s="1"/>
  <c r="O59" i="15"/>
  <c r="AN36" i="33"/>
  <c r="AN50" i="33" s="1"/>
  <c r="AN48" i="33"/>
  <c r="AN49" i="33"/>
  <c r="O49" i="15"/>
  <c r="O41" i="15"/>
  <c r="AR60" i="13"/>
  <c r="AR64" i="13" s="1"/>
  <c r="J64" i="13"/>
  <c r="AS44" i="15"/>
  <c r="AO44" i="15" s="1"/>
  <c r="AS45" i="15"/>
  <c r="AS43" i="15"/>
  <c r="AO43" i="15" s="1"/>
  <c r="AS47" i="15"/>
  <c r="AO47" i="15" s="1"/>
  <c r="AO17" i="15"/>
  <c r="AP17" i="15" s="1"/>
  <c r="AS46" i="15"/>
  <c r="AO46" i="15" s="1"/>
  <c r="AS48" i="15"/>
  <c r="AS49" i="33"/>
  <c r="AO49" i="33" s="1"/>
  <c r="AO35" i="33"/>
  <c r="AP35" i="33" s="1"/>
  <c r="AS48" i="33"/>
  <c r="AO48" i="33" s="1"/>
  <c r="AS36" i="33"/>
  <c r="L300" i="47"/>
  <c r="AS35" i="15"/>
  <c r="AO45" i="15"/>
  <c r="C59" i="13"/>
  <c r="D59" i="13" s="1"/>
  <c r="I62" i="13"/>
  <c r="C62" i="13" s="1"/>
  <c r="L67" i="39"/>
  <c r="L71" i="39"/>
  <c r="AU50" i="33"/>
  <c r="AU42" i="33"/>
  <c r="J48" i="50"/>
  <c r="J47" i="50"/>
  <c r="AC22" i="50"/>
  <c r="C59" i="15"/>
  <c r="D59" i="15" s="1"/>
  <c r="AT41" i="15"/>
  <c r="AT49" i="15"/>
  <c r="K299" i="47"/>
  <c r="K307" i="47" s="1"/>
  <c r="K309" i="47" s="1"/>
  <c r="AT42" i="33"/>
  <c r="AT50" i="33"/>
  <c r="F267" i="47"/>
  <c r="H267" i="47" s="1"/>
  <c r="Q46" i="50"/>
  <c r="Q49" i="50"/>
  <c r="G63" i="50"/>
  <c r="G68" i="50" s="1"/>
  <c r="Q40" i="50"/>
  <c r="S59" i="43"/>
  <c r="S60" i="43" s="1"/>
  <c r="S61" i="43" s="1"/>
  <c r="S48" i="43"/>
  <c r="E217" i="47"/>
  <c r="F235" i="47"/>
  <c r="M64" i="43"/>
  <c r="C46" i="43"/>
  <c r="G230" i="47"/>
  <c r="H230" i="47"/>
  <c r="J208" i="47"/>
  <c r="F208" i="47"/>
  <c r="P208" i="47" s="1"/>
  <c r="N128" i="47"/>
  <c r="O128" i="47" s="1"/>
  <c r="C45" i="43"/>
  <c r="AZ46" i="43"/>
  <c r="BD48" i="43"/>
  <c r="G160" i="47"/>
  <c r="AR32" i="39"/>
  <c r="AO31" i="39"/>
  <c r="AP31" i="39" s="1"/>
  <c r="V26" i="50"/>
  <c r="AO19" i="33"/>
  <c r="AP19" i="33" s="1"/>
  <c r="AR45" i="33"/>
  <c r="AO45" i="33" s="1"/>
  <c r="AR50" i="13"/>
  <c r="H179" i="47"/>
  <c r="AR20" i="33"/>
  <c r="AO20" i="33" s="1"/>
  <c r="AP20" i="33" s="1"/>
  <c r="AO18" i="33"/>
  <c r="AP18" i="33" s="1"/>
  <c r="AR44" i="33"/>
  <c r="AO44" i="33" s="1"/>
  <c r="H160" i="47"/>
  <c r="I265" i="47"/>
  <c r="I273" i="47" s="1"/>
  <c r="I275" i="47" s="1"/>
  <c r="AM62" i="13"/>
  <c r="AM60" i="13"/>
  <c r="AM64" i="13" s="1"/>
  <c r="AO59" i="13"/>
  <c r="AP59" i="13" s="1"/>
  <c r="AR63" i="13"/>
  <c r="AR62" i="13"/>
  <c r="H60" i="50"/>
  <c r="T60" i="50"/>
  <c r="T65" i="50" s="1"/>
  <c r="H51" i="50"/>
  <c r="H42" i="50"/>
  <c r="H44" i="50" s="1"/>
  <c r="H52" i="50" s="1"/>
  <c r="U17" i="50"/>
  <c r="Z17" i="50" s="1"/>
  <c r="P22" i="50"/>
  <c r="P46" i="50" s="1"/>
  <c r="H201" i="47"/>
  <c r="AS71" i="39"/>
  <c r="AS67" i="39"/>
  <c r="AZ58" i="43"/>
  <c r="K41" i="15"/>
  <c r="K49" i="15"/>
  <c r="AS62" i="13"/>
  <c r="AT42" i="13"/>
  <c r="AT50" i="13"/>
  <c r="G65" i="50"/>
  <c r="G49" i="50"/>
  <c r="G40" i="50"/>
  <c r="G66" i="50"/>
  <c r="G48" i="50"/>
  <c r="J49" i="50"/>
  <c r="H205" i="47"/>
  <c r="AN63" i="13"/>
  <c r="Y48" i="50"/>
  <c r="C41" i="15"/>
  <c r="D41" i="15" s="1"/>
  <c r="BA14" i="43"/>
  <c r="P15" i="43"/>
  <c r="P35" i="43" s="1"/>
  <c r="AV14" i="43"/>
  <c r="AV15" i="43" s="1"/>
  <c r="AV46" i="43" s="1"/>
  <c r="Z25" i="50"/>
  <c r="AS41" i="15"/>
  <c r="AS49" i="15"/>
  <c r="N18" i="50"/>
  <c r="N22" i="50" s="1"/>
  <c r="N47" i="50" s="1"/>
  <c r="J295" i="47"/>
  <c r="L295" i="47" s="1"/>
  <c r="L302" i="47"/>
  <c r="AW76" i="43"/>
  <c r="AX76" i="43" s="1"/>
  <c r="AN60" i="13"/>
  <c r="AN64" i="13" s="1"/>
  <c r="Y65" i="50"/>
  <c r="C49" i="15"/>
  <c r="AN71" i="39"/>
  <c r="AN67" i="39"/>
  <c r="K82" i="47"/>
  <c r="I82" i="47"/>
  <c r="AM58" i="15"/>
  <c r="AM59" i="15" s="1"/>
  <c r="AR58" i="15"/>
  <c r="K59" i="15"/>
  <c r="Z33" i="50"/>
  <c r="K66" i="39"/>
  <c r="AM65" i="39"/>
  <c r="K69" i="39"/>
  <c r="K70" i="39"/>
  <c r="AR65" i="39"/>
  <c r="X18" i="50"/>
  <c r="V22" i="50"/>
  <c r="V46" i="50" s="1"/>
  <c r="M40" i="50"/>
  <c r="M49" i="50"/>
  <c r="AR48" i="15"/>
  <c r="AO34" i="15"/>
  <c r="AP34" i="15" s="1"/>
  <c r="AR35" i="15"/>
  <c r="T8" i="47"/>
  <c r="V8" i="47" s="1"/>
  <c r="W8" i="47" s="1"/>
  <c r="E175" i="47"/>
  <c r="F175" i="47" s="1"/>
  <c r="P175" i="47" s="1"/>
  <c r="AS45" i="13"/>
  <c r="AO45" i="13" s="1"/>
  <c r="AS48" i="13"/>
  <c r="AO48" i="13" s="1"/>
  <c r="AS36" i="13"/>
  <c r="AO36" i="13" s="1"/>
  <c r="AP36" i="13" s="1"/>
  <c r="AS46" i="13"/>
  <c r="AO46" i="13" s="1"/>
  <c r="AS47" i="13"/>
  <c r="AO47" i="13" s="1"/>
  <c r="AO16" i="13"/>
  <c r="AP16" i="13" s="1"/>
  <c r="AS44" i="13"/>
  <c r="AO44" i="13" s="1"/>
  <c r="K203" i="47"/>
  <c r="M65" i="50"/>
  <c r="Y40" i="50"/>
  <c r="Y51" i="50" s="1"/>
  <c r="M48" i="50"/>
  <c r="T51" i="50"/>
  <c r="T42" i="50"/>
  <c r="T44" i="50" s="1"/>
  <c r="T52" i="50" s="1"/>
  <c r="AT60" i="13"/>
  <c r="AT64" i="13" s="1"/>
  <c r="R64" i="13"/>
  <c r="AS63" i="13"/>
  <c r="AO58" i="13"/>
  <c r="AP58" i="13" s="1"/>
  <c r="AS60" i="13"/>
  <c r="H38" i="47"/>
  <c r="P38" i="47" s="1"/>
  <c r="E61" i="50"/>
  <c r="E67" i="50" s="1"/>
  <c r="M63" i="43"/>
  <c r="AZ45" i="43"/>
  <c r="Y35" i="43"/>
  <c r="Y49" i="43" s="1"/>
  <c r="Q35" i="43"/>
  <c r="Q49" i="43" s="1"/>
  <c r="Y48" i="43"/>
  <c r="C34" i="43"/>
  <c r="D34" i="43" s="1"/>
  <c r="Q59" i="43"/>
  <c r="Q64" i="43" s="1"/>
  <c r="M61" i="43"/>
  <c r="O59" i="43"/>
  <c r="O60" i="43" s="1"/>
  <c r="BB35" i="43"/>
  <c r="BB49" i="43" s="1"/>
  <c r="H238" i="47"/>
  <c r="H236" i="47"/>
  <c r="E237" i="47"/>
  <c r="J236" i="47"/>
  <c r="E232" i="47"/>
  <c r="F236" i="47"/>
  <c r="P236" i="47" s="1"/>
  <c r="E191" i="47"/>
  <c r="J191" i="47" s="1"/>
  <c r="J180" i="47"/>
  <c r="F180" i="47"/>
  <c r="P180" i="47" s="1"/>
  <c r="E179" i="47"/>
  <c r="D193" i="47"/>
  <c r="S67" i="50"/>
  <c r="S66" i="50"/>
  <c r="S42" i="50"/>
  <c r="S44" i="50" s="1"/>
  <c r="S52" i="50" s="1"/>
  <c r="S50" i="50"/>
  <c r="S51" i="50"/>
  <c r="D133" i="47"/>
  <c r="D130" i="47" s="1"/>
  <c r="I48" i="43"/>
  <c r="C48" i="43" s="1"/>
  <c r="O35" i="43"/>
  <c r="O49" i="43" s="1"/>
  <c r="I35" i="43"/>
  <c r="I49" i="43" s="1"/>
  <c r="C49" i="43" s="1"/>
  <c r="D42" i="50"/>
  <c r="D44" i="50" s="1"/>
  <c r="D52" i="50" s="1"/>
  <c r="D51" i="50"/>
  <c r="D50" i="50"/>
  <c r="P40" i="50"/>
  <c r="P65" i="50"/>
  <c r="P48" i="50"/>
  <c r="BC35" i="43"/>
  <c r="BC48" i="43"/>
  <c r="I243" i="47"/>
  <c r="Q243" i="47" s="1"/>
  <c r="G303" i="47"/>
  <c r="F303" i="47" s="1"/>
  <c r="H303" i="47" s="1"/>
  <c r="K192" i="47"/>
  <c r="G298" i="47"/>
  <c r="H298" i="47" s="1"/>
  <c r="G301" i="47"/>
  <c r="F301" i="47" s="1"/>
  <c r="H301" i="47" s="1"/>
  <c r="I203" i="47"/>
  <c r="Q203" i="47" s="1"/>
  <c r="G302" i="47"/>
  <c r="F302" i="47" s="1"/>
  <c r="H302" i="47" s="1"/>
  <c r="V264" i="47"/>
  <c r="F304" i="47"/>
  <c r="H304" i="47" s="1"/>
  <c r="V261" i="47"/>
  <c r="G208" i="47"/>
  <c r="G205" i="47" s="1"/>
  <c r="L308" i="47"/>
  <c r="K21" i="47"/>
  <c r="P21" i="47" s="1"/>
  <c r="V263" i="47"/>
  <c r="G300" i="47"/>
  <c r="F300" i="47" s="1"/>
  <c r="H300" i="47" s="1"/>
  <c r="G295" i="47"/>
  <c r="G296" i="47"/>
  <c r="G297" i="47"/>
  <c r="G293" i="47"/>
  <c r="H293" i="47" s="1"/>
  <c r="F308" i="47"/>
  <c r="F314" i="47" s="1"/>
  <c r="I228" i="47"/>
  <c r="Q228" i="47" s="1"/>
  <c r="K228" i="47"/>
  <c r="Z36" i="50"/>
  <c r="I129" i="47"/>
  <c r="Q129" i="47" s="1"/>
  <c r="T266" i="47"/>
  <c r="G259" i="47"/>
  <c r="H259" i="47" s="1"/>
  <c r="H15" i="47"/>
  <c r="F78" i="47"/>
  <c r="P78" i="47" s="1"/>
  <c r="AB22" i="50"/>
  <c r="F161" i="47"/>
  <c r="P161" i="47" s="1"/>
  <c r="D138" i="47"/>
  <c r="R46" i="50"/>
  <c r="R26" i="50"/>
  <c r="Z24" i="50"/>
  <c r="H19" i="47"/>
  <c r="H161" i="47"/>
  <c r="D126" i="47"/>
  <c r="D152" i="47" s="1"/>
  <c r="D165" i="47"/>
  <c r="E128" i="47"/>
  <c r="F128" i="47" s="1"/>
  <c r="P128" i="47" s="1"/>
  <c r="R60" i="50"/>
  <c r="F60" i="50"/>
  <c r="F67" i="50" s="1"/>
  <c r="G115" i="47"/>
  <c r="F66" i="50"/>
  <c r="E126" i="47"/>
  <c r="E63" i="50"/>
  <c r="G15" i="47"/>
  <c r="O15" i="47" s="1"/>
  <c r="E16" i="47"/>
  <c r="I10" i="47"/>
  <c r="K10" i="47" s="1"/>
  <c r="P10" i="47" s="1"/>
  <c r="BD49" i="43"/>
  <c r="BD41" i="43"/>
  <c r="BD50" i="43" s="1"/>
  <c r="I66" i="47"/>
  <c r="Q66" i="47" s="1"/>
  <c r="K66" i="47"/>
  <c r="H111" i="47"/>
  <c r="K48" i="43"/>
  <c r="K59" i="43"/>
  <c r="K35" i="43"/>
  <c r="D16" i="47"/>
  <c r="G10" i="47"/>
  <c r="O10" i="47" s="1"/>
  <c r="L48" i="43"/>
  <c r="L59" i="43"/>
  <c r="L35" i="43"/>
  <c r="H115" i="47"/>
  <c r="D58" i="47"/>
  <c r="G113" i="47"/>
  <c r="I113" i="47" s="1"/>
  <c r="Q113" i="47" s="1"/>
  <c r="D118" i="47"/>
  <c r="F112" i="47"/>
  <c r="P112" i="47" s="1"/>
  <c r="I63" i="43"/>
  <c r="I64" i="43"/>
  <c r="C59" i="43"/>
  <c r="D59" i="43" s="1"/>
  <c r="E51" i="50"/>
  <c r="E50" i="50"/>
  <c r="E42" i="50"/>
  <c r="E44" i="50" s="1"/>
  <c r="E52" i="50" s="1"/>
  <c r="S49" i="43"/>
  <c r="S41" i="43"/>
  <c r="S50" i="43" s="1"/>
  <c r="I132" i="47"/>
  <c r="Q132" i="47" s="1"/>
  <c r="G67" i="47"/>
  <c r="G78" i="47" s="1"/>
  <c r="I78" i="47" s="1"/>
  <c r="Q78" i="47" s="1"/>
  <c r="I15" i="47"/>
  <c r="N131" i="47"/>
  <c r="O131" i="47" s="1"/>
  <c r="H13" i="47"/>
  <c r="G114" i="47"/>
  <c r="I114" i="47" s="1"/>
  <c r="Q114" i="47" s="1"/>
  <c r="N35" i="43"/>
  <c r="N59" i="43"/>
  <c r="N48" i="43"/>
  <c r="AU45" i="43"/>
  <c r="AU46" i="43"/>
  <c r="AU34" i="43"/>
  <c r="G116" i="47"/>
  <c r="I116" i="47" s="1"/>
  <c r="Q116" i="47" s="1"/>
  <c r="H14" i="47"/>
  <c r="F116" i="47"/>
  <c r="P116" i="47" s="1"/>
  <c r="Y60" i="43"/>
  <c r="Y64" i="43"/>
  <c r="Y63" i="43"/>
  <c r="H22" i="47"/>
  <c r="AZ48" i="43"/>
  <c r="AZ35" i="43"/>
  <c r="R59" i="43"/>
  <c r="R35" i="43"/>
  <c r="R48" i="43"/>
  <c r="J60" i="43"/>
  <c r="J64" i="43"/>
  <c r="J63" i="43"/>
  <c r="G112" i="47"/>
  <c r="I112" i="47" s="1"/>
  <c r="Q112" i="47" s="1"/>
  <c r="I60" i="43"/>
  <c r="C58" i="43"/>
  <c r="D58" i="43" s="1"/>
  <c r="H128" i="47"/>
  <c r="I19" i="47"/>
  <c r="E118" i="47"/>
  <c r="F111" i="47"/>
  <c r="P111" i="47" s="1"/>
  <c r="G117" i="47"/>
  <c r="I117" i="47" s="1"/>
  <c r="Q117" i="47" s="1"/>
  <c r="J49" i="43"/>
  <c r="J41" i="43"/>
  <c r="J50" i="43" s="1"/>
  <c r="N26" i="50"/>
  <c r="I40" i="50"/>
  <c r="P59" i="43"/>
  <c r="E58" i="47"/>
  <c r="E62" i="47" s="1"/>
  <c r="E79" i="47" s="1"/>
  <c r="I11" i="47"/>
  <c r="AV34" i="43"/>
  <c r="BA34" i="43"/>
  <c r="AW19" i="43"/>
  <c r="AX19" i="43" s="1"/>
  <c r="L293" i="47"/>
  <c r="D59" i="47"/>
  <c r="D26" i="47"/>
  <c r="H12" i="47"/>
  <c r="G175" i="47"/>
  <c r="D299" i="47"/>
  <c r="D307" i="47" s="1"/>
  <c r="D309" i="47" s="1"/>
  <c r="K177" i="47"/>
  <c r="I177" i="47"/>
  <c r="Q177" i="47" s="1"/>
  <c r="V262" i="47"/>
  <c r="G180" i="47"/>
  <c r="E265" i="47"/>
  <c r="E273" i="47" s="1"/>
  <c r="E275" i="47" s="1"/>
  <c r="F205" i="47"/>
  <c r="P205" i="47" s="1"/>
  <c r="J205" i="47"/>
  <c r="AO63" i="13" l="1"/>
  <c r="W50" i="50"/>
  <c r="W42" i="50"/>
  <c r="W44" i="50" s="1"/>
  <c r="W52" i="50" s="1"/>
  <c r="F217" i="47"/>
  <c r="P217" i="47" s="1"/>
  <c r="D219" i="47"/>
  <c r="E210" i="47"/>
  <c r="J210" i="47" s="1"/>
  <c r="L48" i="50"/>
  <c r="L40" i="50"/>
  <c r="L51" i="50" s="1"/>
  <c r="I49" i="50"/>
  <c r="U60" i="50"/>
  <c r="P49" i="50"/>
  <c r="P48" i="43"/>
  <c r="AV45" i="43"/>
  <c r="AO48" i="15"/>
  <c r="F265" i="47"/>
  <c r="F273" i="47" s="1"/>
  <c r="AS42" i="33"/>
  <c r="AS50" i="33"/>
  <c r="AO50" i="33" s="1"/>
  <c r="AO36" i="33"/>
  <c r="AP36" i="33" s="1"/>
  <c r="J60" i="50"/>
  <c r="V47" i="50"/>
  <c r="S65" i="43"/>
  <c r="J217" i="47"/>
  <c r="G242" i="47"/>
  <c r="E219" i="47"/>
  <c r="Y41" i="43"/>
  <c r="Y50" i="43" s="1"/>
  <c r="E66" i="50"/>
  <c r="G133" i="47"/>
  <c r="Q50" i="50"/>
  <c r="Q51" i="50"/>
  <c r="Q42" i="50"/>
  <c r="Q44" i="50" s="1"/>
  <c r="Q52" i="50" s="1"/>
  <c r="G128" i="47"/>
  <c r="I128" i="47" s="1"/>
  <c r="Q128" i="47" s="1"/>
  <c r="C64" i="43"/>
  <c r="BB41" i="43"/>
  <c r="BB50" i="43" s="1"/>
  <c r="S63" i="43"/>
  <c r="S64" i="43"/>
  <c r="G217" i="47"/>
  <c r="I205" i="47"/>
  <c r="Q205" i="47" s="1"/>
  <c r="I230" i="47"/>
  <c r="Q230" i="47" s="1"/>
  <c r="J299" i="47"/>
  <c r="J307" i="47" s="1"/>
  <c r="J309" i="47" s="1"/>
  <c r="H217" i="47"/>
  <c r="W61" i="50"/>
  <c r="H36" i="47"/>
  <c r="P36" i="47" s="1"/>
  <c r="H26" i="47"/>
  <c r="G59" i="47" s="1"/>
  <c r="K230" i="47"/>
  <c r="G236" i="47"/>
  <c r="G232" i="47" s="1"/>
  <c r="Y42" i="50"/>
  <c r="Y44" i="50" s="1"/>
  <c r="Y52" i="50" s="1"/>
  <c r="H232" i="47"/>
  <c r="Q60" i="43"/>
  <c r="Q65" i="43" s="1"/>
  <c r="Q63" i="43"/>
  <c r="I160" i="47"/>
  <c r="Q160" i="47" s="1"/>
  <c r="P41" i="43"/>
  <c r="P50" i="43" s="1"/>
  <c r="P49" i="43"/>
  <c r="Q61" i="50"/>
  <c r="Q67" i="50" s="1"/>
  <c r="G50" i="50"/>
  <c r="G42" i="50"/>
  <c r="G44" i="50" s="1"/>
  <c r="G52" i="50" s="1"/>
  <c r="G51" i="50"/>
  <c r="M42" i="50"/>
  <c r="M44" i="50" s="1"/>
  <c r="M50" i="50"/>
  <c r="M51" i="50"/>
  <c r="T61" i="50"/>
  <c r="H63" i="50"/>
  <c r="H68" i="50" s="1"/>
  <c r="AO32" i="39"/>
  <c r="AP32" i="39" s="1"/>
  <c r="AR39" i="39"/>
  <c r="AO39" i="39" s="1"/>
  <c r="AP39" i="39" s="1"/>
  <c r="O41" i="43"/>
  <c r="O50" i="43" s="1"/>
  <c r="L265" i="47"/>
  <c r="L273" i="47" s="1"/>
  <c r="L275" i="47" s="1"/>
  <c r="AR70" i="39"/>
  <c r="AO70" i="39" s="1"/>
  <c r="AO65" i="39"/>
  <c r="AP65" i="39" s="1"/>
  <c r="H65" i="50"/>
  <c r="H67" i="50"/>
  <c r="BA15" i="43"/>
  <c r="BA48" i="43" s="1"/>
  <c r="AW48" i="43" s="1"/>
  <c r="AW14" i="43"/>
  <c r="AX14" i="43" s="1"/>
  <c r="AS50" i="13"/>
  <c r="AO50" i="13" s="1"/>
  <c r="AS42" i="13"/>
  <c r="AR49" i="15"/>
  <c r="AO49" i="15" s="1"/>
  <c r="AR41" i="15"/>
  <c r="AO35" i="15"/>
  <c r="AP35" i="15" s="1"/>
  <c r="J175" i="47"/>
  <c r="C63" i="43"/>
  <c r="Y50" i="50"/>
  <c r="P47" i="50"/>
  <c r="J61" i="50"/>
  <c r="N46" i="50"/>
  <c r="AM70" i="39"/>
  <c r="AM69" i="39"/>
  <c r="AM66" i="39"/>
  <c r="AR59" i="15"/>
  <c r="AO59" i="15" s="1"/>
  <c r="AP59" i="15" s="1"/>
  <c r="AO58" i="15"/>
  <c r="AP58" i="15" s="1"/>
  <c r="AV44" i="43"/>
  <c r="AV47" i="43"/>
  <c r="AV43" i="43"/>
  <c r="AO62" i="13"/>
  <c r="U22" i="50"/>
  <c r="Z18" i="50"/>
  <c r="Z22" i="50" s="1"/>
  <c r="X22" i="50"/>
  <c r="K71" i="39"/>
  <c r="K67" i="39"/>
  <c r="AR67" i="39" s="1"/>
  <c r="AO67" i="39" s="1"/>
  <c r="AP67" i="39" s="1"/>
  <c r="AR66" i="39"/>
  <c r="P47" i="43"/>
  <c r="P58" i="43"/>
  <c r="P63" i="43" s="1"/>
  <c r="P44" i="43"/>
  <c r="P43" i="43"/>
  <c r="P46" i="43"/>
  <c r="P45" i="43"/>
  <c r="D61" i="50"/>
  <c r="H175" i="47"/>
  <c r="I175" i="47" s="1"/>
  <c r="Q175" i="47" s="1"/>
  <c r="X26" i="50"/>
  <c r="V48" i="50"/>
  <c r="V49" i="50"/>
  <c r="V40" i="50"/>
  <c r="M61" i="50"/>
  <c r="AS64" i="13"/>
  <c r="AO64" i="13" s="1"/>
  <c r="AO60" i="13"/>
  <c r="AP60" i="13" s="1"/>
  <c r="Q41" i="43"/>
  <c r="Q50" i="43" s="1"/>
  <c r="O64" i="43"/>
  <c r="O63" i="43"/>
  <c r="AZ59" i="43"/>
  <c r="AZ63" i="43" s="1"/>
  <c r="C35" i="43"/>
  <c r="D35" i="43" s="1"/>
  <c r="D182" i="47"/>
  <c r="F191" i="47"/>
  <c r="P191" i="47" s="1"/>
  <c r="S63" i="50"/>
  <c r="S68" i="50" s="1"/>
  <c r="E243" i="47"/>
  <c r="J237" i="47"/>
  <c r="F237" i="47"/>
  <c r="P237" i="47" s="1"/>
  <c r="J232" i="47"/>
  <c r="F232" i="47"/>
  <c r="P232" i="47" s="1"/>
  <c r="V61" i="50"/>
  <c r="H191" i="47"/>
  <c r="E193" i="47"/>
  <c r="F193" i="47" s="1"/>
  <c r="P193" i="47" s="1"/>
  <c r="E182" i="47"/>
  <c r="F179" i="47"/>
  <c r="P179" i="47" s="1"/>
  <c r="J179" i="47"/>
  <c r="BC49" i="43"/>
  <c r="BC41" i="43"/>
  <c r="BC50" i="43" s="1"/>
  <c r="P61" i="50"/>
  <c r="I41" i="43"/>
  <c r="I50" i="43" s="1"/>
  <c r="C50" i="43" s="1"/>
  <c r="P42" i="50"/>
  <c r="P44" i="50" s="1"/>
  <c r="P52" i="50" s="1"/>
  <c r="P50" i="50"/>
  <c r="P51" i="50"/>
  <c r="K208" i="47"/>
  <c r="E299" i="47"/>
  <c r="E307" i="47" s="1"/>
  <c r="E309" i="47" s="1"/>
  <c r="D265" i="47"/>
  <c r="D273" i="47" s="1"/>
  <c r="D275" i="47" s="1"/>
  <c r="K205" i="47"/>
  <c r="I208" i="47"/>
  <c r="Q208" i="47" s="1"/>
  <c r="V266" i="47"/>
  <c r="H308" i="47"/>
  <c r="D313" i="47"/>
  <c r="D315" i="47" s="1"/>
  <c r="G294" i="47"/>
  <c r="I115" i="47"/>
  <c r="Q115" i="47" s="1"/>
  <c r="M10" i="47"/>
  <c r="D135" i="47"/>
  <c r="D150" i="47"/>
  <c r="D140" i="47"/>
  <c r="D149" i="47"/>
  <c r="F126" i="47"/>
  <c r="P126" i="47" s="1"/>
  <c r="D148" i="47"/>
  <c r="D151" i="47"/>
  <c r="H118" i="47"/>
  <c r="E149" i="47"/>
  <c r="E151" i="47"/>
  <c r="E152" i="47"/>
  <c r="F152" i="47" s="1"/>
  <c r="P152" i="47" s="1"/>
  <c r="E150" i="47"/>
  <c r="E148" i="47"/>
  <c r="E133" i="47"/>
  <c r="E18" i="47"/>
  <c r="G18" i="47" s="1"/>
  <c r="O18" i="47" s="1"/>
  <c r="R48" i="50"/>
  <c r="R49" i="50"/>
  <c r="R40" i="50"/>
  <c r="R65" i="50"/>
  <c r="U26" i="50"/>
  <c r="E165" i="47"/>
  <c r="F165" i="47" s="1"/>
  <c r="G161" i="47"/>
  <c r="F63" i="50"/>
  <c r="F68" i="50" s="1"/>
  <c r="H16" i="47"/>
  <c r="G58" i="47" s="1"/>
  <c r="F118" i="47"/>
  <c r="P118" i="47" s="1"/>
  <c r="I60" i="50"/>
  <c r="F65" i="50"/>
  <c r="E68" i="50"/>
  <c r="I299" i="47"/>
  <c r="H133" i="47"/>
  <c r="H130" i="47" s="1"/>
  <c r="D62" i="47"/>
  <c r="F58" i="47"/>
  <c r="P58" i="47" s="1"/>
  <c r="E99" i="47"/>
  <c r="E102" i="47"/>
  <c r="E97" i="47"/>
  <c r="E100" i="47"/>
  <c r="E101" i="47"/>
  <c r="N40" i="50"/>
  <c r="N49" i="50"/>
  <c r="N48" i="50"/>
  <c r="C60" i="43"/>
  <c r="D60" i="43" s="1"/>
  <c r="I61" i="43"/>
  <c r="C61" i="43" s="1"/>
  <c r="D61" i="43" s="1"/>
  <c r="I65" i="43"/>
  <c r="C65" i="43" s="1"/>
  <c r="AU35" i="43"/>
  <c r="AU48" i="43"/>
  <c r="I67" i="47"/>
  <c r="Q67" i="47" s="1"/>
  <c r="K67" i="47"/>
  <c r="AV59" i="43"/>
  <c r="E43" i="47"/>
  <c r="Y65" i="43"/>
  <c r="Y61" i="43"/>
  <c r="N64" i="43"/>
  <c r="N63" i="43"/>
  <c r="BA59" i="43"/>
  <c r="N60" i="43"/>
  <c r="K13" i="47"/>
  <c r="P13" i="47" s="1"/>
  <c r="M13" i="47"/>
  <c r="J65" i="43"/>
  <c r="J61" i="43"/>
  <c r="O61" i="43"/>
  <c r="O65" i="43"/>
  <c r="K41" i="43"/>
  <c r="K50" i="43" s="1"/>
  <c r="K49" i="43"/>
  <c r="K14" i="47"/>
  <c r="P14" i="47" s="1"/>
  <c r="M14" i="47"/>
  <c r="AZ41" i="43"/>
  <c r="AZ49" i="43"/>
  <c r="M15" i="47"/>
  <c r="K15" i="47"/>
  <c r="P15" i="47" s="1"/>
  <c r="I51" i="50"/>
  <c r="I50" i="50"/>
  <c r="I42" i="50"/>
  <c r="I44" i="50" s="1"/>
  <c r="I52" i="50" s="1"/>
  <c r="L63" i="43"/>
  <c r="L60" i="43"/>
  <c r="L64" i="43"/>
  <c r="I111" i="47"/>
  <c r="Q111" i="47" s="1"/>
  <c r="K11" i="47"/>
  <c r="P11" i="47" s="1"/>
  <c r="M11" i="47"/>
  <c r="R41" i="43"/>
  <c r="R50" i="43" s="1"/>
  <c r="R49" i="43"/>
  <c r="N49" i="43"/>
  <c r="N41" i="43"/>
  <c r="N50" i="43" s="1"/>
  <c r="G118" i="47"/>
  <c r="R64" i="43"/>
  <c r="R60" i="43"/>
  <c r="R63" i="43"/>
  <c r="D102" i="47"/>
  <c r="G16" i="47"/>
  <c r="O16" i="47" s="1"/>
  <c r="D97" i="47"/>
  <c r="D99" i="47"/>
  <c r="D101" i="47"/>
  <c r="D96" i="47"/>
  <c r="D100" i="47"/>
  <c r="K64" i="43"/>
  <c r="K63" i="43"/>
  <c r="AU59" i="43"/>
  <c r="K60" i="43"/>
  <c r="I43" i="47"/>
  <c r="K78" i="47"/>
  <c r="AV48" i="43"/>
  <c r="AV35" i="43"/>
  <c r="K19" i="47"/>
  <c r="P19" i="47" s="1"/>
  <c r="M19" i="47"/>
  <c r="AW34" i="43"/>
  <c r="AX34" i="43" s="1"/>
  <c r="D43" i="47"/>
  <c r="L41" i="43"/>
  <c r="L50" i="43" s="1"/>
  <c r="L49" i="43"/>
  <c r="I16" i="47"/>
  <c r="H97" i="47" s="1"/>
  <c r="D27" i="47"/>
  <c r="D20" i="47"/>
  <c r="D103" i="47"/>
  <c r="D44" i="47"/>
  <c r="D80" i="47"/>
  <c r="G244" i="47"/>
  <c r="G265" i="47"/>
  <c r="G162" i="47"/>
  <c r="M12" i="47"/>
  <c r="K12" i="47"/>
  <c r="P12" i="47" s="1"/>
  <c r="G191" i="47"/>
  <c r="I180" i="47"/>
  <c r="Q180" i="47" s="1"/>
  <c r="G179" i="47"/>
  <c r="K180" i="47"/>
  <c r="G201" i="47"/>
  <c r="J219" i="47" l="1"/>
  <c r="F210" i="47"/>
  <c r="P210" i="47" s="1"/>
  <c r="L42" i="50"/>
  <c r="L44" i="50" s="1"/>
  <c r="L52" i="50" s="1"/>
  <c r="L50" i="50"/>
  <c r="BA35" i="43"/>
  <c r="AW35" i="43" s="1"/>
  <c r="AX35" i="43" s="1"/>
  <c r="P60" i="43"/>
  <c r="BA60" i="43" s="1"/>
  <c r="P64" i="43"/>
  <c r="L60" i="50"/>
  <c r="L65" i="50" s="1"/>
  <c r="J65" i="50"/>
  <c r="G238" i="47"/>
  <c r="I238" i="47" s="1"/>
  <c r="Q238" i="47" s="1"/>
  <c r="F219" i="47"/>
  <c r="P219" i="47" s="1"/>
  <c r="I217" i="47"/>
  <c r="Q217" i="47" s="1"/>
  <c r="X61" i="50"/>
  <c r="X66" i="50" s="1"/>
  <c r="G130" i="47"/>
  <c r="I130" i="47" s="1"/>
  <c r="Q130" i="47" s="1"/>
  <c r="Q66" i="50"/>
  <c r="Q61" i="43"/>
  <c r="K217" i="47"/>
  <c r="W66" i="50"/>
  <c r="AZ60" i="43"/>
  <c r="AZ61" i="43" s="1"/>
  <c r="P63" i="50"/>
  <c r="P68" i="50" s="1"/>
  <c r="H18" i="47"/>
  <c r="H20" i="47" s="1"/>
  <c r="G98" i="47" s="1"/>
  <c r="H27" i="47"/>
  <c r="I232" i="47"/>
  <c r="Q232" i="47" s="1"/>
  <c r="K236" i="47"/>
  <c r="I236" i="47"/>
  <c r="Q236" i="47" s="1"/>
  <c r="K232" i="47"/>
  <c r="K175" i="47"/>
  <c r="Z47" i="50"/>
  <c r="Z46" i="50"/>
  <c r="X49" i="50"/>
  <c r="X48" i="50"/>
  <c r="X40" i="50"/>
  <c r="D63" i="50"/>
  <c r="BA58" i="43"/>
  <c r="AW58" i="43" s="1"/>
  <c r="AX58" i="43" s="1"/>
  <c r="AV58" i="43"/>
  <c r="AV63" i="43" s="1"/>
  <c r="H210" i="47"/>
  <c r="J63" i="50"/>
  <c r="T67" i="50"/>
  <c r="T66" i="50"/>
  <c r="I61" i="50"/>
  <c r="D67" i="50"/>
  <c r="D66" i="50"/>
  <c r="V60" i="50"/>
  <c r="V67" i="50" s="1"/>
  <c r="AM71" i="39"/>
  <c r="AM67" i="39"/>
  <c r="BA44" i="43"/>
  <c r="AW44" i="43" s="1"/>
  <c r="BA43" i="43"/>
  <c r="AW43" i="43" s="1"/>
  <c r="BA47" i="43"/>
  <c r="AW47" i="43" s="1"/>
  <c r="AW15" i="43"/>
  <c r="AX15" i="43" s="1"/>
  <c r="BA45" i="43"/>
  <c r="AW45" i="43" s="1"/>
  <c r="BA46" i="43"/>
  <c r="AW46" i="43" s="1"/>
  <c r="T63" i="50"/>
  <c r="T68" i="50" s="1"/>
  <c r="W60" i="50"/>
  <c r="M52" i="50"/>
  <c r="AD44" i="50"/>
  <c r="V51" i="50"/>
  <c r="V42" i="50"/>
  <c r="V44" i="50" s="1"/>
  <c r="V52" i="50" s="1"/>
  <c r="V50" i="50"/>
  <c r="AR71" i="39"/>
  <c r="AO71" i="39" s="1"/>
  <c r="AO66" i="39"/>
  <c r="AP66" i="39" s="1"/>
  <c r="J66" i="50"/>
  <c r="L61" i="50"/>
  <c r="J67" i="50"/>
  <c r="M63" i="50"/>
  <c r="M68" i="50" s="1"/>
  <c r="H242" i="47"/>
  <c r="Y61" i="50"/>
  <c r="M67" i="50"/>
  <c r="M66" i="50"/>
  <c r="AZ64" i="43"/>
  <c r="J193" i="47"/>
  <c r="AC44" i="50"/>
  <c r="G163" i="47"/>
  <c r="I163" i="47" s="1"/>
  <c r="J243" i="47"/>
  <c r="F243" i="47"/>
  <c r="P243" i="47" s="1"/>
  <c r="V63" i="50"/>
  <c r="H193" i="47"/>
  <c r="F182" i="47"/>
  <c r="P182" i="47" s="1"/>
  <c r="J182" i="47"/>
  <c r="V66" i="50"/>
  <c r="C41" i="43"/>
  <c r="D41" i="43" s="1"/>
  <c r="P67" i="50"/>
  <c r="P66" i="50"/>
  <c r="H43" i="47"/>
  <c r="M43" i="47" s="1"/>
  <c r="G138" i="47"/>
  <c r="E313" i="47"/>
  <c r="E315" i="47" s="1"/>
  <c r="G100" i="47"/>
  <c r="AB44" i="50"/>
  <c r="G99" i="47"/>
  <c r="G97" i="47"/>
  <c r="I97" i="47" s="1"/>
  <c r="M16" i="47"/>
  <c r="H138" i="47"/>
  <c r="K118" i="47"/>
  <c r="F99" i="47"/>
  <c r="G103" i="47"/>
  <c r="K16" i="47"/>
  <c r="P16" i="47" s="1"/>
  <c r="F101" i="47"/>
  <c r="I118" i="47"/>
  <c r="Q118" i="47" s="1"/>
  <c r="G101" i="47"/>
  <c r="G102" i="47"/>
  <c r="F97" i="47"/>
  <c r="F150" i="47"/>
  <c r="P150" i="47" s="1"/>
  <c r="D153" i="47"/>
  <c r="F149" i="47"/>
  <c r="P149" i="47" s="1"/>
  <c r="F148" i="47"/>
  <c r="P148" i="47" s="1"/>
  <c r="F151" i="47"/>
  <c r="P151" i="47" s="1"/>
  <c r="E153" i="47"/>
  <c r="I65" i="50"/>
  <c r="G43" i="47"/>
  <c r="E96" i="47"/>
  <c r="F96" i="47" s="1"/>
  <c r="U40" i="50"/>
  <c r="Z26" i="50"/>
  <c r="U65" i="50"/>
  <c r="U48" i="50"/>
  <c r="U49" i="50"/>
  <c r="I18" i="47"/>
  <c r="H96" i="47" s="1"/>
  <c r="R63" i="50"/>
  <c r="R68" i="50" s="1"/>
  <c r="R51" i="50"/>
  <c r="R50" i="50"/>
  <c r="R42" i="50"/>
  <c r="R44" i="50" s="1"/>
  <c r="R52" i="50" s="1"/>
  <c r="E130" i="47"/>
  <c r="F130" i="47" s="1"/>
  <c r="P130" i="47" s="1"/>
  <c r="F133" i="47"/>
  <c r="P133" i="47" s="1"/>
  <c r="E26" i="47"/>
  <c r="E59" i="47"/>
  <c r="F59" i="47" s="1"/>
  <c r="P59" i="47" s="1"/>
  <c r="E138" i="47"/>
  <c r="R61" i="50"/>
  <c r="I161" i="47"/>
  <c r="Q161" i="47" s="1"/>
  <c r="E135" i="47"/>
  <c r="F135" i="47" s="1"/>
  <c r="P135" i="47" s="1"/>
  <c r="F102" i="47"/>
  <c r="H44" i="47"/>
  <c r="G80" i="47" s="1"/>
  <c r="D79" i="47"/>
  <c r="F62" i="47"/>
  <c r="F100" i="47"/>
  <c r="L61" i="43"/>
  <c r="L65" i="43"/>
  <c r="AU49" i="43"/>
  <c r="AU41" i="43"/>
  <c r="AU50" i="43" s="1"/>
  <c r="AZ50" i="43"/>
  <c r="L299" i="47"/>
  <c r="L307" i="47" s="1"/>
  <c r="L309" i="47" s="1"/>
  <c r="I307" i="47"/>
  <c r="I309" i="47" s="1"/>
  <c r="K61" i="43"/>
  <c r="K65" i="43"/>
  <c r="N51" i="50"/>
  <c r="N50" i="50"/>
  <c r="N42" i="50"/>
  <c r="N44" i="50" s="1"/>
  <c r="N52" i="50" s="1"/>
  <c r="AV49" i="43"/>
  <c r="AV41" i="43"/>
  <c r="AV50" i="43" s="1"/>
  <c r="I133" i="47"/>
  <c r="Q133" i="47" s="1"/>
  <c r="AW59" i="43"/>
  <c r="AX59" i="43" s="1"/>
  <c r="H100" i="47"/>
  <c r="H99" i="47"/>
  <c r="H58" i="47"/>
  <c r="H62" i="47" s="1"/>
  <c r="H79" i="47" s="1"/>
  <c r="H101" i="47"/>
  <c r="H102" i="47"/>
  <c r="AU64" i="43"/>
  <c r="AU63" i="43"/>
  <c r="AU60" i="43"/>
  <c r="R65" i="43"/>
  <c r="R61" i="43"/>
  <c r="N65" i="43"/>
  <c r="N61" i="43"/>
  <c r="D45" i="47"/>
  <c r="D98" i="47"/>
  <c r="D28" i="47"/>
  <c r="I162" i="47"/>
  <c r="Q162" i="47" s="1"/>
  <c r="G273" i="47"/>
  <c r="H265" i="47"/>
  <c r="G62" i="47"/>
  <c r="G182" i="47"/>
  <c r="K179" i="47"/>
  <c r="I179" i="47"/>
  <c r="Q179" i="47" s="1"/>
  <c r="I191" i="47"/>
  <c r="Q191" i="47" s="1"/>
  <c r="K191" i="47"/>
  <c r="M80" i="47"/>
  <c r="G193" i="47"/>
  <c r="K201" i="47"/>
  <c r="I201" i="47"/>
  <c r="Q201" i="47" s="1"/>
  <c r="G299" i="47"/>
  <c r="N60" i="50" l="1"/>
  <c r="N65" i="50" s="1"/>
  <c r="V68" i="50"/>
  <c r="AV60" i="43"/>
  <c r="AV65" i="43" s="1"/>
  <c r="BA41" i="43"/>
  <c r="BA50" i="43" s="1"/>
  <c r="AW50" i="43" s="1"/>
  <c r="BA49" i="43"/>
  <c r="AW49" i="43" s="1"/>
  <c r="P61" i="43"/>
  <c r="P65" i="43"/>
  <c r="AV64" i="43"/>
  <c r="BA64" i="43"/>
  <c r="AW64" i="43" s="1"/>
  <c r="BA65" i="43"/>
  <c r="BA63" i="43"/>
  <c r="AW63" i="43" s="1"/>
  <c r="K238" i="47"/>
  <c r="AZ65" i="43"/>
  <c r="G96" i="47"/>
  <c r="I96" i="47" s="1"/>
  <c r="H182" i="47"/>
  <c r="I182" i="47" s="1"/>
  <c r="Q182" i="47" s="1"/>
  <c r="I66" i="50"/>
  <c r="I67" i="50"/>
  <c r="W65" i="50"/>
  <c r="W67" i="50"/>
  <c r="D68" i="50"/>
  <c r="I63" i="50"/>
  <c r="I68" i="50" s="1"/>
  <c r="N61" i="50"/>
  <c r="N66" i="50" s="1"/>
  <c r="L67" i="50"/>
  <c r="L66" i="50"/>
  <c r="W63" i="50"/>
  <c r="H219" i="47"/>
  <c r="X60" i="50"/>
  <c r="V65" i="50"/>
  <c r="J68" i="50"/>
  <c r="L63" i="50"/>
  <c r="X51" i="50"/>
  <c r="X42" i="50"/>
  <c r="X44" i="50" s="1"/>
  <c r="X52" i="50" s="1"/>
  <c r="X50" i="50"/>
  <c r="Q63" i="50"/>
  <c r="Q68" i="50" s="1"/>
  <c r="I242" i="47"/>
  <c r="Q242" i="47" s="1"/>
  <c r="K242" i="47"/>
  <c r="Y63" i="50"/>
  <c r="Y68" i="50" s="1"/>
  <c r="H244" i="47"/>
  <c r="Y67" i="50"/>
  <c r="Y66" i="50"/>
  <c r="Q163" i="47"/>
  <c r="BA61" i="43"/>
  <c r="AW61" i="43" s="1"/>
  <c r="AX61" i="43" s="1"/>
  <c r="K43" i="47"/>
  <c r="I138" i="47"/>
  <c r="Q138" i="47" s="1"/>
  <c r="I100" i="47"/>
  <c r="I99" i="47"/>
  <c r="I102" i="47"/>
  <c r="I58" i="47"/>
  <c r="Q58" i="47" s="1"/>
  <c r="I101" i="47"/>
  <c r="R66" i="50"/>
  <c r="R67" i="50"/>
  <c r="U61" i="50"/>
  <c r="E27" i="47"/>
  <c r="G27" i="47" s="1"/>
  <c r="O27" i="47" s="1"/>
  <c r="Z49" i="50"/>
  <c r="Z48" i="50"/>
  <c r="Z40" i="50"/>
  <c r="E44" i="47"/>
  <c r="G44" i="47" s="1"/>
  <c r="O44" i="47" s="1"/>
  <c r="E80" i="47"/>
  <c r="U42" i="50"/>
  <c r="U44" i="50" s="1"/>
  <c r="U52" i="50" s="1"/>
  <c r="U51" i="50"/>
  <c r="U50" i="50"/>
  <c r="G126" i="47"/>
  <c r="G26" i="47"/>
  <c r="O26" i="47" s="1"/>
  <c r="E20" i="47"/>
  <c r="E103" i="47"/>
  <c r="F103" i="47" s="1"/>
  <c r="I26" i="47"/>
  <c r="E140" i="47"/>
  <c r="F140" i="47" s="1"/>
  <c r="P140" i="47" s="1"/>
  <c r="F138" i="47"/>
  <c r="P138" i="47" s="1"/>
  <c r="M18" i="47"/>
  <c r="K18" i="47"/>
  <c r="P18" i="47" s="1"/>
  <c r="H126" i="47"/>
  <c r="H165" i="47"/>
  <c r="F79" i="47"/>
  <c r="P79" i="47" s="1"/>
  <c r="K58" i="47"/>
  <c r="AW60" i="43"/>
  <c r="AX60" i="43" s="1"/>
  <c r="AU65" i="43"/>
  <c r="AU61" i="43"/>
  <c r="D81" i="47"/>
  <c r="D46" i="47"/>
  <c r="D30" i="47"/>
  <c r="H273" i="47"/>
  <c r="G275" i="47"/>
  <c r="K193" i="47"/>
  <c r="I193" i="47"/>
  <c r="Q193" i="47" s="1"/>
  <c r="G79" i="47"/>
  <c r="I62" i="47"/>
  <c r="G210" i="47"/>
  <c r="G219" i="47"/>
  <c r="F299" i="47"/>
  <c r="H299" i="47" s="1"/>
  <c r="G307" i="47"/>
  <c r="G313" i="47"/>
  <c r="G315" i="47" s="1"/>
  <c r="AW41" i="43" l="1"/>
  <c r="AX41" i="43" s="1"/>
  <c r="AV61" i="43"/>
  <c r="AW65" i="43"/>
  <c r="U63" i="50"/>
  <c r="U68" i="50" s="1"/>
  <c r="K182" i="47"/>
  <c r="H28" i="47"/>
  <c r="N67" i="50"/>
  <c r="Z60" i="50"/>
  <c r="Z65" i="50" s="1"/>
  <c r="X67" i="50"/>
  <c r="X65" i="50"/>
  <c r="L68" i="50"/>
  <c r="N63" i="50"/>
  <c r="N68" i="50" s="1"/>
  <c r="W68" i="50"/>
  <c r="X63" i="50"/>
  <c r="X68" i="50" s="1"/>
  <c r="K244" i="47"/>
  <c r="I244" i="47"/>
  <c r="Q244" i="47" s="1"/>
  <c r="Z61" i="50"/>
  <c r="U67" i="50"/>
  <c r="U66" i="50"/>
  <c r="K26" i="47"/>
  <c r="P26" i="47" s="1"/>
  <c r="H59" i="47"/>
  <c r="I20" i="47"/>
  <c r="H103" i="47"/>
  <c r="I103" i="47" s="1"/>
  <c r="M26" i="47"/>
  <c r="G165" i="47"/>
  <c r="I165" i="47" s="1"/>
  <c r="E45" i="47"/>
  <c r="D31" i="47"/>
  <c r="F80" i="47"/>
  <c r="P80" i="47" s="1"/>
  <c r="Z51" i="50"/>
  <c r="Z50" i="50"/>
  <c r="Z42" i="50"/>
  <c r="Z44" i="50" s="1"/>
  <c r="Z52" i="50" s="1"/>
  <c r="E34" i="47"/>
  <c r="G34" i="47" s="1"/>
  <c r="O34" i="47" s="1"/>
  <c r="H148" i="47"/>
  <c r="H151" i="47"/>
  <c r="H152" i="47"/>
  <c r="H150" i="47"/>
  <c r="H140" i="47"/>
  <c r="H149" i="47"/>
  <c r="G149" i="47"/>
  <c r="G152" i="47"/>
  <c r="G148" i="47"/>
  <c r="G140" i="47"/>
  <c r="I126" i="47"/>
  <c r="Q126" i="47" s="1"/>
  <c r="G151" i="47"/>
  <c r="G150" i="47"/>
  <c r="I27" i="47"/>
  <c r="K27" i="47" s="1"/>
  <c r="P27" i="47" s="1"/>
  <c r="E98" i="47"/>
  <c r="F98" i="47" s="1"/>
  <c r="G20" i="47"/>
  <c r="O20" i="47" s="1"/>
  <c r="I44" i="47"/>
  <c r="E28" i="47"/>
  <c r="H45" i="47"/>
  <c r="D83" i="47"/>
  <c r="D48" i="47"/>
  <c r="F275" i="47"/>
  <c r="H275" i="47" s="1"/>
  <c r="G309" i="47"/>
  <c r="I210" i="47"/>
  <c r="Q210" i="47" s="1"/>
  <c r="K210" i="47"/>
  <c r="F313" i="47"/>
  <c r="F315" i="47" s="1"/>
  <c r="F307" i="47"/>
  <c r="H307" i="47" s="1"/>
  <c r="I219" i="47"/>
  <c r="Q219" i="47" s="1"/>
  <c r="K219" i="47"/>
  <c r="I79" i="47"/>
  <c r="Q79" i="47" s="1"/>
  <c r="K79" i="47"/>
  <c r="H30" i="47" l="1"/>
  <c r="H31" i="47" s="1"/>
  <c r="Z63" i="50"/>
  <c r="Z68" i="50" s="1"/>
  <c r="I152" i="47"/>
  <c r="Q152" i="47" s="1"/>
  <c r="I149" i="47"/>
  <c r="Q149" i="47" s="1"/>
  <c r="I150" i="47"/>
  <c r="Q150" i="47" s="1"/>
  <c r="I151" i="47"/>
  <c r="Q151" i="47" s="1"/>
  <c r="I45" i="47"/>
  <c r="H81" i="47" s="1"/>
  <c r="H83" i="47" s="1"/>
  <c r="H98" i="47"/>
  <c r="I98" i="47" s="1"/>
  <c r="M20" i="47"/>
  <c r="K20" i="47"/>
  <c r="P20" i="47" s="1"/>
  <c r="K59" i="47"/>
  <c r="I59" i="47"/>
  <c r="Q59" i="47" s="1"/>
  <c r="E81" i="47"/>
  <c r="G45" i="47"/>
  <c r="O45" i="47" s="1"/>
  <c r="E30" i="47"/>
  <c r="G30" i="47" s="1"/>
  <c r="O30" i="47" s="1"/>
  <c r="I140" i="47"/>
  <c r="Q140" i="47" s="1"/>
  <c r="H135" i="47"/>
  <c r="E46" i="47"/>
  <c r="G28" i="47"/>
  <c r="O28" i="47" s="1"/>
  <c r="G135" i="47"/>
  <c r="G153" i="47"/>
  <c r="I148" i="47"/>
  <c r="Q148" i="47" s="1"/>
  <c r="H153" i="47"/>
  <c r="H80" i="47"/>
  <c r="M44" i="47"/>
  <c r="K44" i="47"/>
  <c r="P44" i="47" s="1"/>
  <c r="I28" i="47"/>
  <c r="K28" i="47" s="1"/>
  <c r="P28" i="47" s="1"/>
  <c r="Z66" i="50"/>
  <c r="Z67" i="50"/>
  <c r="H46" i="47"/>
  <c r="H34" i="47"/>
  <c r="K34" i="47" s="1"/>
  <c r="P34" i="47" s="1"/>
  <c r="G81" i="47"/>
  <c r="D50" i="47"/>
  <c r="D49" i="47"/>
  <c r="F309" i="47"/>
  <c r="H309" i="47" s="1"/>
  <c r="K45" i="47" l="1"/>
  <c r="P45" i="47" s="1"/>
  <c r="I135" i="47"/>
  <c r="Q135" i="47" s="1"/>
  <c r="G46" i="47"/>
  <c r="O46" i="47" s="1"/>
  <c r="I80" i="47"/>
  <c r="Q80" i="47" s="1"/>
  <c r="K80" i="47"/>
  <c r="E31" i="47"/>
  <c r="G31" i="47" s="1"/>
  <c r="O31" i="47" s="1"/>
  <c r="I46" i="47"/>
  <c r="M46" i="47" s="1"/>
  <c r="I30" i="47"/>
  <c r="M45" i="47"/>
  <c r="E48" i="47"/>
  <c r="G48" i="47" s="1"/>
  <c r="O48" i="47" s="1"/>
  <c r="I48" i="47"/>
  <c r="P47" i="47" s="1"/>
  <c r="E83" i="47"/>
  <c r="F83" i="47" s="1"/>
  <c r="P83" i="47" s="1"/>
  <c r="F81" i="47"/>
  <c r="P81" i="47" s="1"/>
  <c r="K81" i="47"/>
  <c r="I81" i="47"/>
  <c r="G83" i="47"/>
  <c r="H48" i="47"/>
  <c r="D84" i="47"/>
  <c r="I49" i="47" l="1"/>
  <c r="I31" i="47"/>
  <c r="K31" i="47" s="1"/>
  <c r="P31" i="47" s="1"/>
  <c r="K30" i="47"/>
  <c r="P30" i="47" s="1"/>
  <c r="K46" i="47"/>
  <c r="P46" i="47" s="1"/>
  <c r="I50" i="47"/>
  <c r="H84" i="47" s="1"/>
  <c r="E50" i="47"/>
  <c r="E49" i="47"/>
  <c r="G49" i="47" s="1"/>
  <c r="H49" i="47"/>
  <c r="K48" i="47"/>
  <c r="P48" i="47" s="1"/>
  <c r="M48" i="47"/>
  <c r="H50" i="47"/>
  <c r="I83" i="47"/>
  <c r="K83" i="47"/>
  <c r="E84" i="47" l="1"/>
  <c r="F84" i="47" s="1"/>
  <c r="P84" i="47" s="1"/>
  <c r="G50" i="47"/>
  <c r="O50" i="47" s="1"/>
  <c r="M49" i="47"/>
  <c r="K49" i="47"/>
  <c r="P49" i="47" s="1"/>
  <c r="M50" i="47"/>
  <c r="K50" i="47"/>
  <c r="P50" i="47" s="1"/>
  <c r="G84" i="47"/>
  <c r="K84" i="47" l="1"/>
  <c r="I84" i="47"/>
  <c r="Q84"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c_lee</author>
  </authors>
  <commentList>
    <comment ref="E80" authorId="0" shapeId="0" xr:uid="{00000000-0006-0000-2200-000001000000}">
      <text>
        <r>
          <rPr>
            <b/>
            <sz val="8"/>
            <color indexed="81"/>
            <rFont val="Tahoma"/>
            <family val="2"/>
          </rPr>
          <t>c_lee:</t>
        </r>
        <r>
          <rPr>
            <sz val="8"/>
            <color indexed="81"/>
            <rFont val="Tahoma"/>
            <family val="2"/>
          </rPr>
          <t xml:space="preserve">
translated with March rate as Co acquired in March</t>
        </r>
      </text>
    </comment>
  </commentList>
</comments>
</file>

<file path=xl/sharedStrings.xml><?xml version="1.0" encoding="utf-8"?>
<sst xmlns="http://schemas.openxmlformats.org/spreadsheetml/2006/main" count="3461" uniqueCount="677">
  <si>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</si>
  <si>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</si>
  <si>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</si>
  <si>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</si>
  <si>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</si>
  <si>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</si>
  <si>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</si>
  <si>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</si>
  <si>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</si>
  <si>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</si>
  <si>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</si>
  <si>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</si>
  <si>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</si>
  <si>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</si>
  <si>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</si>
  <si>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</si>
  <si>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</si>
  <si>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</si>
  <si>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</si>
  <si>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</si>
  <si>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</si>
  <si>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</si>
  <si>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</si>
  <si>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Special distributions per share </t>
    </r>
    <r>
      <rPr>
        <vertAlign val="superscript"/>
        <sz val="9"/>
        <rFont val="Arial"/>
        <family val="2"/>
      </rPr>
      <t>(9)</t>
    </r>
  </si>
  <si>
    <t>n.m.: not meaningful</t>
  </si>
  <si>
    <t>p.p.: percentage points</t>
  </si>
  <si>
    <t>Q1/09</t>
  </si>
  <si>
    <t>Q4/08</t>
  </si>
  <si>
    <t>Q3/08</t>
  </si>
  <si>
    <t>Q2/08</t>
  </si>
  <si>
    <t>Q1/08</t>
  </si>
  <si>
    <t>Q4/07</t>
  </si>
  <si>
    <t>Q3/07</t>
  </si>
  <si>
    <t>Q2/07</t>
  </si>
  <si>
    <t>Q1/07</t>
  </si>
  <si>
    <t>Increase (decrease)</t>
  </si>
  <si>
    <t>FY08</t>
  </si>
  <si>
    <t>FY07</t>
  </si>
  <si>
    <t>n.m.</t>
  </si>
  <si>
    <t>FY09</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</si>
  <si>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</si>
  <si>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</si>
  <si>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</si>
  <si>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</si>
  <si>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</si>
  <si>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</si>
  <si>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</si>
  <si>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</si>
  <si>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</si>
  <si>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</si>
  <si>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</si>
  <si>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</si>
  <si>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</si>
  <si>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</si>
  <si>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</si>
  <si>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Total</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</si>
  <si>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</si>
  <si>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</si>
  <si>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</si>
  <si>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</si>
  <si>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</si>
  <si>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</si>
  <si>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</si>
  <si>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</si>
  <si>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</si>
  <si>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</si>
  <si>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</si>
  <si>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</si>
  <si>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ABCP fair value adjustment</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</si>
  <si>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</si>
  <si>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</si>
  <si>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</si>
  <si>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</si>
  <si>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</si>
  <si>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</si>
  <si>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</si>
  <si>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</si>
  <si>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</si>
  <si>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Q4/09</t>
  </si>
  <si>
    <t>Q3/09</t>
  </si>
  <si>
    <t>Q2/09</t>
  </si>
  <si>
    <t>Canada</t>
  </si>
  <si>
    <t>Capital Markets</t>
  </si>
  <si>
    <t>Total Canada</t>
  </si>
  <si>
    <t>Number of employees</t>
  </si>
  <si>
    <t>General and administrative</t>
  </si>
  <si>
    <t>Corporate and Other segment</t>
  </si>
  <si>
    <t>Corporate and Other</t>
  </si>
  <si>
    <t>Trading costs</t>
  </si>
  <si>
    <t>Total incentive compensation</t>
  </si>
  <si>
    <t>US</t>
  </si>
  <si>
    <t xml:space="preserve">(in thousands of dollars) </t>
  </si>
  <si>
    <t>Assets</t>
  </si>
  <si>
    <t>Cash and cash equivalents</t>
  </si>
  <si>
    <r>
      <t>Accounts receivable</t>
    </r>
    <r>
      <rPr>
        <vertAlign val="superscript"/>
        <sz val="9"/>
        <rFont val="Arial"/>
        <family val="2"/>
      </rPr>
      <t xml:space="preserve"> </t>
    </r>
  </si>
  <si>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</si>
  <si>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</si>
  <si>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</si>
  <si>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</si>
  <si>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</si>
  <si>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</si>
  <si>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</si>
  <si>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</si>
  <si>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</si>
  <si>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</si>
  <si>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</si>
  <si>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Q1/10</t>
  </si>
  <si>
    <t>Q2/10</t>
  </si>
  <si>
    <t>Q3/10</t>
  </si>
  <si>
    <t>Q4/10</t>
  </si>
  <si>
    <t>FY10</t>
  </si>
  <si>
    <t>FY11</t>
  </si>
  <si>
    <t>FY2008</t>
  </si>
  <si>
    <t>FY2009</t>
  </si>
  <si>
    <t>(all are YTD NHI numbers in GBP)</t>
  </si>
  <si>
    <t>Q1 08 YTD</t>
  </si>
  <si>
    <t>Q2 08 YTD</t>
  </si>
  <si>
    <t>Q3 08 YTD</t>
  </si>
  <si>
    <t>Q4 08 YTD</t>
  </si>
  <si>
    <t>Sales Draws - NHI</t>
  </si>
  <si>
    <t>Syndication Salaries NHI</t>
  </si>
  <si>
    <t>Research NHI</t>
  </si>
  <si>
    <t>Corporate Finance NHI</t>
  </si>
  <si>
    <t>Dealing NHI</t>
  </si>
  <si>
    <t>average rate</t>
  </si>
  <si>
    <t>Convert to CDN$</t>
  </si>
  <si>
    <t>YTD NHI</t>
  </si>
  <si>
    <t>NHI Calculation - UK</t>
  </si>
  <si>
    <t>FY06</t>
  </si>
  <si>
    <t>FY05</t>
  </si>
  <si>
    <t>FY04</t>
  </si>
  <si>
    <t>Quarterly NHI</t>
  </si>
  <si>
    <t>Q1 rates</t>
  </si>
  <si>
    <t>Apr</t>
  </si>
  <si>
    <t>May</t>
  </si>
  <si>
    <t>June</t>
  </si>
  <si>
    <t>Average</t>
  </si>
  <si>
    <t>UK</t>
  </si>
  <si>
    <t>The employee count excludes temporary employees and those on long term disability but includes employees on leave of absence.</t>
  </si>
  <si>
    <t>Q2 rates</t>
  </si>
  <si>
    <t>Q3 rates</t>
  </si>
  <si>
    <t>Jul</t>
  </si>
  <si>
    <t>Aug</t>
  </si>
  <si>
    <t>Sep</t>
  </si>
  <si>
    <t>Oct</t>
  </si>
  <si>
    <t>Nov</t>
  </si>
  <si>
    <t>Dec</t>
  </si>
  <si>
    <t>Impairment of goodwill and intangibles</t>
  </si>
  <si>
    <t>Canaccord relief program</t>
  </si>
  <si>
    <t>Restructuring costs</t>
  </si>
  <si>
    <t>Q4 rates</t>
  </si>
  <si>
    <t>Jan</t>
  </si>
  <si>
    <t>Feb</t>
  </si>
  <si>
    <t>Mar</t>
  </si>
  <si>
    <t>March</t>
  </si>
  <si>
    <t>January</t>
  </si>
  <si>
    <t>February</t>
  </si>
  <si>
    <t>FY2010</t>
  </si>
  <si>
    <t>Q1 10 YTD</t>
  </si>
  <si>
    <t>Q1 09 YTD</t>
  </si>
  <si>
    <t>Q2 09 YTD</t>
  </si>
  <si>
    <t>Q3 09 YTD</t>
  </si>
  <si>
    <t>Q4 09 YTD</t>
  </si>
  <si>
    <t>Q2 10 YTD</t>
  </si>
  <si>
    <t>Q3 10 YTD</t>
  </si>
  <si>
    <t>Q4 10 YTD</t>
  </si>
  <si>
    <t>n/a</t>
  </si>
  <si>
    <t>Pre-tax and intersegment allocation profit margin</t>
  </si>
  <si>
    <t>Income (loss) before intersegment allocations and income taxes</t>
  </si>
  <si>
    <t>Acquisition-related costs</t>
  </si>
  <si>
    <t>Canaccord Genuity</t>
  </si>
  <si>
    <t>Number in Canaccord Genuity</t>
  </si>
  <si>
    <t xml:space="preserve">Canaccord Genuity statement of operations </t>
  </si>
  <si>
    <t>Q4/11</t>
  </si>
  <si>
    <t>Q3/11</t>
  </si>
  <si>
    <t>Q2/11</t>
  </si>
  <si>
    <t>Q1/11</t>
  </si>
  <si>
    <t>Supplementary Revenue Breakdown</t>
  </si>
  <si>
    <t>Hiring incentives</t>
  </si>
  <si>
    <t>FY2011</t>
  </si>
  <si>
    <t>-</t>
  </si>
  <si>
    <t>Loss before intersegment allocations and income taxes</t>
  </si>
  <si>
    <t xml:space="preserve">  </t>
  </si>
  <si>
    <t xml:space="preserve">US </t>
  </si>
  <si>
    <t xml:space="preserve">Q1 11 </t>
  </si>
  <si>
    <t xml:space="preserve">Q2 11 </t>
  </si>
  <si>
    <t xml:space="preserve">Q3 11 </t>
  </si>
  <si>
    <t xml:space="preserve">Q4 11 </t>
  </si>
  <si>
    <t>Advisory fees</t>
  </si>
  <si>
    <r>
      <t xml:space="preserve">Total compensation exp. as % of revenue </t>
    </r>
    <r>
      <rPr>
        <vertAlign val="superscript"/>
        <sz val="9"/>
        <rFont val="Arial"/>
        <family val="2"/>
      </rPr>
      <t>(15)</t>
    </r>
  </si>
  <si>
    <r>
      <t xml:space="preserve">Incentive compensation </t>
    </r>
    <r>
      <rPr>
        <vertAlign val="superscript"/>
        <sz val="9"/>
        <rFont val="Arial"/>
        <family val="2"/>
      </rPr>
      <t>(14)</t>
    </r>
  </si>
  <si>
    <r>
      <t xml:space="preserve">Incentive compensation </t>
    </r>
    <r>
      <rPr>
        <vertAlign val="superscript"/>
        <sz val="9"/>
        <rFont val="Arial"/>
        <family val="2"/>
      </rPr>
      <t xml:space="preserve">(14) </t>
    </r>
  </si>
  <si>
    <t>Income before income taxes</t>
  </si>
  <si>
    <t>Income before intersegment allocations and income taxes</t>
  </si>
  <si>
    <r>
      <t>Condensed statement of operations</t>
    </r>
    <r>
      <rPr>
        <b/>
        <i/>
        <vertAlign val="superscript"/>
        <sz val="12"/>
        <rFont val="Arial"/>
        <family val="2"/>
      </rPr>
      <t xml:space="preserve"> (20) </t>
    </r>
  </si>
  <si>
    <r>
      <t xml:space="preserve">Condensed statement of operations </t>
    </r>
    <r>
      <rPr>
        <b/>
        <i/>
        <vertAlign val="superscript"/>
        <sz val="12"/>
        <rFont val="Arial"/>
        <family val="2"/>
      </rPr>
      <t xml:space="preserve">(17) </t>
    </r>
  </si>
  <si>
    <r>
      <t>Total compensation exp. as % of revenue</t>
    </r>
    <r>
      <rPr>
        <vertAlign val="superscript"/>
        <sz val="9"/>
        <rFont val="Arial"/>
        <family val="2"/>
      </rPr>
      <t xml:space="preserve"> (15)</t>
    </r>
  </si>
  <si>
    <r>
      <t xml:space="preserve">Condensed statement of operations </t>
    </r>
    <r>
      <rPr>
        <b/>
        <i/>
        <vertAlign val="superscript"/>
        <sz val="12"/>
        <rFont val="Arial"/>
        <family val="2"/>
      </rPr>
      <t>(21)</t>
    </r>
  </si>
  <si>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</si>
  <si>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</si>
  <si>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Trading NHI</t>
  </si>
  <si>
    <t>Q1/12</t>
  </si>
  <si>
    <t>Q4/12</t>
  </si>
  <si>
    <t>Q3/12</t>
  </si>
  <si>
    <t>Q2/12</t>
  </si>
  <si>
    <t>FY2012</t>
  </si>
  <si>
    <t>FY12</t>
  </si>
  <si>
    <t xml:space="preserve">Q1 12 </t>
  </si>
  <si>
    <t xml:space="preserve">Q2 12 </t>
  </si>
  <si>
    <t xml:space="preserve">Q3 12 </t>
  </si>
  <si>
    <t xml:space="preserve">Q4 12 </t>
  </si>
  <si>
    <t>Shares issued and outstanding (number)</t>
  </si>
  <si>
    <t>Dividends per common share</t>
  </si>
  <si>
    <r>
      <t xml:space="preserve">Common dividend yield (closing share price) </t>
    </r>
    <r>
      <rPr>
        <vertAlign val="superscript"/>
        <sz val="9"/>
        <rFont val="Arial"/>
        <family val="2"/>
      </rPr>
      <t>(9)</t>
    </r>
  </si>
  <si>
    <r>
      <t xml:space="preserve">Common dividend payout ratio </t>
    </r>
    <r>
      <rPr>
        <vertAlign val="superscript"/>
        <sz val="9"/>
        <rFont val="Arial"/>
        <family val="2"/>
      </rPr>
      <t xml:space="preserve"> (9)</t>
    </r>
  </si>
  <si>
    <t>Special distributions per share and dividends per preferred share are not included in the dividend yield and dividend payout calculations.</t>
  </si>
  <si>
    <t>US Funds Desk Salaries NI</t>
  </si>
  <si>
    <t>Sales Salaries - NI</t>
  </si>
  <si>
    <t>Accounts payable, accrued liabilities and other</t>
  </si>
  <si>
    <r>
      <t xml:space="preserve">Preferred share information </t>
    </r>
    <r>
      <rPr>
        <i/>
        <sz val="9"/>
        <rFont val="Arial"/>
        <family val="2"/>
      </rPr>
      <t>(thousands)</t>
    </r>
  </si>
  <si>
    <t>IFRS</t>
  </si>
  <si>
    <t>CGAAP</t>
  </si>
  <si>
    <t>Number of employees in Other Foreign Locations</t>
  </si>
  <si>
    <t xml:space="preserve">Number in Canaccord Genuity </t>
  </si>
  <si>
    <t>n.m. not meaningful</t>
  </si>
  <si>
    <t>Book value per diluted common share</t>
  </si>
  <si>
    <t xml:space="preserve">Unless otherwise specified, all currencies are in thousands of Canadian dollars.  </t>
  </si>
  <si>
    <t>Non-controlling interests</t>
  </si>
  <si>
    <t>Total liabilities and equity</t>
  </si>
  <si>
    <t>Liabilities and equity</t>
  </si>
  <si>
    <r>
      <t xml:space="preserve">Average diluted </t>
    </r>
    <r>
      <rPr>
        <vertAlign val="superscript"/>
        <sz val="9"/>
        <rFont val="Arial"/>
        <family val="2"/>
      </rPr>
      <t>(8)</t>
    </r>
  </si>
  <si>
    <r>
      <t xml:space="preserve">Supplementary Information Excluding Significant Items (Non-IFRS and Non-GAAP) </t>
    </r>
    <r>
      <rPr>
        <b/>
        <i/>
        <vertAlign val="superscript"/>
        <sz val="10"/>
        <rFont val="Arial"/>
        <family val="2"/>
      </rPr>
      <t xml:space="preserve">(16) </t>
    </r>
  </si>
  <si>
    <t>UK and Europe</t>
  </si>
  <si>
    <t>YTD</t>
  </si>
  <si>
    <t>Number of licenced professionals in Canada</t>
  </si>
  <si>
    <t>CSH NHI</t>
  </si>
  <si>
    <t xml:space="preserve">and Canadian Corporate and Other operations. </t>
  </si>
  <si>
    <t>Results of former CSHP entities are included since March 22, 2012</t>
  </si>
  <si>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</si>
  <si>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</si>
  <si>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</si>
  <si>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</si>
  <si>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</si>
  <si>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r>
      <t xml:space="preserve">Assets under mgmt. - UK and Europe </t>
    </r>
    <r>
      <rPr>
        <vertAlign val="superscript"/>
        <sz val="9"/>
        <rFont val="Arial"/>
        <family val="2"/>
      </rPr>
      <t>(3)</t>
    </r>
  </si>
  <si>
    <r>
      <t xml:space="preserve">Book value per diluted share </t>
    </r>
    <r>
      <rPr>
        <vertAlign val="superscript"/>
        <sz val="9"/>
        <rFont val="Arial"/>
        <family val="2"/>
      </rPr>
      <t>(4)</t>
    </r>
  </si>
  <si>
    <t>Market capitalization (thousands)</t>
  </si>
  <si>
    <r>
      <t xml:space="preserve">Assets under mgmt. ($millions) - UK and Europe </t>
    </r>
    <r>
      <rPr>
        <vertAlign val="superscript"/>
        <sz val="9"/>
        <rFont val="Arial"/>
        <family val="2"/>
      </rPr>
      <t xml:space="preserve">(3) </t>
    </r>
  </si>
  <si>
    <r>
      <t xml:space="preserve">Assets under mgmt. ($ millions) - UK and Europe </t>
    </r>
    <r>
      <rPr>
        <vertAlign val="superscript"/>
        <sz val="9"/>
        <rFont val="Arial"/>
        <family val="2"/>
      </rPr>
      <t>(3)</t>
    </r>
  </si>
  <si>
    <t>Securities owned</t>
  </si>
  <si>
    <t>Deferred tax assets</t>
  </si>
  <si>
    <t>Securities sold short</t>
  </si>
  <si>
    <t>Deferred tax liabilities</t>
  </si>
  <si>
    <t>Q4/13</t>
  </si>
  <si>
    <t>Q3/13</t>
  </si>
  <si>
    <t>Q2/13</t>
  </si>
  <si>
    <t>Q1/13</t>
  </si>
  <si>
    <t>FY2013</t>
  </si>
  <si>
    <t>FY13</t>
  </si>
  <si>
    <t>Q1 13</t>
  </si>
  <si>
    <t>Q2 13</t>
  </si>
  <si>
    <t>Q3 13</t>
  </si>
  <si>
    <t>Q4 13</t>
  </si>
  <si>
    <t>Salaries - NI (from John Reid)</t>
  </si>
  <si>
    <t>Number of Advisors - Australia</t>
  </si>
  <si>
    <r>
      <rPr>
        <b/>
        <i/>
        <sz val="12"/>
        <rFont val="Arial"/>
        <family val="2"/>
      </rPr>
      <t>Condensed Statement of Operations</t>
    </r>
    <r>
      <rPr>
        <sz val="9"/>
        <rFont val="Arial"/>
        <family val="2"/>
      </rPr>
      <t xml:space="preserve"> </t>
    </r>
  </si>
  <si>
    <t>Australia</t>
  </si>
  <si>
    <t>FY13 vs FY12</t>
  </si>
  <si>
    <r>
      <t>Facilitation losses</t>
    </r>
    <r>
      <rPr>
        <vertAlign val="superscript"/>
        <sz val="9"/>
        <rFont val="Arial"/>
        <family val="2"/>
      </rPr>
      <t xml:space="preserve"> (26)</t>
    </r>
  </si>
  <si>
    <r>
      <t>Facilitation losses</t>
    </r>
    <r>
      <rPr>
        <vertAlign val="superscript"/>
        <sz val="9"/>
        <rFont val="Arial"/>
        <family val="2"/>
      </rPr>
      <t xml:space="preserve"> (28)</t>
    </r>
  </si>
  <si>
    <r>
      <t>Total compensation exp. as % of revenue</t>
    </r>
    <r>
      <rPr>
        <vertAlign val="superscript"/>
        <sz val="9"/>
        <rFont val="Arial"/>
        <family val="2"/>
      </rPr>
      <t xml:space="preserve"> (15) </t>
    </r>
  </si>
  <si>
    <t>Consolidated statement of financial position</t>
  </si>
  <si>
    <r>
      <rPr>
        <b/>
        <i/>
        <sz val="12"/>
        <rFont val="Arial"/>
        <family val="2"/>
      </rPr>
      <t>Condensed Statement of Operations</t>
    </r>
    <r>
      <rPr>
        <sz val="9"/>
        <rFont val="Arial"/>
        <family val="2"/>
      </rPr>
      <t xml:space="preserve"> </t>
    </r>
    <r>
      <rPr>
        <vertAlign val="superscript"/>
        <sz val="9"/>
        <rFont val="Arial"/>
        <family val="2"/>
      </rPr>
      <t>(29)</t>
    </r>
  </si>
  <si>
    <r>
      <t xml:space="preserve">      National Insurance tax </t>
    </r>
    <r>
      <rPr>
        <vertAlign val="superscript"/>
        <sz val="9"/>
        <rFont val="Arial"/>
        <family val="2"/>
      </rPr>
      <t>(14)</t>
    </r>
  </si>
  <si>
    <t>Contingent consideration</t>
  </si>
  <si>
    <t xml:space="preserve">    Non-share based incentive compensation</t>
  </si>
  <si>
    <t xml:space="preserve">    Share based incentive compensation </t>
  </si>
  <si>
    <t>Non-share based incentive compensation as a % of revenue</t>
  </si>
  <si>
    <t>Share based incentive compensation as a % of revenue</t>
  </si>
  <si>
    <t xml:space="preserve">           Non-share based incentive compensation</t>
  </si>
  <si>
    <t xml:space="preserve">           Share based incentive compensation </t>
  </si>
  <si>
    <t>Note: Please find notes on Page 13.</t>
  </si>
  <si>
    <t>9 Months Ended</t>
  </si>
  <si>
    <t>Commissions and fees</t>
  </si>
  <si>
    <t>WM NHI</t>
  </si>
  <si>
    <t>Canaccord Genuity Wealth Management North America and Australia</t>
  </si>
  <si>
    <t>Canaccord Genuity Wealth Management</t>
  </si>
  <si>
    <t>Intersegment allocations from Corporate and Other</t>
  </si>
  <si>
    <t>Number in Canaccord Genuity Wealth Management</t>
  </si>
  <si>
    <r>
      <t>Results of former CSHP entities are included since March 22, 2012</t>
    </r>
    <r>
      <rPr>
        <i/>
        <vertAlign val="superscript"/>
        <sz val="10"/>
        <rFont val="Arial"/>
        <family val="2"/>
      </rPr>
      <t xml:space="preserve"> (31)</t>
    </r>
  </si>
  <si>
    <t>Don MacFayden</t>
  </si>
  <si>
    <t>416-687-5426</t>
  </si>
  <si>
    <t>includes WM: UK Private Clients departments and Eden NI</t>
  </si>
  <si>
    <t>Q1/14</t>
  </si>
  <si>
    <t>Q1/14 vs. Q1/13</t>
  </si>
  <si>
    <t>Q2/14</t>
  </si>
  <si>
    <t>Q3/14</t>
  </si>
  <si>
    <t>Q4/14</t>
  </si>
  <si>
    <t>FY2014</t>
  </si>
  <si>
    <t>FY14</t>
  </si>
  <si>
    <t>Q1 14</t>
  </si>
  <si>
    <t>Q2 14</t>
  </si>
  <si>
    <t>Q3 14</t>
  </si>
  <si>
    <t>Q4 14</t>
  </si>
  <si>
    <t>Support services allocation</t>
  </si>
  <si>
    <t>Inter-segment profit allocation</t>
  </si>
  <si>
    <t>Research allocation</t>
  </si>
  <si>
    <t>Trade processing</t>
  </si>
  <si>
    <t>Income (loss) before charges and income taxes</t>
  </si>
  <si>
    <t>Charges to UK</t>
  </si>
  <si>
    <t>Charges to US</t>
  </si>
  <si>
    <t>Charges from Canada</t>
  </si>
  <si>
    <t>Charges from US</t>
  </si>
  <si>
    <r>
      <t xml:space="preserve">      Incentive compensation </t>
    </r>
    <r>
      <rPr>
        <vertAlign val="superscript"/>
        <sz val="9"/>
        <rFont val="Arial"/>
        <family val="2"/>
      </rPr>
      <t>(14)</t>
    </r>
  </si>
  <si>
    <t>Intersegment allocations</t>
  </si>
  <si>
    <t>Canaccord Genuity Canada</t>
  </si>
  <si>
    <t xml:space="preserve">     Non-share based incentive compensation</t>
  </si>
  <si>
    <t xml:space="preserve">     Share based incentive compensation</t>
  </si>
  <si>
    <t>Intersegment Allocations</t>
  </si>
  <si>
    <t>Share based compensation as a % of revenue</t>
  </si>
  <si>
    <t>Income (loss) after intersegment allocations and before income taxes</t>
  </si>
  <si>
    <t xml:space="preserve">Canaccord Genuity Wealth Management North America </t>
  </si>
  <si>
    <t>Canaccord Genuity US</t>
  </si>
  <si>
    <t>Includes wealth management operations in Australia.  Results for wealth management operations in Australia have been included starting April 1, 2012.</t>
  </si>
  <si>
    <t>Canaccord Genuity Group Inc.</t>
  </si>
  <si>
    <t>Net income (loss) attributable to CGGI shareholders</t>
  </si>
  <si>
    <t>Condensed Statement of Operations</t>
  </si>
  <si>
    <t>(Capital Markets)</t>
  </si>
  <si>
    <t>Excludes shares relating to share purchase loans for recruitment and retention programs and unvested shares purchased by employee benefit trust for LTIP, and excludes shares held in treasury purchased through the NCIB to be cancelled.</t>
  </si>
  <si>
    <t>Includes shares relating to share purchase loans for recruitment and retention programs and unvested shares purchased by employee benefit trust for LTIP, and includes shares held in treasury purchased through the NCIB to be cancelled.</t>
  </si>
  <si>
    <t>Investment professionals include all staff with direct sales responsibilities, which include brokers and assistants with direct client contacts. Fund managers include all staff who manage client assets.</t>
  </si>
  <si>
    <t>Net income (loss) attributable to common shareholders</t>
  </si>
  <si>
    <t>Q4/15</t>
  </si>
  <si>
    <t>Q3/15</t>
  </si>
  <si>
    <t>Q2/15</t>
  </si>
  <si>
    <t>Q1/15</t>
  </si>
  <si>
    <t>Christina Marinoff</t>
  </si>
  <si>
    <t>Vice President, Investor Relations &amp; Communications</t>
  </si>
  <si>
    <t>416-687-5507</t>
  </si>
  <si>
    <t>FY15 vs FY14</t>
  </si>
  <si>
    <t>n.m.: not meaningful (percentages above 300% are indicated as n.m.)</t>
  </si>
  <si>
    <t>Canaccord Genuity Wealth Management UK &amp; Europe</t>
  </si>
  <si>
    <t xml:space="preserve">Canaccord Genuity Wealth Management UK &amp; Europe statement of operations </t>
  </si>
  <si>
    <t>FY15</t>
  </si>
  <si>
    <t>Non-IFRS measures:</t>
  </si>
  <si>
    <t>Certain non-IFRS measures are utilized by the Company as measures of financial performance. Non-IFRS measures do not have any standardized meaning prescribed by IFRS and are therefore unlikely to be comparable to similar measures presented by other companies.  Non-IFRS measures included are: income (loss) before intersegment allocations and income taxes, supplementary information excluding significant items, return on average common equity (ROE), book value per diluted common share, assets under administration (AUA), assets under management (AUM), compensation expenses as % of revenue, non-compensation expenses as % of revenue, common dividend yield, common dividend payout ratio, total shareholder return, price to earnings multiple (P/E), price to book ratio (P/B), and WM fee-related revenue.</t>
  </si>
  <si>
    <t>Canaccord Genuity Group of Companies</t>
  </si>
  <si>
    <t>Canaccord Genuity North America</t>
  </si>
  <si>
    <t>Q1/16</t>
  </si>
  <si>
    <t>Q1/16 vs. Q1/15</t>
  </si>
  <si>
    <t>Canaccord Genuity UK and Europe</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</si>
  <si>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</si>
  <si>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</si>
  <si>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r>
      <t>Facilitation losses</t>
    </r>
    <r>
      <rPr>
        <vertAlign val="superscript"/>
        <sz val="9"/>
        <rFont val="Arial"/>
        <family val="2"/>
      </rPr>
      <t xml:space="preserve"> (22)</t>
    </r>
  </si>
  <si>
    <t xml:space="preserve">Commissions and fees </t>
  </si>
  <si>
    <t xml:space="preserve">approaches used by other companies and therefore may not be comparable.  </t>
  </si>
  <si>
    <t>This measure includes both discretionary and non-discretionary accounts.</t>
  </si>
  <si>
    <t>they were anti-dilutive.</t>
  </si>
  <si>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</si>
  <si>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</si>
  <si>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</si>
  <si>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FY16</t>
  </si>
  <si>
    <t>Impairment of goodwill and other assets</t>
  </si>
  <si>
    <t>FY 16</t>
  </si>
  <si>
    <t>Q4/17</t>
  </si>
  <si>
    <t>Q3/17</t>
  </si>
  <si>
    <t>and commencing in Q1/14, adjusted for shares purchased under the normal course issuer bid and not yet cancelled, and estimated forfeitures in respect of unvested share awards under share-based payment plans.</t>
  </si>
  <si>
    <t>Canaccord Genuity Dubai</t>
  </si>
  <si>
    <t>Pound sterling to Canadian dollar</t>
  </si>
  <si>
    <t>US dollar to Canadian dollar</t>
  </si>
  <si>
    <t>Number of employees in Australia</t>
  </si>
  <si>
    <t>Revenues and expenses from our foreign operations are initially recorded in their respective functional currencies and translated into Canadian dollars at exchange rates prevailing during the period.</t>
  </si>
  <si>
    <t>prior periods have been reclassified.</t>
  </si>
  <si>
    <t>This is the diluted common share number used to calculate diluted earnings (loss) per common share. For periods with net losses, all instruments involving potential common shares were excluded from the calculation of diluted loss per common share as</t>
  </si>
  <si>
    <t>Operating results from former CSHP entities have been included beginning March 22, 2012.</t>
  </si>
  <si>
    <t xml:space="preserve">Fee-based revenue includes fees earned in separately managed, advisor managed and fee-based accounts, as well as mutual fund and segregated fund trailer revenue in this calculation.  This method of calculating fee-based revenue may differ from </t>
  </si>
  <si>
    <t>The operations of Canaccord Genuity (Barbados) Ltd were discontinued in Q3/16.</t>
  </si>
  <si>
    <t>Result of former CSHP Wealth Management group has been included beginning March 22, 2012 and the wealth management business of Eden Financial Ltd. beginning October 1, 2012 are included.</t>
  </si>
  <si>
    <t>(Loss) income before income taxes</t>
  </si>
  <si>
    <t>In previous quarters, the operating results have been reported as Other Foreign Locations.  Comparatives for all prior periods have been reclassified.</t>
  </si>
  <si>
    <t xml:space="preserve">which represent the portion of the net identifiable assets in Australia attributable to non-controlling shareholders. </t>
  </si>
  <si>
    <t>Operating results disclosed as Other Foreign Locations prior to Q3/17 include Canaccord Genuity (Barbados) Ltd. , Canaccord Genuity Asia, Canaccord Singapore Pte. Ltd., and our 50% ownership interest in the issued shares of Canaccord</t>
  </si>
  <si>
    <t>number of Advisors, number of investment professionals and fund managers, number of licensed professionals, and number of companies as Broker and number of companies as Nomad.</t>
  </si>
  <si>
    <t>Total compensation expense includes incentive compensation expense and salaries and benefits, but excludes hiring incentives and certain salaries and benefits expense incurred in relation to development activities which are included as development costs.</t>
  </si>
  <si>
    <t xml:space="preserve">Commencing in Q3/17,  the operating results of our Australian operations are disclosed separately as Canaccord Genuity - Australia.  In previous quarters, the operating results have been reported as Other Foreign Locations. Comparatives for all </t>
  </si>
  <si>
    <t>Income (loss) for Other Foreign Locations</t>
  </si>
  <si>
    <t>Other overhead expenses</t>
  </si>
  <si>
    <t>Number of employees in UK, Europe, and Dubai</t>
  </si>
  <si>
    <t>Genuity (Australia) Limited.  Commencing in Q3/17, the operating results of the Australian and Dubai operations are disclosed as Canaccord Genuity Australia and Canaccord Genuity UK, Europe, and Dubai</t>
  </si>
  <si>
    <t>respectively.  Comparatives for all prior periods have been reclassified.</t>
  </si>
  <si>
    <t>Convertible debentures</t>
  </si>
  <si>
    <t>Includes our capital markets operations in Canada, US, UK &amp; Dubai, and Australia.</t>
  </si>
  <si>
    <r>
      <t>Selected financial information excluding significant items</t>
    </r>
    <r>
      <rPr>
        <b/>
        <vertAlign val="superscript"/>
        <sz val="12"/>
        <rFont val="Times New Roman"/>
        <family val="1"/>
      </rPr>
      <t>(1)</t>
    </r>
  </si>
  <si>
    <t>Quarter-over-quarter change</t>
  </si>
  <si>
    <t>YTD – over – YTD change</t>
  </si>
  <si>
    <t>(C$ thousands, except per share and % amounts)</t>
  </si>
  <si>
    <t>Total revenue per IFRS</t>
  </si>
  <si>
    <t>Total expenses per IFRS</t>
  </si>
  <si>
    <r>
      <t>Significant items recorded in Canaccord Genuity</t>
    </r>
    <r>
      <rPr>
        <i/>
        <vertAlign val="superscript"/>
        <sz val="9"/>
        <rFont val="Times New Roman"/>
        <family val="1"/>
      </rPr>
      <t xml:space="preserve"> </t>
    </r>
  </si>
  <si>
    <t>Amortization of intangible assets</t>
  </si>
  <si>
    <t>—</t>
  </si>
  <si>
    <t>Significant items recorded in Canaccord Genuity Wealth Management</t>
  </si>
  <si>
    <t>Significant items recorded in Corporate and Other</t>
  </si>
  <si>
    <t>Total significant items</t>
  </si>
  <si>
    <t>Total expenses excluding significant items</t>
  </si>
  <si>
    <t xml:space="preserve">Net income (loss) before taxes – adjusted </t>
  </si>
  <si>
    <t>Income taxes (recovery) – adjusted</t>
  </si>
  <si>
    <t>Net income (loss) – adjusted</t>
  </si>
  <si>
    <t>Net income (loss) attributable to common shareholders, adjusted</t>
  </si>
  <si>
    <t>Earnings (loss) per common share – basic, adjusted</t>
  </si>
  <si>
    <t>Earnings (loss) per common share – diluted, adjusted</t>
  </si>
  <si>
    <t xml:space="preserve"> (1) Figures excluding significant items are non-IFRS measures. See Non-IFRS Measures on page x.</t>
  </si>
  <si>
    <t>n.m.: mot meaningful</t>
  </si>
  <si>
    <t>Consolidated operating results</t>
  </si>
  <si>
    <t xml:space="preserve">        </t>
  </si>
  <si>
    <t>(C$ thousands, except per share and % amounts, and number of employees)</t>
  </si>
  <si>
    <t>Canaccord Genuity Group Inc. (CGGI)</t>
  </si>
  <si>
    <t xml:space="preserve">        Commissions and fees</t>
  </si>
  <si>
    <t xml:space="preserve">        Investment banking</t>
  </si>
  <si>
    <t xml:space="preserve">        Advisory fees</t>
  </si>
  <si>
    <t xml:space="preserve">        Principal trading</t>
  </si>
  <si>
    <t xml:space="preserve">        Interest</t>
  </si>
  <si>
    <t xml:space="preserve">        Other</t>
  </si>
  <si>
    <t>Total revenue</t>
  </si>
  <si>
    <t xml:space="preserve">        Incentive compensation</t>
  </si>
  <si>
    <t xml:space="preserve">        Salaries and benefits</t>
  </si>
  <si>
    <t>Net income (loss) attributable to:</t>
  </si>
  <si>
    <t xml:space="preserve">   CGGI shareholders</t>
  </si>
  <si>
    <t xml:space="preserve">   Non-controlling interests</t>
  </si>
  <si>
    <t>Earnings (loss) per common share – diluted</t>
  </si>
  <si>
    <t>Return on common equity (ROE)</t>
  </si>
  <si>
    <t xml:space="preserve">Dividends per common share </t>
  </si>
  <si>
    <t>Total liabilities</t>
  </si>
  <si>
    <t>Total shareholders’ equity</t>
  </si>
  <si>
    <t>Net  income (loss)</t>
  </si>
  <si>
    <t xml:space="preserve">      CGGI shareholders</t>
  </si>
  <si>
    <t xml:space="preserve">      Non-controlling interests</t>
  </si>
  <si>
    <t>Net  income (loss) attributable to common shareholders, adjusted</t>
  </si>
  <si>
    <t>Expenses as a percentage of revenue</t>
  </si>
  <si>
    <t>YTD-over-YTD change</t>
  </si>
  <si>
    <t>Incentive compensation</t>
  </si>
  <si>
    <r>
      <t>Other overhead expenses</t>
    </r>
    <r>
      <rPr>
        <vertAlign val="superscript"/>
        <sz val="9"/>
        <rFont val="Times New Roman"/>
        <family val="1"/>
      </rPr>
      <t>(1)</t>
    </r>
  </si>
  <si>
    <t>Manual</t>
  </si>
  <si>
    <t>(C$ thousands, except % amounts)</t>
  </si>
  <si>
    <r>
      <t>Amortization</t>
    </r>
    <r>
      <rPr>
        <vertAlign val="superscript"/>
        <sz val="9"/>
        <rFont val="Times New Roman"/>
        <family val="1"/>
      </rPr>
      <t>(1)</t>
    </r>
  </si>
  <si>
    <t>Total other overhead expenses</t>
  </si>
  <si>
    <t>Results of operations by business segment</t>
  </si>
  <si>
    <r>
      <t>Canaccord Genuity</t>
    </r>
    <r>
      <rPr>
        <b/>
        <i/>
        <vertAlign val="superscript"/>
        <sz val="13"/>
        <rFont val="Times New Roman"/>
        <family val="1"/>
      </rPr>
      <t xml:space="preserve"> (1) (2)</t>
    </r>
  </si>
  <si>
    <t>(C$ thousands, except number of employees and % amounts)</t>
  </si>
  <si>
    <t xml:space="preserve">   Revenue</t>
  </si>
  <si>
    <t xml:space="preserve">   Expenses</t>
  </si>
  <si>
    <t xml:space="preserve">        Other overhead expenses</t>
  </si>
  <si>
    <t xml:space="preserve">        Restructuring costs</t>
  </si>
  <si>
    <r>
      <t>Intersegment allocations</t>
    </r>
    <r>
      <rPr>
        <vertAlign val="superscript"/>
        <sz val="9"/>
        <rFont val="Times New Roman"/>
        <family val="1"/>
      </rPr>
      <t>(3)</t>
    </r>
  </si>
  <si>
    <r>
      <t>(Loss) income before income taxes</t>
    </r>
    <r>
      <rPr>
        <vertAlign val="superscript"/>
        <sz val="9"/>
        <rFont val="Times New Roman"/>
        <family val="1"/>
      </rPr>
      <t>(3)</t>
    </r>
  </si>
  <si>
    <r>
      <t>Excluding significant items</t>
    </r>
    <r>
      <rPr>
        <b/>
        <vertAlign val="superscript"/>
        <sz val="9"/>
        <rFont val="Times New Roman"/>
        <family val="1"/>
      </rPr>
      <t>(4)</t>
    </r>
  </si>
  <si>
    <t>Revenue by geography as a percentage of Canaccord Genuity revenue</t>
  </si>
  <si>
    <t>Revenue generated in:</t>
  </si>
  <si>
    <t>UK, Europe, and Dubai</t>
  </si>
  <si>
    <t>Other Foreign Locations</t>
  </si>
  <si>
    <t>Sign Check</t>
  </si>
  <si>
    <t>(C$ thousands, except AUM and AUA (in C$ millions),  number of employees, Advisory Teams and % amounts)</t>
  </si>
  <si>
    <t xml:space="preserve">    Incentive compensation</t>
  </si>
  <si>
    <t xml:space="preserve">    Salaries and benefits</t>
  </si>
  <si>
    <t xml:space="preserve">    Other overhead expenses</t>
  </si>
  <si>
    <r>
      <t>Intersegment allocations</t>
    </r>
    <r>
      <rPr>
        <vertAlign val="superscript"/>
        <sz val="9"/>
        <rFont val="Times New Roman"/>
        <family val="1"/>
      </rPr>
      <t>(2)</t>
    </r>
  </si>
  <si>
    <r>
      <t>Loss before income taxes</t>
    </r>
    <r>
      <rPr>
        <vertAlign val="superscript"/>
        <sz val="9"/>
        <rFont val="Times New Roman"/>
        <family val="1"/>
      </rPr>
      <t xml:space="preserve">(2) </t>
    </r>
  </si>
  <si>
    <r>
      <t>AUM – Canada (discretionary)</t>
    </r>
    <r>
      <rPr>
        <vertAlign val="superscript"/>
        <sz val="9"/>
        <rFont val="Times New Roman"/>
        <family val="1"/>
      </rPr>
      <t>(3)</t>
    </r>
  </si>
  <si>
    <r>
      <t>AUA – Canada</t>
    </r>
    <r>
      <rPr>
        <vertAlign val="superscript"/>
        <sz val="9"/>
        <rFont val="Times New Roman"/>
        <family val="1"/>
      </rPr>
      <t>(4)</t>
    </r>
  </si>
  <si>
    <t>Number of Advisory Teams – Canada</t>
  </si>
  <si>
    <r>
      <t>Excluding significant items</t>
    </r>
    <r>
      <rPr>
        <b/>
        <vertAlign val="superscript"/>
        <sz val="9"/>
        <rFont val="Times New Roman"/>
        <family val="1"/>
      </rPr>
      <t>(5)</t>
    </r>
  </si>
  <si>
    <r>
      <t xml:space="preserve">Loss before income taxes </t>
    </r>
    <r>
      <rPr>
        <vertAlign val="superscript"/>
        <sz val="9"/>
        <rFont val="Times New Roman"/>
        <family val="1"/>
      </rPr>
      <t>(2)</t>
    </r>
  </si>
  <si>
    <t xml:space="preserve">    Restructuring costs</t>
  </si>
  <si>
    <r>
      <t>(Loss) income before income taxes</t>
    </r>
    <r>
      <rPr>
        <vertAlign val="superscript"/>
        <sz val="9"/>
        <rFont val="Times New Roman"/>
        <family val="1"/>
      </rPr>
      <t>(2)</t>
    </r>
  </si>
  <si>
    <r>
      <t>Excluding significant items</t>
    </r>
    <r>
      <rPr>
        <b/>
        <vertAlign val="superscript"/>
        <sz val="9"/>
        <rFont val="Times New Roman"/>
        <family val="1"/>
      </rPr>
      <t>(3)</t>
    </r>
  </si>
  <si>
    <r>
      <t xml:space="preserve"> (Loss) income before income taxes </t>
    </r>
    <r>
      <rPr>
        <vertAlign val="superscript"/>
        <sz val="9"/>
        <rFont val="Times New Roman"/>
        <family val="1"/>
      </rPr>
      <t>(2)</t>
    </r>
  </si>
  <si>
    <t xml:space="preserve">Canaccord Genuity total compensation expense as a percentage of revenue by geography </t>
  </si>
  <si>
    <t>Canaccord Genuity (total)</t>
  </si>
  <si>
    <t>(C$ thousands, except AUM  (in C$ millions), number of employees, investment professionals and fund managers, and % amounts)</t>
  </si>
  <si>
    <r>
      <t>Income before income taxes</t>
    </r>
    <r>
      <rPr>
        <vertAlign val="superscript"/>
        <sz val="9"/>
        <rFont val="Times New Roman"/>
        <family val="1"/>
      </rPr>
      <t>(2)</t>
    </r>
  </si>
  <si>
    <r>
      <t>AUM – UK and Europe</t>
    </r>
    <r>
      <rPr>
        <vertAlign val="superscript"/>
        <sz val="9"/>
        <rFont val="Times New Roman"/>
        <family val="1"/>
      </rPr>
      <t>(3)</t>
    </r>
  </si>
  <si>
    <t>Number of investment professionals and fund managers – UK and Europe</t>
  </si>
  <si>
    <r>
      <t xml:space="preserve">Income before income taxes </t>
    </r>
    <r>
      <rPr>
        <vertAlign val="superscript"/>
        <sz val="9"/>
        <rFont val="Times New Roman"/>
        <family val="1"/>
      </rPr>
      <t>(2)</t>
    </r>
  </si>
  <si>
    <t>(in thousands of dollars) (1)</t>
  </si>
  <si>
    <r>
      <t xml:space="preserve">Assets under mgmt. ($ millions) - Australia </t>
    </r>
    <r>
      <rPr>
        <vertAlign val="superscript"/>
        <sz val="9"/>
        <rFont val="Arial"/>
        <family val="2"/>
      </rPr>
      <t>(3)</t>
    </r>
  </si>
  <si>
    <t>Total revenue excluding significant items</t>
  </si>
  <si>
    <t>Total AUA - Canada, AUM - UK and Europe, Australia</t>
  </si>
  <si>
    <t xml:space="preserve">offered by Canaccord. Assets under management in Canada are included in the total of assets under administration in Canada. Assets under administration in Canada is the market value of client assets managed and administered </t>
  </si>
  <si>
    <t>by Canaccord, from which Canaccord earns commissions or fees.  This measure includes both discretionary and non-discretionary accounts.</t>
  </si>
  <si>
    <t xml:space="preserve">Canaccord Genuity Wealth Management North America statement of operations </t>
  </si>
  <si>
    <t>Executive Vice President &amp; Chief Financial Officer</t>
  </si>
  <si>
    <t>FY17</t>
  </si>
  <si>
    <t>2016</t>
  </si>
  <si>
    <t>Change</t>
  </si>
  <si>
    <t>2017</t>
  </si>
  <si>
    <t>Q1/18</t>
  </si>
  <si>
    <t>Q2/18</t>
  </si>
  <si>
    <t>Q3/18</t>
  </si>
  <si>
    <t>Q4/18</t>
  </si>
  <si>
    <t>FY18</t>
  </si>
  <si>
    <t xml:space="preserve">CGWM </t>
  </si>
  <si>
    <t>Commission and fees</t>
  </si>
  <si>
    <t xml:space="preserve">        Acquisition-related costs</t>
  </si>
  <si>
    <t>Significant items recorded in Canaccord Genuity</t>
  </si>
  <si>
    <t>6 months Ended</t>
  </si>
  <si>
    <t>Share of profit of an associate</t>
  </si>
  <si>
    <t>Canaccord</t>
  </si>
  <si>
    <t>W</t>
  </si>
  <si>
    <t xml:space="preserve">  Canaccord</t>
  </si>
  <si>
    <t>Genuity Wealth</t>
  </si>
  <si>
    <t>Corporate                and</t>
  </si>
  <si>
    <t>Genuity</t>
  </si>
  <si>
    <t>Management</t>
  </si>
  <si>
    <t>$</t>
  </si>
  <si>
    <t>Expenses, excluding undernoted</t>
  </si>
  <si>
    <t>Interest expense</t>
  </si>
  <si>
    <t>Segmented Note</t>
  </si>
  <si>
    <t>United States</t>
  </si>
  <si>
    <t>Acquisition related cost</t>
  </si>
  <si>
    <t>Results of Hargreave Hale are included beginning September 18, 2017</t>
  </si>
  <si>
    <t>Current portion of bank loan</t>
  </si>
  <si>
    <t>Bank loan</t>
  </si>
  <si>
    <t>Share of loss of an associate</t>
  </si>
  <si>
    <t xml:space="preserve">Canaccord Genuity Wealth Management statement of operations </t>
  </si>
  <si>
    <t>Deferred consideration</t>
  </si>
  <si>
    <t xml:space="preserve">    Impairment of goodwill and other assets</t>
  </si>
  <si>
    <t>Due to rounding or calculation of the dilutive impact of share issuance commitments included in the quarterly and year to date EPS figures, the sum of the quarterly earnings (loss) per common share figures may not equal the year to date earnings (loss) per share.</t>
  </si>
  <si>
    <t>FY 18</t>
  </si>
  <si>
    <t>LTIP acceleration</t>
  </si>
  <si>
    <t>Total compensation as % of revenue</t>
  </si>
  <si>
    <t>Effective as of March 31, 2018, the long-term incenitve plan (LTIP) was changed to remove certain employment-related conditions for the vesting of RSU awards made as part of the normal course incentive payment cycle.</t>
  </si>
  <si>
    <t>The change led to the acceleration of the remaining expense for certain awards made under the LTIP which had not been fully amortized as of March 31, 2018.</t>
  </si>
  <si>
    <t xml:space="preserve">As a result of this change, the costs of RSUs granted as part of the normal incentive compensation payment cycle will be expensed in the period in which those awards are deemed to be earned, instead of recognizing the costs over the vesting period.  </t>
  </si>
  <si>
    <t>Average outstanding - basic, adjusted</t>
  </si>
  <si>
    <r>
      <t xml:space="preserve">Average diluted, adjusted </t>
    </r>
    <r>
      <rPr>
        <vertAlign val="superscript"/>
        <sz val="9"/>
        <rFont val="Arial"/>
        <family val="2"/>
      </rPr>
      <t>(8)</t>
    </r>
  </si>
  <si>
    <t>Total assets under administration, management &amp; management contract</t>
  </si>
  <si>
    <t>considered by management to reflect a singular charge of a non-operating nature.</t>
  </si>
  <si>
    <t>LTIP Plan as recorded with effect on March 31, 2018,certain incentive based payments related to the acquisition of Hargreave Hale, as well as certain expense items, typically included in development costs, which are</t>
  </si>
  <si>
    <t xml:space="preserve">relation to both prospective and completed acquisitions, gains or losses related to business disposals including recognition of translation gains on the disposal of foreign operations,  certain accounting charges related to the change in the Company's </t>
  </si>
  <si>
    <t>UK &amp; Dubai</t>
  </si>
  <si>
    <t>UK &amp; Europe</t>
  </si>
  <si>
    <t>Others</t>
  </si>
  <si>
    <t>Wealth Management</t>
  </si>
  <si>
    <t>Check</t>
  </si>
  <si>
    <t>CG</t>
  </si>
  <si>
    <t>WM</t>
  </si>
  <si>
    <t>Corporate &amp; Other</t>
  </si>
  <si>
    <t>Q4/19</t>
  </si>
  <si>
    <t>Q3/19</t>
  </si>
  <si>
    <t>Q2/19</t>
  </si>
  <si>
    <t>Q1/19</t>
  </si>
  <si>
    <t>FY19</t>
  </si>
  <si>
    <t>FY19 vs FY18</t>
  </si>
  <si>
    <t>Note: Please find notes on Page 15.</t>
  </si>
  <si>
    <t>2018</t>
  </si>
  <si>
    <t xml:space="preserve">Business segment results </t>
  </si>
  <si>
    <t>Business segment results</t>
  </si>
  <si>
    <t>Results of Jitneytrade and Finlogik Inc. are included beginning June 6, 2018.</t>
  </si>
  <si>
    <t xml:space="preserve">Incentive compensation expense is comprised of both share-based and non-share based incentive compensation expense.  Share-based compensation expense consists of amortization of RSU awards granted under our LTIP plan, amortization of </t>
  </si>
  <si>
    <t xml:space="preserve">our forgivable share loans plans, as well as other share-based awards.  </t>
  </si>
  <si>
    <t xml:space="preserve">       Acquisition-related costs</t>
  </si>
  <si>
    <t>Results of Hargreave Hale are included beginning September 18, 2017 in Canaccord Genuity Wealth Management UK &amp; Europe and results of Jitneytrade and Finlogik Inc. are included since June 6, 2018 in Canaccord Genuity Canada</t>
  </si>
  <si>
    <t>Results of Hargreave Hale are included beginning September 18, 2017 in Canaccord Genuity Wealth Management UK &amp; Europe and results of Jitneytrade and Finlogik Inc. are included beginning June 6, 2018 in Canaccord Genuity Canada</t>
  </si>
  <si>
    <t>Current QTD</t>
  </si>
  <si>
    <t>LY QTD</t>
  </si>
  <si>
    <t>Prev LY QTD</t>
  </si>
  <si>
    <t>Months</t>
  </si>
  <si>
    <t xml:space="preserve">     Share of loss of an associate</t>
  </si>
  <si>
    <r>
      <t xml:space="preserve">Canaccord Genuity Wealth Management North America </t>
    </r>
    <r>
      <rPr>
        <b/>
        <vertAlign val="superscript"/>
        <sz val="11"/>
        <color theme="1"/>
        <rFont val="Times New Roman"/>
        <family val="1"/>
      </rPr>
      <t>(1)</t>
    </r>
  </si>
  <si>
    <r>
      <t xml:space="preserve">Canaccord Genuity Wealth Management UK &amp; Europe </t>
    </r>
    <r>
      <rPr>
        <b/>
        <vertAlign val="superscript"/>
        <sz val="11"/>
        <color theme="1"/>
        <rFont val="Times New Roman"/>
        <family val="1"/>
      </rPr>
      <t>(1)</t>
    </r>
  </si>
  <si>
    <r>
      <t>Corporate and Other</t>
    </r>
    <r>
      <rPr>
        <b/>
        <vertAlign val="superscript"/>
        <sz val="11"/>
        <color theme="1"/>
        <rFont val="Times New Roman"/>
        <family val="1"/>
      </rPr>
      <t xml:space="preserve"> (1)</t>
    </r>
  </si>
  <si>
    <t>Corporate            and</t>
  </si>
  <si>
    <t>Corporate              and</t>
  </si>
  <si>
    <t>three months</t>
  </si>
  <si>
    <t xml:space="preserve">June 30, </t>
  </si>
  <si>
    <t>―</t>
  </si>
  <si>
    <t>Equity Pick Up</t>
  </si>
  <si>
    <t>canaccord genuity revene excludes ofl</t>
  </si>
  <si>
    <t>For the Six months ended</t>
  </si>
  <si>
    <t>Loss on debt financing</t>
  </si>
  <si>
    <t xml:space="preserve">     Loss on debt financing</t>
  </si>
  <si>
    <t>Loss on extinguishment of convertible debentures</t>
  </si>
  <si>
    <t>CG Total YTD - FY18</t>
  </si>
  <si>
    <t>CG Total YTD - FY19</t>
  </si>
  <si>
    <t>Percentage</t>
  </si>
  <si>
    <t>Dividends</t>
  </si>
  <si>
    <t>Promissory note</t>
  </si>
  <si>
    <t xml:space="preserve">This is the diluted common share number used to calculate book value per diluted share.  As such it includes amounts in respect of share issuance commitments including options, warrants and convertible debentures as applicable, and a promissory note issued as </t>
  </si>
  <si>
    <t>purchase consideration.</t>
  </si>
  <si>
    <t>Financial results are expressed in C$ thousands, except for assets under administration, assets under management, preferred share information, common share information, dividends, number of employees, number of Advisory Teams,</t>
  </si>
  <si>
    <t>Assets under management in Canada are assets managed on discretionary basis under our programs generally described as or known as the Complete Canaccord Investment Counseling Program and the Complete Canaccord Private Investment Management Program</t>
  </si>
  <si>
    <t xml:space="preserve">Book value per diluted share is calculated as total common shareholders' equity adjusted for assumed proceeds from the exercise of options, warrants, settlement of the promissory note issued as purchase consideration in shares at the Company's option, </t>
  </si>
  <si>
    <t>and conversion of convertible debentures divided by the number of diluted common shares which will then be outstanding.</t>
  </si>
  <si>
    <t xml:space="preserve">Significant items include restructuring costs, amortization of intangible assets acquired in connection with a business combination, impairment of goodwill and other assets, acquisition-related expense items, which include costs recognized in </t>
  </si>
  <si>
    <t xml:space="preserve">A company listed on AIM is required to retain a Nominated Adviser (commonly referred to as a Nomad).  Nominated Advisers are responsible, amongst other duties, for warranting that a company is appropriate for joining AIM.  </t>
  </si>
  <si>
    <t>The operating results of the Australian operations have been fully consolidated since November 1, 2011.  The Company owns 80% of the issued shares, but for accounting purposes, the Company is considered to have an 85% interest .</t>
  </si>
  <si>
    <t>because of the shares held in a trust controlled by Canaccord Financial Group (Australia) Pty Ltd.  [November 1, 2011 to December 31, 2014 - 50%, January 1, 2015 to December 31, 2015 - 60%, January 1, 2016 to August 10, 2018 - 58%].   Non-controlling interests have been recognized</t>
  </si>
  <si>
    <t>The Company disposed of 100% of its shares in Canaccord Genuity Singapore Pte Ltd. as of June 30, 2016.</t>
  </si>
  <si>
    <t>Three months ended December 31</t>
  </si>
  <si>
    <t>Nine months ended December 31</t>
  </si>
  <si>
    <t xml:space="preserve">YTD FY 2019 vs. FY 2018 </t>
  </si>
  <si>
    <t xml:space="preserve">        Incentive compensation </t>
  </si>
  <si>
    <t xml:space="preserve">        Other overhead expenses (3)</t>
  </si>
  <si>
    <t xml:space="preserve">     Loss on extinguishment of convertible debentures</t>
  </si>
  <si>
    <r>
      <t xml:space="preserve">Book value per diluted common share </t>
    </r>
    <r>
      <rPr>
        <vertAlign val="superscript"/>
        <sz val="9"/>
        <color rgb="FFFF0000"/>
        <rFont val="Times New Roman"/>
        <family val="1"/>
      </rPr>
      <t>(5)</t>
    </r>
  </si>
  <si>
    <r>
      <t>Excluding significant items</t>
    </r>
    <r>
      <rPr>
        <vertAlign val="superscript"/>
        <sz val="8"/>
        <rFont val="Times New Roman"/>
        <family val="1"/>
      </rPr>
      <t>(6)</t>
    </r>
  </si>
  <si>
    <r>
      <t>Third quarter and year-to-date fiscal 2019 summary data</t>
    </r>
    <r>
      <rPr>
        <b/>
        <vertAlign val="superscript"/>
        <sz val="11"/>
        <rFont val="Times New Roman"/>
        <family val="1"/>
      </rPr>
      <t xml:space="preserve"> (1) (2) (7)</t>
    </r>
  </si>
  <si>
    <t xml:space="preserve">           Loss on extinguishment of convertible debentures</t>
  </si>
  <si>
    <t xml:space="preserve">          Acquisition-related costs</t>
  </si>
  <si>
    <t xml:space="preserve">          Amortization of intangible assets</t>
  </si>
  <si>
    <t xml:space="preserve">Commissions and fees     </t>
  </si>
  <si>
    <t xml:space="preserve">Investment banking     </t>
  </si>
  <si>
    <t xml:space="preserve">Advisory fees     </t>
  </si>
  <si>
    <t xml:space="preserve">Principal trading     </t>
  </si>
  <si>
    <t xml:space="preserve">Interest     </t>
  </si>
  <si>
    <t xml:space="preserve">Other     </t>
  </si>
  <si>
    <t xml:space="preserve">Assets under management in Australia and assets under management in UK and Europe are the market value of client assets managed and administered by Canaccord, from which Canaccord earns commissions or fees.  </t>
  </si>
  <si>
    <t>Restructuring costs (2)</t>
  </si>
  <si>
    <t xml:space="preserve">          Restructuring costs (2)</t>
  </si>
  <si>
    <t xml:space="preserve">          Incentive based costs related to acquisition (3)</t>
  </si>
  <si>
    <t>QTD Q3/19 vs. Q3/18</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</si>
  <si>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</si>
  <si>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</si>
  <si>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Supplementary Information Excluding Significant Items (Non-IFRS) </t>
    </r>
    <r>
      <rPr>
        <b/>
        <i/>
        <vertAlign val="superscript"/>
        <sz val="10"/>
        <rFont val="Arial"/>
        <family val="2"/>
      </rPr>
      <t xml:space="preserve">(12) </t>
    </r>
  </si>
  <si>
    <r>
      <rPr>
        <b/>
        <i/>
        <sz val="12"/>
        <rFont val="Arial"/>
        <family val="2"/>
      </rPr>
      <t>Condensed Consolidated Statement of Operations</t>
    </r>
    <r>
      <rPr>
        <sz val="9"/>
        <rFont val="Arial"/>
        <family val="2"/>
      </rPr>
      <t xml:space="preserve"> </t>
    </r>
    <r>
      <rPr>
        <vertAlign val="superscript"/>
        <sz val="9"/>
        <rFont val="Arial"/>
        <family val="2"/>
      </rPr>
      <t>(20)</t>
    </r>
  </si>
  <si>
    <r>
      <t xml:space="preserve">Incentive compensation </t>
    </r>
    <r>
      <rPr>
        <vertAlign val="superscript"/>
        <sz val="9"/>
        <rFont val="Arial"/>
        <family val="2"/>
      </rPr>
      <t xml:space="preserve">(10) </t>
    </r>
  </si>
  <si>
    <r>
      <t xml:space="preserve">Acceleration of long-term Incentive plan expense  </t>
    </r>
    <r>
      <rPr>
        <vertAlign val="superscript"/>
        <sz val="9"/>
        <rFont val="Arial"/>
        <family val="2"/>
      </rPr>
      <t xml:space="preserve">(31) </t>
    </r>
  </si>
  <si>
    <r>
      <t xml:space="preserve">Non-controlling interests </t>
    </r>
    <r>
      <rPr>
        <vertAlign val="superscript"/>
        <sz val="9"/>
        <rFont val="Arial"/>
        <family val="2"/>
      </rPr>
      <t>(20)</t>
    </r>
  </si>
  <si>
    <r>
      <t xml:space="preserve">Total compensation exp. as % of revenue </t>
    </r>
    <r>
      <rPr>
        <vertAlign val="superscript"/>
        <sz val="9"/>
        <rFont val="Arial"/>
        <family val="2"/>
      </rPr>
      <t>(11)</t>
    </r>
  </si>
  <si>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</si>
  <si>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</si>
  <si>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r>
      <t xml:space="preserve">Supplementary Information Excluding Significant Items (Non-IFRS ) </t>
    </r>
    <r>
      <rPr>
        <b/>
        <i/>
        <vertAlign val="superscript"/>
        <sz val="10"/>
        <rFont val="Arial"/>
        <family val="2"/>
      </rPr>
      <t xml:space="preserve">(12) </t>
    </r>
  </si>
  <si>
    <r>
      <t xml:space="preserve">Diluted earnings (loss) per common share </t>
    </r>
    <r>
      <rPr>
        <vertAlign val="superscript"/>
        <sz val="9"/>
        <rFont val="Arial"/>
        <family val="2"/>
      </rPr>
      <t>(24)</t>
    </r>
  </si>
  <si>
    <r>
      <rPr>
        <b/>
        <i/>
        <sz val="12"/>
        <rFont val="Arial"/>
        <family val="2"/>
      </rPr>
      <t>Condensed Statement of Operations</t>
    </r>
    <r>
      <rPr>
        <sz val="9"/>
        <rFont val="Arial"/>
        <family val="2"/>
      </rPr>
      <t xml:space="preserve"> </t>
    </r>
    <r>
      <rPr>
        <vertAlign val="superscript"/>
        <sz val="9"/>
        <rFont val="Arial"/>
        <family val="2"/>
      </rPr>
      <t>(20)(21)</t>
    </r>
  </si>
  <si>
    <r>
      <t xml:space="preserve">UK, Europe, and Dubai </t>
    </r>
    <r>
      <rPr>
        <vertAlign val="superscript"/>
        <sz val="9"/>
        <rFont val="Arial"/>
        <family val="2"/>
      </rPr>
      <t>(13)</t>
    </r>
  </si>
  <si>
    <r>
      <t xml:space="preserve">Income (loss) excluding Other Foreign Locations </t>
    </r>
    <r>
      <rPr>
        <b/>
        <vertAlign val="superscript"/>
        <sz val="9"/>
        <rFont val="Arial"/>
        <family val="2"/>
      </rPr>
      <t>(30)</t>
    </r>
  </si>
  <si>
    <r>
      <t xml:space="preserve">Other Foreign Locations </t>
    </r>
    <r>
      <rPr>
        <b/>
        <vertAlign val="superscript"/>
        <sz val="9"/>
        <rFont val="Arial"/>
        <family val="2"/>
      </rPr>
      <t>(19)(25)(26)</t>
    </r>
  </si>
  <si>
    <r>
      <t xml:space="preserve">Supplementary Information Excluding Significant Items (Non-IFRS) </t>
    </r>
    <r>
      <rPr>
        <b/>
        <i/>
        <vertAlign val="superscript"/>
        <sz val="10"/>
        <rFont val="Arial"/>
        <family val="2"/>
      </rPr>
      <t>(12)</t>
    </r>
  </si>
  <si>
    <r>
      <t>Facilitation losses</t>
    </r>
    <r>
      <rPr>
        <vertAlign val="superscript"/>
        <sz val="9"/>
        <rFont val="Arial"/>
        <family val="2"/>
      </rPr>
      <t xml:space="preserve"> (18)</t>
    </r>
  </si>
  <si>
    <r>
      <t xml:space="preserve">Condensed Statement of Operations </t>
    </r>
    <r>
      <rPr>
        <b/>
        <i/>
        <vertAlign val="superscript"/>
        <sz val="12"/>
        <rFont val="Arial"/>
        <family val="2"/>
      </rPr>
      <t>(28)</t>
    </r>
  </si>
  <si>
    <r>
      <t xml:space="preserve">Condensed Statement of Operations </t>
    </r>
    <r>
      <rPr>
        <b/>
        <i/>
        <vertAlign val="superscript"/>
        <sz val="12"/>
        <rFont val="Arial"/>
        <family val="2"/>
      </rPr>
      <t>(20)(21)(27)</t>
    </r>
  </si>
  <si>
    <r>
      <t xml:space="preserve">Incentive compensation </t>
    </r>
    <r>
      <rPr>
        <vertAlign val="superscript"/>
        <sz val="9"/>
        <rFont val="Arial"/>
        <family val="2"/>
      </rPr>
      <t>(10)</t>
    </r>
  </si>
  <si>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</si>
  <si>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</si>
  <si>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</si>
  <si>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</si>
  <si>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r>
      <t xml:space="preserve">Fee-related revenue </t>
    </r>
    <r>
      <rPr>
        <vertAlign val="superscript"/>
        <sz val="9"/>
        <rFont val="Arial"/>
        <family val="2"/>
      </rPr>
      <t>(14)</t>
    </r>
  </si>
  <si>
    <r>
      <t>Condensed Consolidated Statement of Financial Position</t>
    </r>
    <r>
      <rPr>
        <b/>
        <i/>
        <vertAlign val="superscript"/>
        <sz val="12"/>
        <rFont val="Arial"/>
        <family val="2"/>
      </rPr>
      <t xml:space="preserve">(20) </t>
    </r>
  </si>
  <si>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</si>
  <si>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</si>
  <si>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r>
      <t>Number of investment professionals and fund managers in UK and Europe</t>
    </r>
    <r>
      <rPr>
        <b/>
        <i/>
        <vertAlign val="superscript"/>
        <sz val="9"/>
        <rFont val="Arial"/>
        <family val="2"/>
      </rPr>
      <t>(22)</t>
    </r>
  </si>
  <si>
    <r>
      <t xml:space="preserve">Average currency conversion rate </t>
    </r>
    <r>
      <rPr>
        <vertAlign val="superscript"/>
        <sz val="9"/>
        <rFont val="Arial"/>
        <family val="2"/>
      </rPr>
      <t>(29)</t>
    </r>
  </si>
  <si>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</si>
  <si>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</si>
  <si>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</si>
  <si>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</si>
  <si>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Canaccord Genuity Capital Markets</t>
  </si>
  <si>
    <t>Canaccord Genuity Capital Markets Canada</t>
  </si>
  <si>
    <t>Canaccord Genuity Captial Markets US</t>
  </si>
  <si>
    <t>Canaccord Genuity Capital Markets UK, Europe, and Dubai</t>
  </si>
  <si>
    <t>Canaccord Genuity Capital Markets Australia</t>
  </si>
  <si>
    <t xml:space="preserve">Canaccord Genuity Capital Market's facilitation losses, which are included as part of commission revenue, are disclosed separately beginning Q1/11 as part of our transition to IFRS. </t>
  </si>
  <si>
    <t xml:space="preserve">Commencing in Q3/17, the operating results of Canaccord Genuity Capital Markets (Dubai) are included as Canaccord Genuity Capital Markets UK, Europe, and Dubai.   </t>
  </si>
  <si>
    <t>Q4 fiscal 2019</t>
  </si>
  <si>
    <t>Q4 fiscal 2018</t>
  </si>
  <si>
    <t>YTD Fiscal 2018</t>
  </si>
  <si>
    <t>Fourth Quarter Fiscal 2019</t>
  </si>
  <si>
    <t>For the period ended March 31, 2019</t>
  </si>
  <si>
    <t>Q4/19 vs. Q4/18</t>
  </si>
  <si>
    <t>12 months Ended</t>
  </si>
  <si>
    <t>FY 19</t>
  </si>
  <si>
    <t xml:space="preserve">This document is not audited and should be read in conjunction with the Annual Report dated June 5, 2019. Canaccord’s fiscal year end is defined as March 31st of each year. </t>
  </si>
  <si>
    <t>Other long-term liability</t>
  </si>
  <si>
    <r>
      <t xml:space="preserve">Loss on extinguishment of convertible debentures  </t>
    </r>
    <r>
      <rPr>
        <vertAlign val="superscript"/>
        <sz val="9"/>
        <rFont val="Arial"/>
        <family val="2"/>
      </rPr>
      <t xml:space="preserve">(32) </t>
    </r>
  </si>
  <si>
    <t xml:space="preserve">During Q2/19, there was an accounting loss of $13.5 million related to the extinguishment of the $60.0 million convertible unsecured subordinated debentures issued in October 2016.  </t>
  </si>
  <si>
    <t xml:space="preserve">This loss was adjusted to reflect directly in shareholders’ equity $4.9 million of the loss that was related to the conversion feature of the extinguished debentures. The adjustment had no impact on the calculation of the basic or diluted earnings per share.  </t>
  </si>
  <si>
    <t>n.m..</t>
  </si>
  <si>
    <t>Fiscal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</si>
</sst>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8" formatCode="&quot;$&quot;#,##0.00;[Red]\-&quot;$&quot;#,##0.00"/>
    <numFmt numFmtId="44" formatCode="_-&quot;$&quot;* #,##0.00_-;\-&quot;$&quot;* #,##0.00_-;_-&quot;$&quot;* &quot;-&quot;??_-;_-@_-"/>
    <numFmt numFmtId="43" formatCode="_-* #,##0.00_-;\-* #,##0.00_-;_-* &quot;-&quot;??_-;_-@_-"/>
    <numFmt numFmtId="164" formatCode="&quot;$&quot;#,##0_);[Red]\(&quot;$&quot;#,##0\)"/>
    <numFmt numFmtId="165" formatCode="_(&quot;$&quot;* #,##0.00_);_(&quot;$&quot;* \(#,##0.00\);_(&quot;$&quot;* &quot;-&quot;??_);_(@_)"/>
    <numFmt numFmtId="166" formatCode="_(* #,##0.00_);_(* \(#,##0.00\);_(* &quot;-&quot;??_);_(@_)"/>
    <numFmt numFmtId="167" formatCode="#,##0;\(#,##0\);\-&quot; &quot;"/>
    <numFmt numFmtId="168" formatCode="0.0%;\(0.0\)%;_(&quot;-&quot;"/>
    <numFmt numFmtId="169" formatCode="#,##0\ ;\(#,##0\);\-&quot; &quot;"/>
    <numFmt numFmtId="170" formatCode="#,##0.00\ ;\(#,##0.00\);\-&quot; &quot;"/>
    <numFmt numFmtId="171" formatCode="0.0%"/>
    <numFmt numFmtId="172" formatCode="0.000"/>
    <numFmt numFmtId="173" formatCode="#,##0.0\ ;\(#,##0.0\);\-&quot; &quot;"/>
    <numFmt numFmtId="174" formatCode="#,##0.000_);\(#,##0.000\)"/>
    <numFmt numFmtId="175" formatCode="_-* #,##0_-;\-* #,##0_-;_-* &quot;-&quot;??_-;_-@_-"/>
    <numFmt numFmtId="176" formatCode="0.0\ \p.\p.;\(0.0\)\ \p.\p.;_(&quot;-&quot;"/>
    <numFmt numFmtId="177" formatCode="#,##0.0\ ;\(#,##0\);\-&quot; &quot;"/>
    <numFmt numFmtId="178" formatCode="#,##0;\(#,##0\);&quot;-&quot;"/>
    <numFmt numFmtId="179" formatCode="_(* #,##0_);_(* \(#,##0\);_(* &quot;-&quot;??_);_(@_)"/>
    <numFmt numFmtId="180" formatCode="_-* #,##0.0000_-;\-* #,##0.0000_-;_-* &quot;-&quot;??_-;_-@_-"/>
    <numFmt numFmtId="181" formatCode="[$-F800]dddd\,\ mmmm\ dd\,\ yyyy"/>
    <numFmt numFmtId="182" formatCode="0.0000"/>
    <numFmt numFmtId="183" formatCode="0.00_);\(0.00\)"/>
    <numFmt numFmtId="184" formatCode="#,##0.00;[Red]\(#,##0.00\)"/>
    <numFmt numFmtId="185" formatCode="0_);\(0\)"/>
    <numFmt numFmtId="186" formatCode="_-* #,##0.000_-;\-* #,##0.000_-;_-* &quot;-&quot;??_-;_-@_-"/>
    <numFmt numFmtId="187" formatCode="_(* #,##0.0_);_(* \(#,##0.0\);_(* &quot;-&quot;??_);_(@_)"/>
    <numFmt numFmtId="188" formatCode="_(* #,##0.0000_);_(* \(#,##0.0000\);_(* &quot;-&quot;??_);_(@_)"/>
    <numFmt numFmtId="189" formatCode="[$-409]mmmm\ d\,\ yyyy;@"/>
    <numFmt numFmtId="190" formatCode="[$-1009]d\-mmm\-yy;@"/>
    <numFmt numFmtId="191" formatCode="0.0\ \p.\p;\ \(0.0\)\ \p.\p"/>
    <numFmt numFmtId="192" formatCode="#,##0.000;\-#,##0.000"/>
    <numFmt numFmtId="193" formatCode="0.0\ \p.\p.;\ \(0.0\)\ \p.\p."/>
    <numFmt numFmtId="194" formatCode="_(* #,##0.000000_);_(* \(#,##0.000000\);_(* &quot;-&quot;??_);_(@_)"/>
  </numFmts>
  <fonts count="153"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sz val="9"/>
      <color indexed="10"/>
      <name val="Arial"/>
      <family val="2"/>
    </font>
    <font>
      <sz val="8"/>
      <color indexed="81"/>
      <name val="Tahoma"/>
      <family val="2"/>
    </font>
    <font>
      <b/>
      <i/>
      <vertAlign val="superscript"/>
      <sz val="12"/>
      <name val="Arial"/>
      <family val="2"/>
    </font>
    <font>
      <i/>
      <sz val="10"/>
      <name val="Arial"/>
      <family val="2"/>
    </font>
    <font>
      <b/>
      <sz val="9"/>
      <name val="Arial"/>
      <family val="2"/>
    </font>
    <font>
      <sz val="12"/>
      <name val="Arial"/>
      <family val="2"/>
    </font>
    <font>
      <sz val="10"/>
      <name val="Arial"/>
      <family val="2"/>
    </font>
    <font>
      <sz val="10"/>
      <name val="Arial"/>
      <family val="2"/>
    </font>
    <font>
      <b/>
      <sz val="8"/>
      <color indexed="81"/>
      <name val="Tahoma"/>
      <family val="2"/>
    </font>
    <font>
      <b/>
      <sz val="9"/>
      <name val="Times New Roman"/>
      <family val="1"/>
    </font>
    <font>
      <sz val="9"/>
      <name val="Times New Roman"/>
      <family val="1"/>
    </font>
    <font>
      <sz val="10"/>
      <name val="Arial"/>
      <family val="2"/>
    </font>
    <font>
      <sz val="10"/>
      <color rgb="FFFF0000"/>
      <name val="Arial"/>
      <family val="2"/>
    </font>
    <font>
      <sz val="10"/>
      <name val="Arial"/>
      <family val="2"/>
    </font>
    <font>
      <sz val="10"/>
      <name val="Arial"/>
      <family val="2"/>
    </font>
    <font>
      <b/>
      <sz val="10"/>
      <color rgb="FFFF0000"/>
      <name val="Arial"/>
      <family val="2"/>
    </font>
    <font>
      <b/>
      <i/>
      <vertAlign val="superscript"/>
      <sz val="9"/>
      <name val="Arial"/>
      <family val="2"/>
    </font>
    <font>
      <i/>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color theme="1"/>
      <name val="Calibri"/>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
      <b/>
      <sz val="12"/>
      <name val="Times New Roman"/>
      <family val="1"/>
    </font>
    <font>
      <b/>
      <vertAlign val="superscript"/>
      <sz val="12"/>
      <name val="Times New Roman"/>
      <family val="1"/>
    </font>
    <font>
      <i/>
      <sz val="9"/>
      <name val="Times New Roman"/>
      <family val="1"/>
    </font>
    <font>
      <i/>
      <vertAlign val="superscript"/>
      <sz val="9"/>
      <name val="Times New Roman"/>
      <family val="1"/>
    </font>
    <font>
      <sz val="9"/>
      <color rgb="FF000000"/>
      <name val="Times New Roman"/>
      <family val="1"/>
    </font>
    <font>
      <b/>
      <sz val="11"/>
      <name val="Times New Roman"/>
      <family val="1"/>
    </font>
    <font>
      <b/>
      <vertAlign val="superscript"/>
      <sz val="11"/>
      <name val="Times New Roman"/>
      <family val="1"/>
    </font>
    <font>
      <b/>
      <vertAlign val="superscript"/>
      <sz val="10"/>
      <name val="Times New Roman"/>
      <family val="1"/>
    </font>
    <font>
      <sz val="8"/>
      <name val="Times New Roman"/>
      <family val="1"/>
    </font>
    <font>
      <b/>
      <sz val="8"/>
      <name val="Times New Roman"/>
      <family val="1"/>
    </font>
    <font>
      <vertAlign val="superscript"/>
      <sz val="9"/>
      <name val="Times New Roman"/>
      <family val="1"/>
    </font>
    <font>
      <vertAlign val="superscript"/>
      <sz val="8"/>
      <name val="Times New Roman"/>
      <family val="1"/>
    </font>
    <font>
      <b/>
      <sz val="10"/>
      <name val="Times New Roman"/>
      <family val="1"/>
    </font>
    <font>
      <b/>
      <i/>
      <sz val="13"/>
      <name val="Times New Roman"/>
      <family val="1"/>
    </font>
    <font>
      <b/>
      <i/>
      <vertAlign val="superscript"/>
      <sz val="13"/>
      <name val="Times New Roman"/>
      <family val="1"/>
    </font>
    <font>
      <b/>
      <vertAlign val="superscript"/>
      <sz val="9"/>
      <name val="Times New Roman"/>
      <family val="1"/>
    </font>
    <font>
      <b/>
      <i/>
      <vertAlign val="superscript"/>
      <sz val="8"/>
      <name val="Times New Roman"/>
      <family val="1"/>
    </font>
    <font>
      <sz val="11"/>
      <name val="Times New Roman"/>
      <family val="1"/>
    </font>
    <font>
      <b/>
      <sz val="10"/>
      <color rgb="FF000000"/>
      <name val="Calibri"/>
      <family val="2"/>
    </font>
    <font>
      <b/>
      <sz val="12"/>
      <color theme="1"/>
      <name val="Times New Roman"/>
      <family val="1"/>
    </font>
    <font>
      <b/>
      <sz val="11"/>
      <color theme="1"/>
      <name val="Times New Roman"/>
      <family val="1"/>
    </font>
    <font>
      <b/>
      <vertAlign val="superscript"/>
      <sz val="11"/>
      <color theme="1"/>
      <name val="Times New Roman"/>
      <family val="1"/>
    </font>
    <font>
      <sz val="10"/>
      <color theme="1"/>
      <name val="Times New Roman"/>
      <family val="1"/>
    </font>
    <font>
      <b/>
      <sz val="10"/>
      <color theme="1"/>
      <name val="Calibri"/>
      <family val="2"/>
    </font>
    <font>
      <sz val="8"/>
      <color theme="4" tint="-0.249977111117893"/>
      <name val="Times New Roman"/>
      <family val="1"/>
    </font>
    <font>
      <sz val="8"/>
      <color theme="4" tint="-0.249977111117893"/>
      <name val="Calibri"/>
      <family val="2"/>
    </font>
    <font>
      <sz val="9"/>
      <color theme="1"/>
      <name val="Calibri"/>
      <family val="2"/>
    </font>
    <font>
      <sz val="8"/>
      <color theme="4" tint="-0.249977111117893"/>
      <name val="Franklin Gothic Book"/>
      <family val="2"/>
    </font>
    <font>
      <sz val="12"/>
      <color theme="1"/>
      <name val="Times New Roman"/>
      <family val="1"/>
    </font>
    <font>
      <b/>
      <sz val="8"/>
      <color theme="4" tint="-0.249977111117893"/>
      <name val="Calibri"/>
      <family val="2"/>
    </font>
    <font>
      <vertAlign val="superscript"/>
      <sz val="9"/>
      <color rgb="FFFF0000"/>
      <name val="Times New Roman"/>
      <family val="1"/>
    </font>
    <font>
      <sz val="9"/>
      <color theme="1"/>
      <name val="Times New Roman"/>
      <family val="1"/>
    </font>
    <font>
      <b/>
      <sz val="8"/>
      <color theme="1"/>
      <name val="Times New Roman"/>
      <family val="1"/>
    </font>
    <font>
      <sz val="8"/>
      <color theme="1"/>
      <name val="Times New Roman"/>
      <family val="1"/>
    </font>
    <font>
      <u val="singleAccounting"/>
      <sz val="9"/>
      <name val="Times New Roman"/>
      <family val="1"/>
    </font>
    <font>
      <b/>
      <sz val="10"/>
      <color rgb="FFFF0000"/>
      <name val="Times New Roman"/>
      <family val="1"/>
    </font>
  </fonts>
  <fills count="5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72">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double">
        <color indexed="64"/>
      </bottom>
      <diagonal/>
    </border>
    <border>
      <left/>
      <right/>
      <top style="thick">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double">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tted">
        <color indexed="64"/>
      </bottom>
      <diagonal/>
    </border>
    <border>
      <left/>
      <right/>
      <top style="medium">
        <color indexed="64"/>
      </top>
      <bottom style="medium">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bottom style="hair">
        <color indexed="64"/>
      </bottom>
      <diagonal/>
    </border>
    <border>
      <left/>
      <right/>
      <top style="hair">
        <color auto="1"/>
      </top>
      <bottom style="hair">
        <color auto="1"/>
      </bottom>
      <diagonal/>
    </border>
    <border>
      <left/>
      <right/>
      <top/>
      <bottom style="hair">
        <color auto="1"/>
      </bottom>
      <diagonal/>
    </border>
    <border>
      <left style="medium">
        <color indexed="64"/>
      </left>
      <right/>
      <top/>
      <bottom style="hair">
        <color indexed="64"/>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ck">
        <color indexed="64"/>
      </bottom>
      <diagonal/>
    </border>
    <border>
      <left/>
      <right style="medium">
        <color indexed="64"/>
      </right>
      <top/>
      <bottom style="dotted">
        <color indexed="64"/>
      </bottom>
      <diagonal/>
    </border>
  </borders>
  <cellStyleXfs count="2916">
    <xf numFmtId="181" fontId="0" fillId="0" borderId="0"/>
    <xf numFmtId="166" fontId="12" fillId="0" borderId="0" applyFont="0" applyFill="0" applyBorder="0" applyAlignment="0" applyProtection="0"/>
    <xf numFmtId="166" fontId="45" fillId="0" borderId="0" applyFont="0" applyFill="0" applyBorder="0" applyAlignment="0" applyProtection="0"/>
    <xf numFmtId="166" fontId="33" fillId="0" borderId="0" applyFont="0" applyFill="0" applyBorder="0" applyAlignment="0" applyProtection="0"/>
    <xf numFmtId="43" fontId="12" fillId="0" borderId="0" applyFont="0" applyFill="0" applyBorder="0" applyAlignment="0" applyProtection="0"/>
    <xf numFmtId="181" fontId="25" fillId="0" borderId="0" applyNumberFormat="0" applyFill="0" applyBorder="0" applyAlignment="0" applyProtection="0">
      <alignment vertical="top"/>
      <protection locked="0"/>
    </xf>
    <xf numFmtId="181" fontId="33" fillId="0" borderId="0"/>
    <xf numFmtId="9" fontId="12" fillId="0" borderId="0" applyFont="0" applyFill="0" applyBorder="0" applyAlignment="0" applyProtection="0"/>
    <xf numFmtId="9" fontId="45" fillId="0" borderId="0" applyFont="0" applyFill="0" applyBorder="0" applyAlignment="0" applyProtection="0"/>
    <xf numFmtId="9" fontId="33" fillId="0" borderId="0" applyFont="0" applyFill="0" applyBorder="0" applyAlignment="0" applyProtection="0"/>
    <xf numFmtId="166" fontId="50" fillId="0" borderId="0" applyFont="0" applyFill="0" applyBorder="0" applyAlignment="0" applyProtection="0"/>
    <xf numFmtId="9" fontId="50"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81" fontId="12" fillId="0" borderId="0"/>
    <xf numFmtId="9" fontId="12" fillId="0" borderId="0" applyFont="0" applyFill="0" applyBorder="0" applyAlignment="0" applyProtection="0"/>
    <xf numFmtId="9" fontId="12" fillId="0" borderId="0" applyFont="0" applyFill="0" applyBorder="0" applyAlignment="0" applyProtection="0"/>
    <xf numFmtId="166" fontId="12" fillId="0" borderId="0" applyFont="0" applyFill="0" applyBorder="0" applyAlignment="0" applyProtection="0"/>
    <xf numFmtId="9" fontId="12" fillId="0" borderId="0" applyFont="0" applyFill="0" applyBorder="0" applyAlignment="0" applyProtection="0"/>
    <xf numFmtId="181" fontId="12" fillId="0" borderId="0"/>
    <xf numFmtId="181" fontId="25" fillId="0" borderId="0" applyNumberFormat="0" applyFill="0" applyBorder="0" applyAlignment="0" applyProtection="0">
      <alignment vertical="top"/>
      <protection locked="0"/>
    </xf>
    <xf numFmtId="181" fontId="12" fillId="0" borderId="0"/>
    <xf numFmtId="181" fontId="25" fillId="0" borderId="0" applyNumberFormat="0" applyFill="0" applyBorder="0" applyAlignment="0" applyProtection="0">
      <alignment vertical="top"/>
      <protection locked="0"/>
    </xf>
    <xf numFmtId="181" fontId="52" fillId="0" borderId="0"/>
    <xf numFmtId="181" fontId="25" fillId="0" borderId="0" applyNumberFormat="0" applyFill="0" applyBorder="0" applyAlignment="0" applyProtection="0">
      <alignment vertical="top"/>
      <protection locked="0"/>
    </xf>
    <xf numFmtId="181" fontId="12" fillId="0" borderId="0"/>
    <xf numFmtId="181" fontId="53" fillId="0" borderId="0"/>
    <xf numFmtId="43" fontId="53" fillId="0" borderId="0" applyFont="0" applyFill="0" applyBorder="0" applyAlignment="0" applyProtection="0"/>
    <xf numFmtId="181" fontId="53" fillId="0" borderId="0"/>
    <xf numFmtId="181" fontId="12" fillId="0" borderId="0"/>
    <xf numFmtId="181" fontId="12" fillId="0" borderId="0"/>
    <xf numFmtId="43" fontId="12" fillId="0" borderId="0" applyFont="0" applyFill="0" applyBorder="0" applyAlignment="0" applyProtection="0"/>
    <xf numFmtId="181" fontId="12" fillId="0" borderId="0"/>
    <xf numFmtId="0" fontId="57" fillId="0" borderId="0" applyNumberFormat="0" applyFill="0" applyBorder="0" applyAlignment="0" applyProtection="0"/>
    <xf numFmtId="0" fontId="58" fillId="0" borderId="35" applyNumberFormat="0" applyFill="0" applyAlignment="0" applyProtection="0"/>
    <xf numFmtId="0" fontId="59" fillId="0" borderId="36" applyNumberFormat="0" applyFill="0" applyAlignment="0" applyProtection="0"/>
    <xf numFmtId="0" fontId="60" fillId="0" borderId="37" applyNumberFormat="0" applyFill="0" applyAlignment="0" applyProtection="0"/>
    <xf numFmtId="0" fontId="60" fillId="0" borderId="0" applyNumberFormat="0" applyFill="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0" applyNumberFormat="0" applyBorder="0" applyAlignment="0" applyProtection="0"/>
    <xf numFmtId="0" fontId="64" fillId="8" borderId="38" applyNumberFormat="0" applyAlignment="0" applyProtection="0"/>
    <xf numFmtId="0" fontId="65" fillId="9" borderId="39" applyNumberFormat="0" applyAlignment="0" applyProtection="0"/>
    <xf numFmtId="0" fontId="66" fillId="9" borderId="38" applyNumberFormat="0" applyAlignment="0" applyProtection="0"/>
    <xf numFmtId="0" fontId="67" fillId="0" borderId="40" applyNumberFormat="0" applyFill="0" applyAlignment="0" applyProtection="0"/>
    <xf numFmtId="0" fontId="68" fillId="10" borderId="41"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43" applyNumberFormat="0" applyFill="0" applyAlignment="0" applyProtection="0"/>
    <xf numFmtId="0" fontId="72"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72" fillId="23" borderId="0" applyNumberFormat="0" applyBorder="0" applyAlignment="0" applyProtection="0"/>
    <xf numFmtId="0" fontId="72"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72" fillId="27" borderId="0" applyNumberFormat="0" applyBorder="0" applyAlignment="0" applyProtection="0"/>
    <xf numFmtId="0" fontId="72"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72" fillId="31" borderId="0" applyNumberFormat="0" applyBorder="0" applyAlignment="0" applyProtection="0"/>
    <xf numFmtId="0" fontId="72"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72" fillId="35" borderId="0" applyNumberFormat="0" applyBorder="0" applyAlignment="0" applyProtection="0"/>
    <xf numFmtId="0" fontId="11" fillId="0" borderId="0"/>
    <xf numFmtId="0" fontId="11" fillId="11" borderId="42" applyNumberFormat="0" applyFont="0" applyAlignment="0" applyProtection="0"/>
    <xf numFmtId="0" fontId="12" fillId="0" borderId="0"/>
    <xf numFmtId="0" fontId="73" fillId="0" borderId="0"/>
    <xf numFmtId="181" fontId="12" fillId="0" borderId="0"/>
    <xf numFmtId="181" fontId="75" fillId="36" borderId="0" applyNumberFormat="0" applyBorder="0" applyAlignment="0" applyProtection="0"/>
    <xf numFmtId="181" fontId="75" fillId="37" borderId="0" applyNumberFormat="0" applyBorder="0" applyAlignment="0" applyProtection="0"/>
    <xf numFmtId="181" fontId="75" fillId="38" borderId="0" applyNumberFormat="0" applyBorder="0" applyAlignment="0" applyProtection="0"/>
    <xf numFmtId="181" fontId="75" fillId="39" borderId="0" applyNumberFormat="0" applyBorder="0" applyAlignment="0" applyProtection="0"/>
    <xf numFmtId="181" fontId="75" fillId="40" borderId="0" applyNumberFormat="0" applyBorder="0" applyAlignment="0" applyProtection="0"/>
    <xf numFmtId="181" fontId="75" fillId="41" borderId="0" applyNumberFormat="0" applyBorder="0" applyAlignment="0" applyProtection="0"/>
    <xf numFmtId="181" fontId="75" fillId="42" borderId="0" applyNumberFormat="0" applyBorder="0" applyAlignment="0" applyProtection="0"/>
    <xf numFmtId="181" fontId="75" fillId="43" borderId="0" applyNumberFormat="0" applyBorder="0" applyAlignment="0" applyProtection="0"/>
    <xf numFmtId="181" fontId="75" fillId="44" borderId="0" applyNumberFormat="0" applyBorder="0" applyAlignment="0" applyProtection="0"/>
    <xf numFmtId="181" fontId="75" fillId="39" borderId="0" applyNumberFormat="0" applyBorder="0" applyAlignment="0" applyProtection="0"/>
    <xf numFmtId="181" fontId="75" fillId="42" borderId="0" applyNumberFormat="0" applyBorder="0" applyAlignment="0" applyProtection="0"/>
    <xf numFmtId="181" fontId="75" fillId="45" borderId="0" applyNumberFormat="0" applyBorder="0" applyAlignment="0" applyProtection="0"/>
    <xf numFmtId="181" fontId="76" fillId="46" borderId="0" applyNumberFormat="0" applyBorder="0" applyAlignment="0" applyProtection="0"/>
    <xf numFmtId="181" fontId="76" fillId="43" borderId="0" applyNumberFormat="0" applyBorder="0" applyAlignment="0" applyProtection="0"/>
    <xf numFmtId="181" fontId="76" fillId="44" borderId="0" applyNumberFormat="0" applyBorder="0" applyAlignment="0" applyProtection="0"/>
    <xf numFmtId="181" fontId="76" fillId="47" borderId="0" applyNumberFormat="0" applyBorder="0" applyAlignment="0" applyProtection="0"/>
    <xf numFmtId="181" fontId="76" fillId="48" borderId="0" applyNumberFormat="0" applyBorder="0" applyAlignment="0" applyProtection="0"/>
    <xf numFmtId="181" fontId="76" fillId="49" borderId="0" applyNumberFormat="0" applyBorder="0" applyAlignment="0" applyProtection="0"/>
    <xf numFmtId="181" fontId="76" fillId="50" borderId="0" applyNumberFormat="0" applyBorder="0" applyAlignment="0" applyProtection="0"/>
    <xf numFmtId="181" fontId="76" fillId="51" borderId="0" applyNumberFormat="0" applyBorder="0" applyAlignment="0" applyProtection="0"/>
    <xf numFmtId="181" fontId="76" fillId="52" borderId="0" applyNumberFormat="0" applyBorder="0" applyAlignment="0" applyProtection="0"/>
    <xf numFmtId="181" fontId="76" fillId="47" borderId="0" applyNumberFormat="0" applyBorder="0" applyAlignment="0" applyProtection="0"/>
    <xf numFmtId="181" fontId="76" fillId="48" borderId="0" applyNumberFormat="0" applyBorder="0" applyAlignment="0" applyProtection="0"/>
    <xf numFmtId="181" fontId="76" fillId="53" borderId="0" applyNumberFormat="0" applyBorder="0" applyAlignment="0" applyProtection="0"/>
    <xf numFmtId="181" fontId="77" fillId="37" borderId="0" applyNumberFormat="0" applyBorder="0" applyAlignment="0" applyProtection="0"/>
    <xf numFmtId="181" fontId="78" fillId="54" borderId="47" applyNumberFormat="0" applyAlignment="0" applyProtection="0"/>
    <xf numFmtId="181" fontId="79" fillId="55" borderId="48" applyNumberFormat="0" applyAlignment="0" applyProtection="0"/>
    <xf numFmtId="38" fontId="80" fillId="0" borderId="0" applyFont="0" applyFill="0" applyBorder="0" applyAlignment="0" applyProtection="0"/>
    <xf numFmtId="38" fontId="80" fillId="0" borderId="0" applyFont="0" applyFill="0" applyBorder="0" applyAlignment="0" applyProtection="0"/>
    <xf numFmtId="40" fontId="80" fillId="0" borderId="0" applyFont="0" applyFill="0" applyBorder="0" applyAlignment="0" applyProtection="0"/>
    <xf numFmtId="40" fontId="8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0" fontId="80" fillId="0" borderId="0" applyFont="0" applyFill="0" applyBorder="0" applyAlignment="0" applyProtection="0"/>
    <xf numFmtId="43" fontId="81" fillId="0" borderId="0" applyFont="0" applyFill="0" applyBorder="0" applyAlignment="0" applyProtection="0"/>
    <xf numFmtId="40" fontId="80" fillId="0" borderId="0" applyFont="0" applyFill="0" applyBorder="0" applyAlignment="0" applyProtection="0"/>
    <xf numFmtId="40" fontId="80" fillId="0" borderId="0" applyFont="0" applyFill="0" applyBorder="0" applyAlignment="0" applyProtection="0"/>
    <xf numFmtId="40" fontId="8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8" fontId="80" fillId="0" borderId="0" applyFont="0" applyFill="0" applyBorder="0" applyAlignment="0" applyProtection="0"/>
    <xf numFmtId="8" fontId="80" fillId="0" borderId="0" applyFont="0" applyFill="0" applyBorder="0" applyAlignment="0" applyProtection="0"/>
    <xf numFmtId="181" fontId="82" fillId="0" borderId="0" applyNumberFormat="0" applyFill="0" applyBorder="0" applyAlignment="0" applyProtection="0"/>
    <xf numFmtId="181" fontId="83" fillId="38" borderId="0" applyNumberFormat="0" applyBorder="0" applyAlignment="0" applyProtection="0"/>
    <xf numFmtId="181" fontId="84" fillId="0" borderId="49" applyNumberFormat="0" applyFill="0" applyAlignment="0" applyProtection="0"/>
    <xf numFmtId="181" fontId="85" fillId="0" borderId="50" applyNumberFormat="0" applyFill="0" applyAlignment="0" applyProtection="0"/>
    <xf numFmtId="181" fontId="86" fillId="0" borderId="51" applyNumberFormat="0" applyFill="0" applyAlignment="0" applyProtection="0"/>
    <xf numFmtId="181" fontId="86" fillId="0" borderId="0" applyNumberFormat="0" applyFill="0" applyBorder="0" applyAlignment="0" applyProtection="0"/>
    <xf numFmtId="181" fontId="87" fillId="41" borderId="47" applyNumberFormat="0" applyAlignment="0" applyProtection="0"/>
    <xf numFmtId="181" fontId="88" fillId="0" borderId="52" applyNumberFormat="0" applyFill="0" applyAlignment="0" applyProtection="0"/>
    <xf numFmtId="181" fontId="89" fillId="56" borderId="0" applyNumberFormat="0" applyBorder="0" applyAlignment="0" applyProtection="0"/>
    <xf numFmtId="181" fontId="12" fillId="0" borderId="0"/>
    <xf numFmtId="181" fontId="12" fillId="0" borderId="0"/>
    <xf numFmtId="181" fontId="90" fillId="0" borderId="0"/>
    <xf numFmtId="181" fontId="17" fillId="0" borderId="0"/>
    <xf numFmtId="181" fontId="12" fillId="0" borderId="0"/>
    <xf numFmtId="0" fontId="11" fillId="0" borderId="0"/>
    <xf numFmtId="0" fontId="17" fillId="0" borderId="0"/>
    <xf numFmtId="181" fontId="12" fillId="57" borderId="53" applyNumberFormat="0" applyFont="0" applyAlignment="0" applyProtection="0"/>
    <xf numFmtId="0" fontId="11" fillId="11" borderId="42"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9" fontId="12"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181" fontId="92" fillId="0" borderId="0" applyNumberFormat="0" applyFill="0" applyBorder="0" applyAlignment="0" applyProtection="0"/>
    <xf numFmtId="181" fontId="93" fillId="0" borderId="55" applyNumberFormat="0" applyFill="0" applyAlignment="0" applyProtection="0"/>
    <xf numFmtId="181" fontId="94" fillId="0" borderId="0" applyNumberFormat="0" applyFill="0" applyBorder="0" applyAlignment="0" applyProtection="0"/>
    <xf numFmtId="0" fontId="73" fillId="0" borderId="0"/>
    <xf numFmtId="0" fontId="73" fillId="0" borderId="0"/>
    <xf numFmtId="0" fontId="12" fillId="0" borderId="0"/>
    <xf numFmtId="0" fontId="12" fillId="0" borderId="0"/>
    <xf numFmtId="0" fontId="12" fillId="0" borderId="0"/>
    <xf numFmtId="0" fontId="10" fillId="0" borderId="0"/>
    <xf numFmtId="0" fontId="96" fillId="0" borderId="35" applyNumberFormat="0" applyFill="0" applyAlignment="0" applyProtection="0"/>
    <xf numFmtId="0" fontId="97" fillId="0" borderId="36" applyNumberFormat="0" applyFill="0" applyAlignment="0" applyProtection="0"/>
    <xf numFmtId="0" fontId="98" fillId="0" borderId="37" applyNumberFormat="0" applyFill="0" applyAlignment="0" applyProtection="0"/>
    <xf numFmtId="0" fontId="98" fillId="0" borderId="0" applyNumberFormat="0" applyFill="0" applyBorder="0" applyAlignment="0" applyProtection="0"/>
    <xf numFmtId="0" fontId="99" fillId="5" borderId="0" applyNumberFormat="0" applyBorder="0" applyAlignment="0" applyProtection="0"/>
    <xf numFmtId="0" fontId="100" fillId="6" borderId="0" applyNumberFormat="0" applyBorder="0" applyAlignment="0" applyProtection="0"/>
    <xf numFmtId="0" fontId="101" fillId="7" borderId="0" applyNumberFormat="0" applyBorder="0" applyAlignment="0" applyProtection="0"/>
    <xf numFmtId="0" fontId="102" fillId="8" borderId="38" applyNumberFormat="0" applyAlignment="0" applyProtection="0"/>
    <xf numFmtId="0" fontId="103" fillId="9" borderId="39" applyNumberFormat="0" applyAlignment="0" applyProtection="0"/>
    <xf numFmtId="0" fontId="104" fillId="9" borderId="38" applyNumberFormat="0" applyAlignment="0" applyProtection="0"/>
    <xf numFmtId="0" fontId="105" fillId="0" borderId="40" applyNumberFormat="0" applyFill="0" applyAlignment="0" applyProtection="0"/>
    <xf numFmtId="0" fontId="106" fillId="10" borderId="41" applyNumberFormat="0" applyAlignment="0" applyProtection="0"/>
    <xf numFmtId="0" fontId="107" fillId="0" borderId="0" applyNumberFormat="0" applyFill="0" applyBorder="0" applyAlignment="0" applyProtection="0"/>
    <xf numFmtId="0" fontId="10" fillId="11" borderId="42" applyNumberFormat="0" applyFont="0" applyAlignment="0" applyProtection="0"/>
    <xf numFmtId="0" fontId="108" fillId="0" borderId="0" applyNumberFormat="0" applyFill="0" applyBorder="0" applyAlignment="0" applyProtection="0"/>
    <xf numFmtId="0" fontId="109" fillId="0" borderId="43" applyNumberFormat="0" applyFill="0" applyAlignment="0" applyProtection="0"/>
    <xf numFmtId="0" fontId="1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10" fillId="15" borderId="0" applyNumberFormat="0" applyBorder="0" applyAlignment="0" applyProtection="0"/>
    <xf numFmtId="0" fontId="1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10" fillId="19" borderId="0" applyNumberFormat="0" applyBorder="0" applyAlignment="0" applyProtection="0"/>
    <xf numFmtId="0" fontId="1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10" fillId="23" borderId="0" applyNumberFormat="0" applyBorder="0" applyAlignment="0" applyProtection="0"/>
    <xf numFmtId="0" fontId="1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0" fillId="27" borderId="0" applyNumberFormat="0" applyBorder="0" applyAlignment="0" applyProtection="0"/>
    <xf numFmtId="0" fontId="110"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10" fillId="31" borderId="0" applyNumberFormat="0" applyBorder="0" applyAlignment="0" applyProtection="0"/>
    <xf numFmtId="0" fontId="1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10" fillId="35" borderId="0" applyNumberFormat="0" applyBorder="0" applyAlignment="0" applyProtection="0"/>
    <xf numFmtId="0" fontId="9" fillId="0" borderId="0"/>
    <xf numFmtId="0" fontId="9" fillId="11" borderId="42" applyNumberFormat="0" applyFont="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0" borderId="0"/>
    <xf numFmtId="0" fontId="9" fillId="11" borderId="42" applyNumberFormat="0" applyFont="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0" fillId="0" borderId="0"/>
    <xf numFmtId="166" fontId="90" fillId="0" borderId="0" applyFont="0" applyFill="0" applyBorder="0" applyAlignment="0" applyProtection="0"/>
    <xf numFmtId="189" fontId="12" fillId="0" borderId="0"/>
    <xf numFmtId="189" fontId="25" fillId="0" borderId="0" applyNumberFormat="0" applyFill="0" applyBorder="0" applyAlignment="0" applyProtection="0">
      <alignment vertical="top"/>
      <protection locked="0"/>
    </xf>
    <xf numFmtId="189" fontId="75" fillId="36" borderId="0" applyNumberFormat="0" applyBorder="0" applyAlignment="0" applyProtection="0"/>
    <xf numFmtId="189" fontId="75" fillId="37" borderId="0" applyNumberFormat="0" applyBorder="0" applyAlignment="0" applyProtection="0"/>
    <xf numFmtId="189" fontId="75" fillId="38" borderId="0" applyNumberFormat="0" applyBorder="0" applyAlignment="0" applyProtection="0"/>
    <xf numFmtId="189" fontId="75" fillId="39" borderId="0" applyNumberFormat="0" applyBorder="0" applyAlignment="0" applyProtection="0"/>
    <xf numFmtId="189" fontId="75" fillId="40" borderId="0" applyNumberFormat="0" applyBorder="0" applyAlignment="0" applyProtection="0"/>
    <xf numFmtId="189" fontId="75" fillId="41" borderId="0" applyNumberFormat="0" applyBorder="0" applyAlignment="0" applyProtection="0"/>
    <xf numFmtId="189" fontId="75" fillId="42" borderId="0" applyNumberFormat="0" applyBorder="0" applyAlignment="0" applyProtection="0"/>
    <xf numFmtId="189" fontId="75" fillId="43" borderId="0" applyNumberFormat="0" applyBorder="0" applyAlignment="0" applyProtection="0"/>
    <xf numFmtId="189" fontId="75" fillId="44" borderId="0" applyNumberFormat="0" applyBorder="0" applyAlignment="0" applyProtection="0"/>
    <xf numFmtId="189" fontId="75" fillId="39" borderId="0" applyNumberFormat="0" applyBorder="0" applyAlignment="0" applyProtection="0"/>
    <xf numFmtId="189" fontId="75" fillId="42" borderId="0" applyNumberFormat="0" applyBorder="0" applyAlignment="0" applyProtection="0"/>
    <xf numFmtId="189" fontId="75" fillId="45" borderId="0" applyNumberFormat="0" applyBorder="0" applyAlignment="0" applyProtection="0"/>
    <xf numFmtId="189" fontId="76" fillId="46" borderId="0" applyNumberFormat="0" applyBorder="0" applyAlignment="0" applyProtection="0"/>
    <xf numFmtId="189" fontId="76" fillId="43" borderId="0" applyNumberFormat="0" applyBorder="0" applyAlignment="0" applyProtection="0"/>
    <xf numFmtId="189" fontId="76" fillId="44" borderId="0" applyNumberFormat="0" applyBorder="0" applyAlignment="0" applyProtection="0"/>
    <xf numFmtId="189" fontId="76" fillId="47" borderId="0" applyNumberFormat="0" applyBorder="0" applyAlignment="0" applyProtection="0"/>
    <xf numFmtId="189" fontId="76" fillId="48" borderId="0" applyNumberFormat="0" applyBorder="0" applyAlignment="0" applyProtection="0"/>
    <xf numFmtId="189" fontId="76" fillId="49" borderId="0" applyNumberFormat="0" applyBorder="0" applyAlignment="0" applyProtection="0"/>
    <xf numFmtId="189" fontId="76" fillId="50" borderId="0" applyNumberFormat="0" applyBorder="0" applyAlignment="0" applyProtection="0"/>
    <xf numFmtId="189" fontId="76" fillId="51" borderId="0" applyNumberFormat="0" applyBorder="0" applyAlignment="0" applyProtection="0"/>
    <xf numFmtId="189" fontId="76" fillId="52" borderId="0" applyNumberFormat="0" applyBorder="0" applyAlignment="0" applyProtection="0"/>
    <xf numFmtId="189" fontId="76" fillId="47" borderId="0" applyNumberFormat="0" applyBorder="0" applyAlignment="0" applyProtection="0"/>
    <xf numFmtId="189" fontId="76" fillId="48" borderId="0" applyNumberFormat="0" applyBorder="0" applyAlignment="0" applyProtection="0"/>
    <xf numFmtId="189" fontId="76" fillId="53" borderId="0" applyNumberFormat="0" applyBorder="0" applyAlignment="0" applyProtection="0"/>
    <xf numFmtId="189" fontId="77" fillId="37" borderId="0" applyNumberFormat="0" applyBorder="0" applyAlignment="0" applyProtection="0"/>
    <xf numFmtId="189" fontId="78" fillId="54" borderId="47" applyNumberFormat="0" applyAlignment="0" applyProtection="0"/>
    <xf numFmtId="189" fontId="79" fillId="55" borderId="48" applyNumberFormat="0" applyAlignment="0" applyProtection="0"/>
    <xf numFmtId="189" fontId="82" fillId="0" borderId="0" applyNumberFormat="0" applyFill="0" applyBorder="0" applyAlignment="0" applyProtection="0"/>
    <xf numFmtId="189" fontId="83" fillId="38" borderId="0" applyNumberFormat="0" applyBorder="0" applyAlignment="0" applyProtection="0"/>
    <xf numFmtId="189" fontId="84" fillId="0" borderId="49" applyNumberFormat="0" applyFill="0" applyAlignment="0" applyProtection="0"/>
    <xf numFmtId="189" fontId="85" fillId="0" borderId="50" applyNumberFormat="0" applyFill="0" applyAlignment="0" applyProtection="0"/>
    <xf numFmtId="189" fontId="86" fillId="0" borderId="51" applyNumberFormat="0" applyFill="0" applyAlignment="0" applyProtection="0"/>
    <xf numFmtId="189" fontId="86" fillId="0" borderId="0" applyNumberFormat="0" applyFill="0" applyBorder="0" applyAlignment="0" applyProtection="0"/>
    <xf numFmtId="189" fontId="25" fillId="0" borderId="0" applyNumberFormat="0" applyFill="0" applyBorder="0" applyAlignment="0" applyProtection="0">
      <alignment vertical="top"/>
      <protection locked="0"/>
    </xf>
    <xf numFmtId="189"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9"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9" fontId="87" fillId="41" borderId="47" applyNumberFormat="0" applyAlignment="0" applyProtection="0"/>
    <xf numFmtId="189" fontId="88" fillId="0" borderId="52" applyNumberFormat="0" applyFill="0" applyAlignment="0" applyProtection="0"/>
    <xf numFmtId="189" fontId="89" fillId="56" borderId="0" applyNumberFormat="0" applyBorder="0" applyAlignment="0" applyProtection="0"/>
    <xf numFmtId="189" fontId="90" fillId="0" borderId="0"/>
    <xf numFmtId="181" fontId="12" fillId="0" borderId="0"/>
    <xf numFmtId="0" fontId="90" fillId="0" borderId="0"/>
    <xf numFmtId="189" fontId="12" fillId="0" borderId="0"/>
    <xf numFmtId="189" fontId="12" fillId="0" borderId="0"/>
    <xf numFmtId="181" fontId="12" fillId="0" borderId="0"/>
    <xf numFmtId="189" fontId="12" fillId="0" borderId="0"/>
    <xf numFmtId="181" fontId="12" fillId="0" borderId="0"/>
    <xf numFmtId="181" fontId="12" fillId="0" borderId="0"/>
    <xf numFmtId="189" fontId="12" fillId="0" borderId="0"/>
    <xf numFmtId="189" fontId="12" fillId="0" borderId="0"/>
    <xf numFmtId="189" fontId="12" fillId="0" borderId="0"/>
    <xf numFmtId="181" fontId="12" fillId="0" borderId="0"/>
    <xf numFmtId="189" fontId="12" fillId="0" borderId="0"/>
    <xf numFmtId="181" fontId="12" fillId="0" borderId="0"/>
    <xf numFmtId="189" fontId="12" fillId="0" borderId="0"/>
    <xf numFmtId="189" fontId="12" fillId="0" borderId="0"/>
    <xf numFmtId="181" fontId="12" fillId="0" borderId="0"/>
    <xf numFmtId="181" fontId="12" fillId="0" borderId="0"/>
    <xf numFmtId="189" fontId="12" fillId="0" borderId="0"/>
    <xf numFmtId="189" fontId="12" fillId="0" borderId="0"/>
    <xf numFmtId="181" fontId="12" fillId="0" borderId="0"/>
    <xf numFmtId="189" fontId="90" fillId="0" borderId="0"/>
    <xf numFmtId="181" fontId="12" fillId="0" borderId="0"/>
    <xf numFmtId="189" fontId="12" fillId="0" borderId="0"/>
    <xf numFmtId="189" fontId="12" fillId="0" borderId="0"/>
    <xf numFmtId="189" fontId="17" fillId="0" borderId="0"/>
    <xf numFmtId="181" fontId="12" fillId="0" borderId="0"/>
    <xf numFmtId="189" fontId="12" fillId="0" borderId="0"/>
    <xf numFmtId="181" fontId="12" fillId="0" borderId="0"/>
    <xf numFmtId="189" fontId="80" fillId="0" borderId="0">
      <alignment horizontal="left" wrapText="1"/>
    </xf>
    <xf numFmtId="189" fontId="17" fillId="0" borderId="0"/>
    <xf numFmtId="189" fontId="17" fillId="0" borderId="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2" fillId="0" borderId="0" applyNumberFormat="0" applyFill="0" applyBorder="0" applyAlignment="0" applyProtection="0"/>
    <xf numFmtId="189" fontId="93" fillId="0" borderId="55" applyNumberFormat="0" applyFill="0" applyAlignment="0" applyProtection="0"/>
    <xf numFmtId="189" fontId="94" fillId="0" borderId="0" applyNumberFormat="0" applyFill="0" applyBorder="0" applyAlignment="0" applyProtection="0"/>
    <xf numFmtId="189"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66" fontId="12" fillId="0" borderId="0" applyFont="0" applyFill="0" applyBorder="0" applyAlignment="0" applyProtection="0"/>
    <xf numFmtId="9"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89" fontId="12" fillId="0" borderId="0"/>
    <xf numFmtId="9" fontId="12" fillId="0" borderId="0" applyFont="0" applyFill="0" applyBorder="0" applyAlignment="0" applyProtection="0"/>
    <xf numFmtId="9" fontId="12" fillId="0" borderId="0" applyFont="0" applyFill="0" applyBorder="0" applyAlignment="0" applyProtection="0"/>
    <xf numFmtId="166" fontId="12" fillId="0" borderId="0" applyFont="0" applyFill="0" applyBorder="0" applyAlignment="0" applyProtection="0"/>
    <xf numFmtId="9" fontId="12" fillId="0" borderId="0" applyFont="0" applyFill="0" applyBorder="0" applyAlignment="0" applyProtection="0"/>
    <xf numFmtId="189" fontId="12" fillId="0" borderId="0"/>
    <xf numFmtId="189" fontId="12" fillId="0" borderId="0"/>
    <xf numFmtId="189" fontId="12" fillId="0" borderId="0"/>
    <xf numFmtId="189" fontId="12" fillId="0" borderId="0"/>
    <xf numFmtId="189" fontId="12" fillId="0" borderId="0"/>
    <xf numFmtId="43" fontId="12" fillId="0" borderId="0" applyFont="0" applyFill="0" applyBorder="0" applyAlignment="0" applyProtection="0"/>
    <xf numFmtId="189" fontId="12" fillId="0" borderId="0"/>
    <xf numFmtId="189" fontId="12" fillId="0" borderId="0"/>
    <xf numFmtId="189" fontId="12" fillId="0" borderId="0"/>
    <xf numFmtId="43" fontId="12" fillId="0" borderId="0" applyFont="0" applyFill="0" applyBorder="0" applyAlignment="0" applyProtection="0"/>
    <xf numFmtId="189" fontId="12" fillId="0" borderId="0"/>
    <xf numFmtId="189" fontId="78" fillId="54" borderId="47"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89" fontId="87" fillId="41" borderId="47" applyNumberFormat="0" applyAlignment="0" applyProtection="0"/>
    <xf numFmtId="189" fontId="12" fillId="0" borderId="0"/>
    <xf numFmtId="189" fontId="12" fillId="0" borderId="0"/>
    <xf numFmtId="189" fontId="12" fillId="0" borderId="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9" fontId="12" fillId="0" borderId="0" applyFont="0" applyFill="0" applyBorder="0" applyAlignment="0" applyProtection="0"/>
    <xf numFmtId="189" fontId="93" fillId="0" borderId="55" applyNumberFormat="0" applyFill="0" applyAlignment="0" applyProtection="0"/>
    <xf numFmtId="189" fontId="12" fillId="0" borderId="0"/>
    <xf numFmtId="189" fontId="12" fillId="57" borderId="53" applyNumberFormat="0" applyFont="0" applyAlignment="0" applyProtection="0"/>
    <xf numFmtId="0" fontId="58" fillId="0" borderId="35" applyNumberFormat="0" applyFill="0" applyAlignment="0" applyProtection="0"/>
    <xf numFmtId="0" fontId="59" fillId="0" borderId="36" applyNumberFormat="0" applyFill="0" applyAlignment="0" applyProtection="0"/>
    <xf numFmtId="0" fontId="60" fillId="0" borderId="37" applyNumberFormat="0" applyFill="0" applyAlignment="0" applyProtection="0"/>
    <xf numFmtId="0" fontId="60" fillId="0" borderId="0" applyNumberFormat="0" applyFill="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0" applyNumberFormat="0" applyBorder="0" applyAlignment="0" applyProtection="0"/>
    <xf numFmtId="0" fontId="64" fillId="8" borderId="38" applyNumberFormat="0" applyAlignment="0" applyProtection="0"/>
    <xf numFmtId="0" fontId="65" fillId="9" borderId="39" applyNumberFormat="0" applyAlignment="0" applyProtection="0"/>
    <xf numFmtId="0" fontId="66" fillId="9" borderId="38" applyNumberFormat="0" applyAlignment="0" applyProtection="0"/>
    <xf numFmtId="0" fontId="67" fillId="0" borderId="40" applyNumberFormat="0" applyFill="0" applyAlignment="0" applyProtection="0"/>
    <xf numFmtId="0" fontId="68" fillId="10" borderId="41"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43" applyNumberFormat="0" applyFill="0" applyAlignment="0" applyProtection="0"/>
    <xf numFmtId="0" fontId="72"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72" fillId="23" borderId="0" applyNumberFormat="0" applyBorder="0" applyAlignment="0" applyProtection="0"/>
    <xf numFmtId="0" fontId="72"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72" fillId="27" borderId="0" applyNumberFormat="0" applyBorder="0" applyAlignment="0" applyProtection="0"/>
    <xf numFmtId="0" fontId="72"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72" fillId="31" borderId="0" applyNumberFormat="0" applyBorder="0" applyAlignment="0" applyProtection="0"/>
    <xf numFmtId="0" fontId="72"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72" fillId="35" borderId="0" applyNumberFormat="0" applyBorder="0" applyAlignment="0" applyProtection="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43" fontId="90" fillId="0" borderId="0" applyFont="0" applyFill="0" applyBorder="0" applyAlignment="0" applyProtection="0"/>
    <xf numFmtId="43" fontId="90" fillId="0" borderId="0" applyFont="0" applyFill="0" applyBorder="0" applyAlignment="0" applyProtection="0"/>
    <xf numFmtId="166" fontId="12" fillId="0" borderId="0" applyFont="0" applyFill="0" applyBorder="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0" borderId="0"/>
    <xf numFmtId="166" fontId="12" fillId="0" borderId="0" applyFont="0" applyFill="0" applyBorder="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93" fillId="0" borderId="55" applyNumberFormat="0" applyFill="0" applyAlignment="0" applyProtection="0"/>
    <xf numFmtId="189" fontId="12" fillId="0" borderId="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43" fontId="90"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66" fontId="12" fillId="0" borderId="0" applyFont="0" applyFill="0" applyBorder="0" applyAlignment="0" applyProtection="0"/>
    <xf numFmtId="0" fontId="12" fillId="0" borderId="0"/>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75"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5" fillId="41" borderId="0" applyNumberFormat="0" applyBorder="0" applyAlignment="0" applyProtection="0"/>
    <xf numFmtId="0" fontId="75" fillId="42" borderId="0" applyNumberFormat="0" applyBorder="0" applyAlignment="0" applyProtection="0"/>
    <xf numFmtId="0" fontId="75" fillId="43" borderId="0" applyNumberFormat="0" applyBorder="0" applyAlignment="0" applyProtection="0"/>
    <xf numFmtId="0" fontId="75" fillId="44" borderId="0" applyNumberFormat="0" applyBorder="0" applyAlignment="0" applyProtection="0"/>
    <xf numFmtId="0" fontId="75" fillId="39" borderId="0" applyNumberFormat="0" applyBorder="0" applyAlignment="0" applyProtection="0"/>
    <xf numFmtId="0" fontId="75" fillId="42" borderId="0" applyNumberFormat="0" applyBorder="0" applyAlignment="0" applyProtection="0"/>
    <xf numFmtId="0" fontId="75" fillId="45" borderId="0" applyNumberFormat="0" applyBorder="0" applyAlignment="0" applyProtection="0"/>
    <xf numFmtId="0" fontId="76" fillId="46" borderId="0" applyNumberFormat="0" applyBorder="0" applyAlignment="0" applyProtection="0"/>
    <xf numFmtId="0" fontId="76" fillId="43" borderId="0" applyNumberFormat="0" applyBorder="0" applyAlignment="0" applyProtection="0"/>
    <xf numFmtId="0" fontId="76" fillId="44" borderId="0" applyNumberFormat="0" applyBorder="0" applyAlignment="0" applyProtection="0"/>
    <xf numFmtId="0" fontId="76" fillId="47" borderId="0" applyNumberFormat="0" applyBorder="0" applyAlignment="0" applyProtection="0"/>
    <xf numFmtId="0" fontId="76" fillId="48" borderId="0" applyNumberFormat="0" applyBorder="0" applyAlignment="0" applyProtection="0"/>
    <xf numFmtId="0" fontId="76"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76" fillId="52" borderId="0" applyNumberFormat="0" applyBorder="0" applyAlignment="0" applyProtection="0"/>
    <xf numFmtId="0" fontId="76" fillId="47" borderId="0" applyNumberFormat="0" applyBorder="0" applyAlignment="0" applyProtection="0"/>
    <xf numFmtId="0" fontId="76" fillId="48" borderId="0" applyNumberFormat="0" applyBorder="0" applyAlignment="0" applyProtection="0"/>
    <xf numFmtId="0" fontId="76" fillId="53" borderId="0" applyNumberFormat="0" applyBorder="0" applyAlignment="0" applyProtection="0"/>
    <xf numFmtId="0" fontId="77" fillId="37" borderId="0" applyNumberFormat="0" applyBorder="0" applyAlignment="0" applyProtection="0"/>
    <xf numFmtId="0" fontId="78" fillId="54" borderId="47" applyNumberFormat="0" applyAlignment="0" applyProtection="0"/>
    <xf numFmtId="0" fontId="79" fillId="55" borderId="48" applyNumberFormat="0" applyAlignment="0" applyProtection="0"/>
    <xf numFmtId="0" fontId="82" fillId="0" borderId="0" applyNumberFormat="0" applyFill="0" applyBorder="0" applyAlignment="0" applyProtection="0"/>
    <xf numFmtId="0" fontId="83" fillId="38" borderId="0" applyNumberFormat="0" applyBorder="0" applyAlignment="0" applyProtection="0"/>
    <xf numFmtId="0" fontId="84" fillId="0" borderId="49" applyNumberFormat="0" applyFill="0" applyAlignment="0" applyProtection="0"/>
    <xf numFmtId="0" fontId="85" fillId="0" borderId="50" applyNumberFormat="0" applyFill="0" applyAlignment="0" applyProtection="0"/>
    <xf numFmtId="0" fontId="86" fillId="0" borderId="51" applyNumberFormat="0" applyFill="0" applyAlignment="0" applyProtection="0"/>
    <xf numFmtId="0" fontId="86" fillId="0" borderId="0" applyNumberFormat="0" applyFill="0" applyBorder="0" applyAlignment="0" applyProtection="0"/>
    <xf numFmtId="0" fontId="87" fillId="41" borderId="47" applyNumberFormat="0" applyAlignment="0" applyProtection="0"/>
    <xf numFmtId="0" fontId="88" fillId="0" borderId="52" applyNumberFormat="0" applyFill="0" applyAlignment="0" applyProtection="0"/>
    <xf numFmtId="0" fontId="89" fillId="56" borderId="0" applyNumberFormat="0" applyBorder="0" applyAlignment="0" applyProtection="0"/>
    <xf numFmtId="0" fontId="12" fillId="0" borderId="0"/>
    <xf numFmtId="0" fontId="12" fillId="0" borderId="0"/>
    <xf numFmtId="0" fontId="12" fillId="0" borderId="0"/>
    <xf numFmtId="0" fontId="90" fillId="0" borderId="0"/>
    <xf numFmtId="0" fontId="17" fillId="0" borderId="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91" fillId="54" borderId="54" applyNumberFormat="0" applyAlignment="0" applyProtection="0"/>
    <xf numFmtId="0" fontId="92" fillId="0" borderId="0" applyNumberFormat="0" applyFill="0" applyBorder="0" applyAlignment="0" applyProtection="0"/>
    <xf numFmtId="0" fontId="93" fillId="0" borderId="55" applyNumberFormat="0" applyFill="0" applyAlignment="0" applyProtection="0"/>
    <xf numFmtId="0" fontId="94" fillId="0" borderId="0" applyNumberFormat="0" applyFill="0" applyBorder="0" applyAlignment="0" applyProtection="0"/>
    <xf numFmtId="0" fontId="80" fillId="0" borderId="0">
      <alignment horizontal="left" wrapText="1"/>
    </xf>
    <xf numFmtId="0" fontId="12" fillId="0" borderId="0"/>
    <xf numFmtId="0"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0" borderId="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1" fontId="12" fillId="0" borderId="0"/>
    <xf numFmtId="166" fontId="12" fillId="0" borderId="0" applyFont="0" applyFill="0" applyBorder="0" applyAlignment="0" applyProtection="0"/>
    <xf numFmtId="181" fontId="17" fillId="0" borderId="0"/>
    <xf numFmtId="181" fontId="75" fillId="36" borderId="0" applyNumberFormat="0" applyBorder="0" applyAlignment="0" applyProtection="0"/>
    <xf numFmtId="181" fontId="75" fillId="37" borderId="0" applyNumberFormat="0" applyBorder="0" applyAlignment="0" applyProtection="0"/>
    <xf numFmtId="181" fontId="75" fillId="38" borderId="0" applyNumberFormat="0" applyBorder="0" applyAlignment="0" applyProtection="0"/>
    <xf numFmtId="181" fontId="75" fillId="39" borderId="0" applyNumberFormat="0" applyBorder="0" applyAlignment="0" applyProtection="0"/>
    <xf numFmtId="181" fontId="75" fillId="40" borderId="0" applyNumberFormat="0" applyBorder="0" applyAlignment="0" applyProtection="0"/>
    <xf numFmtId="181" fontId="75" fillId="41" borderId="0" applyNumberFormat="0" applyBorder="0" applyAlignment="0" applyProtection="0"/>
    <xf numFmtId="181" fontId="75" fillId="42" borderId="0" applyNumberFormat="0" applyBorder="0" applyAlignment="0" applyProtection="0"/>
    <xf numFmtId="181" fontId="75" fillId="43" borderId="0" applyNumberFormat="0" applyBorder="0" applyAlignment="0" applyProtection="0"/>
    <xf numFmtId="181" fontId="75" fillId="44" borderId="0" applyNumberFormat="0" applyBorder="0" applyAlignment="0" applyProtection="0"/>
    <xf numFmtId="181" fontId="75" fillId="39" borderId="0" applyNumberFormat="0" applyBorder="0" applyAlignment="0" applyProtection="0"/>
    <xf numFmtId="181" fontId="75" fillId="42" borderId="0" applyNumberFormat="0" applyBorder="0" applyAlignment="0" applyProtection="0"/>
    <xf numFmtId="181" fontId="75" fillId="45" borderId="0" applyNumberFormat="0" applyBorder="0" applyAlignment="0" applyProtection="0"/>
    <xf numFmtId="181" fontId="76" fillId="46" borderId="0" applyNumberFormat="0" applyBorder="0" applyAlignment="0" applyProtection="0"/>
    <xf numFmtId="181" fontId="76" fillId="43" borderId="0" applyNumberFormat="0" applyBorder="0" applyAlignment="0" applyProtection="0"/>
    <xf numFmtId="181" fontId="76" fillId="44" borderId="0" applyNumberFormat="0" applyBorder="0" applyAlignment="0" applyProtection="0"/>
    <xf numFmtId="181" fontId="76" fillId="47" borderId="0" applyNumberFormat="0" applyBorder="0" applyAlignment="0" applyProtection="0"/>
    <xf numFmtId="181" fontId="76" fillId="48" borderId="0" applyNumberFormat="0" applyBorder="0" applyAlignment="0" applyProtection="0"/>
    <xf numFmtId="181" fontId="76" fillId="49" borderId="0" applyNumberFormat="0" applyBorder="0" applyAlignment="0" applyProtection="0"/>
    <xf numFmtId="181" fontId="76" fillId="50" borderId="0" applyNumberFormat="0" applyBorder="0" applyAlignment="0" applyProtection="0"/>
    <xf numFmtId="181" fontId="76" fillId="51" borderId="0" applyNumberFormat="0" applyBorder="0" applyAlignment="0" applyProtection="0"/>
    <xf numFmtId="181" fontId="76" fillId="52" borderId="0" applyNumberFormat="0" applyBorder="0" applyAlignment="0" applyProtection="0"/>
    <xf numFmtId="181" fontId="76" fillId="47" borderId="0" applyNumberFormat="0" applyBorder="0" applyAlignment="0" applyProtection="0"/>
    <xf numFmtId="181" fontId="76" fillId="48" borderId="0" applyNumberFormat="0" applyBorder="0" applyAlignment="0" applyProtection="0"/>
    <xf numFmtId="181" fontId="76" fillId="53" borderId="0" applyNumberFormat="0" applyBorder="0" applyAlignment="0" applyProtection="0"/>
    <xf numFmtId="181" fontId="77" fillId="37" borderId="0" applyNumberFormat="0" applyBorder="0" applyAlignment="0" applyProtection="0"/>
    <xf numFmtId="181" fontId="78" fillId="54" borderId="47" applyNumberFormat="0" applyAlignment="0" applyProtection="0"/>
    <xf numFmtId="181" fontId="79" fillId="55" borderId="48" applyNumberFormat="0" applyAlignment="0" applyProtection="0"/>
    <xf numFmtId="181" fontId="82" fillId="0" borderId="0" applyNumberFormat="0" applyFill="0" applyBorder="0" applyAlignment="0" applyProtection="0"/>
    <xf numFmtId="181" fontId="83" fillId="38" borderId="0" applyNumberFormat="0" applyBorder="0" applyAlignment="0" applyProtection="0"/>
    <xf numFmtId="181" fontId="84" fillId="0" borderId="49" applyNumberFormat="0" applyFill="0" applyAlignment="0" applyProtection="0"/>
    <xf numFmtId="181" fontId="85" fillId="0" borderId="50" applyNumberFormat="0" applyFill="0" applyAlignment="0" applyProtection="0"/>
    <xf numFmtId="181" fontId="86" fillId="0" borderId="51" applyNumberFormat="0" applyFill="0" applyAlignment="0" applyProtection="0"/>
    <xf numFmtId="181" fontId="86" fillId="0" borderId="0" applyNumberFormat="0" applyFill="0" applyBorder="0" applyAlignment="0" applyProtection="0"/>
    <xf numFmtId="181" fontId="87" fillId="41" borderId="47" applyNumberFormat="0" applyAlignment="0" applyProtection="0"/>
    <xf numFmtId="181" fontId="88" fillId="0" borderId="52" applyNumberFormat="0" applyFill="0" applyAlignment="0" applyProtection="0"/>
    <xf numFmtId="181" fontId="89" fillId="56" borderId="0" applyNumberFormat="0" applyBorder="0" applyAlignment="0" applyProtection="0"/>
    <xf numFmtId="181" fontId="12" fillId="0" borderId="0"/>
    <xf numFmtId="181" fontId="12" fillId="0" borderId="0"/>
    <xf numFmtId="181" fontId="12" fillId="0" borderId="0"/>
    <xf numFmtId="181" fontId="90" fillId="0" borderId="0"/>
    <xf numFmtId="181" fontId="17" fillId="0" borderId="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2" fillId="0" borderId="0" applyNumberFormat="0" applyFill="0" applyBorder="0" applyAlignment="0" applyProtection="0"/>
    <xf numFmtId="181" fontId="93" fillId="0" borderId="55" applyNumberFormat="0" applyFill="0" applyAlignment="0" applyProtection="0"/>
    <xf numFmtId="181" fontId="94" fillId="0" borderId="0" applyNumberFormat="0" applyFill="0" applyBorder="0" applyAlignment="0" applyProtection="0"/>
    <xf numFmtId="181" fontId="80" fillId="0" borderId="0">
      <alignment horizontal="left" wrapText="1"/>
    </xf>
    <xf numFmtId="181" fontId="12" fillId="0" borderId="0"/>
    <xf numFmtId="181" fontId="12" fillId="57" borderId="53" applyNumberFormat="0" applyFont="0" applyAlignment="0" applyProtection="0"/>
    <xf numFmtId="0" fontId="17" fillId="0" borderId="0"/>
    <xf numFmtId="166" fontId="12" fillId="0" borderId="0" applyFont="0" applyFill="0" applyBorder="0" applyAlignment="0" applyProtection="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66" fontId="12" fillId="0" borderId="0" applyFont="0" applyFill="0" applyBorder="0" applyAlignment="0" applyProtection="0"/>
    <xf numFmtId="181" fontId="93" fillId="0" borderId="55" applyNumberFormat="0" applyFill="0" applyAlignment="0" applyProtection="0"/>
    <xf numFmtId="181" fontId="12" fillId="57" borderId="53" applyNumberFormat="0" applyFont="0" applyAlignment="0" applyProtection="0"/>
    <xf numFmtId="190" fontId="12" fillId="0" borderId="0"/>
    <xf numFmtId="166" fontId="12" fillId="0" borderId="0" applyFont="0" applyFill="0" applyBorder="0" applyAlignment="0" applyProtection="0"/>
    <xf numFmtId="190" fontId="25" fillId="0" borderId="0" applyNumberFormat="0" applyFill="0" applyBorder="0" applyAlignment="0" applyProtection="0">
      <alignment vertical="top"/>
      <protection locked="0"/>
    </xf>
    <xf numFmtId="190" fontId="12" fillId="0" borderId="0"/>
    <xf numFmtId="190" fontId="12" fillId="0" borderId="0"/>
    <xf numFmtId="190" fontId="12" fillId="0" borderId="0"/>
    <xf numFmtId="190" fontId="25" fillId="0" borderId="0" applyNumberFormat="0" applyFill="0" applyBorder="0" applyAlignment="0" applyProtection="0">
      <alignment vertical="top"/>
      <protection locked="0"/>
    </xf>
    <xf numFmtId="190" fontId="12" fillId="0" borderId="0"/>
    <xf numFmtId="190" fontId="25" fillId="0" borderId="0" applyNumberFormat="0" applyFill="0" applyBorder="0" applyAlignment="0" applyProtection="0">
      <alignment vertical="top"/>
      <protection locked="0"/>
    </xf>
    <xf numFmtId="190" fontId="12" fillId="0" borderId="0"/>
    <xf numFmtId="190" fontId="25" fillId="0" borderId="0" applyNumberFormat="0" applyFill="0" applyBorder="0" applyAlignment="0" applyProtection="0">
      <alignment vertical="top"/>
      <protection locked="0"/>
    </xf>
    <xf numFmtId="190" fontId="12" fillId="0" borderId="0"/>
    <xf numFmtId="190" fontId="12" fillId="0" borderId="0"/>
    <xf numFmtId="190" fontId="12" fillId="0" borderId="0"/>
    <xf numFmtId="190" fontId="12" fillId="0" borderId="0"/>
    <xf numFmtId="190" fontId="12" fillId="0" borderId="0"/>
    <xf numFmtId="190" fontId="12" fillId="0" borderId="0"/>
    <xf numFmtId="190" fontId="17" fillId="0" borderId="0"/>
    <xf numFmtId="190" fontId="75" fillId="36" borderId="0" applyNumberFormat="0" applyBorder="0" applyAlignment="0" applyProtection="0"/>
    <xf numFmtId="190" fontId="75" fillId="37" borderId="0" applyNumberFormat="0" applyBorder="0" applyAlignment="0" applyProtection="0"/>
    <xf numFmtId="190" fontId="75" fillId="38" borderId="0" applyNumberFormat="0" applyBorder="0" applyAlignment="0" applyProtection="0"/>
    <xf numFmtId="190" fontId="75" fillId="39" borderId="0" applyNumberFormat="0" applyBorder="0" applyAlignment="0" applyProtection="0"/>
    <xf numFmtId="190" fontId="75" fillId="40" borderId="0" applyNumberFormat="0" applyBorder="0" applyAlignment="0" applyProtection="0"/>
    <xf numFmtId="190" fontId="75" fillId="41" borderId="0" applyNumberFormat="0" applyBorder="0" applyAlignment="0" applyProtection="0"/>
    <xf numFmtId="190" fontId="75" fillId="42" borderId="0" applyNumberFormat="0" applyBorder="0" applyAlignment="0" applyProtection="0"/>
    <xf numFmtId="190" fontId="75" fillId="43" borderId="0" applyNumberFormat="0" applyBorder="0" applyAlignment="0" applyProtection="0"/>
    <xf numFmtId="190" fontId="75" fillId="44" borderId="0" applyNumberFormat="0" applyBorder="0" applyAlignment="0" applyProtection="0"/>
    <xf numFmtId="190" fontId="75" fillId="39" borderId="0" applyNumberFormat="0" applyBorder="0" applyAlignment="0" applyProtection="0"/>
    <xf numFmtId="190" fontId="75" fillId="42" borderId="0" applyNumberFormat="0" applyBorder="0" applyAlignment="0" applyProtection="0"/>
    <xf numFmtId="190" fontId="75" fillId="45" borderId="0" applyNumberFormat="0" applyBorder="0" applyAlignment="0" applyProtection="0"/>
    <xf numFmtId="190" fontId="76" fillId="46" borderId="0" applyNumberFormat="0" applyBorder="0" applyAlignment="0" applyProtection="0"/>
    <xf numFmtId="190" fontId="76" fillId="43" borderId="0" applyNumberFormat="0" applyBorder="0" applyAlignment="0" applyProtection="0"/>
    <xf numFmtId="190" fontId="76" fillId="44" borderId="0" applyNumberFormat="0" applyBorder="0" applyAlignment="0" applyProtection="0"/>
    <xf numFmtId="190" fontId="76" fillId="47" borderId="0" applyNumberFormat="0" applyBorder="0" applyAlignment="0" applyProtection="0"/>
    <xf numFmtId="190" fontId="76" fillId="48" borderId="0" applyNumberFormat="0" applyBorder="0" applyAlignment="0" applyProtection="0"/>
    <xf numFmtId="190" fontId="76" fillId="49" borderId="0" applyNumberFormat="0" applyBorder="0" applyAlignment="0" applyProtection="0"/>
    <xf numFmtId="190" fontId="76" fillId="50" borderId="0" applyNumberFormat="0" applyBorder="0" applyAlignment="0" applyProtection="0"/>
    <xf numFmtId="190" fontId="76" fillId="51" borderId="0" applyNumberFormat="0" applyBorder="0" applyAlignment="0" applyProtection="0"/>
    <xf numFmtId="190" fontId="76" fillId="52" borderId="0" applyNumberFormat="0" applyBorder="0" applyAlignment="0" applyProtection="0"/>
    <xf numFmtId="190" fontId="76" fillId="47" borderId="0" applyNumberFormat="0" applyBorder="0" applyAlignment="0" applyProtection="0"/>
    <xf numFmtId="190" fontId="76" fillId="48" borderId="0" applyNumberFormat="0" applyBorder="0" applyAlignment="0" applyProtection="0"/>
    <xf numFmtId="190" fontId="76" fillId="53" borderId="0" applyNumberFormat="0" applyBorder="0" applyAlignment="0" applyProtection="0"/>
    <xf numFmtId="190" fontId="77" fillId="37" borderId="0" applyNumberFormat="0" applyBorder="0" applyAlignment="0" applyProtection="0"/>
    <xf numFmtId="190" fontId="78" fillId="54" borderId="47" applyNumberFormat="0" applyAlignment="0" applyProtection="0"/>
    <xf numFmtId="190" fontId="79" fillId="55" borderId="48" applyNumberFormat="0" applyAlignment="0" applyProtection="0"/>
    <xf numFmtId="190" fontId="82" fillId="0" borderId="0" applyNumberFormat="0" applyFill="0" applyBorder="0" applyAlignment="0" applyProtection="0"/>
    <xf numFmtId="190" fontId="83" fillId="38" borderId="0" applyNumberFormat="0" applyBorder="0" applyAlignment="0" applyProtection="0"/>
    <xf numFmtId="190" fontId="84" fillId="0" borderId="49" applyNumberFormat="0" applyFill="0" applyAlignment="0" applyProtection="0"/>
    <xf numFmtId="190" fontId="85" fillId="0" borderId="50" applyNumberFormat="0" applyFill="0" applyAlignment="0" applyProtection="0"/>
    <xf numFmtId="190" fontId="86" fillId="0" borderId="51" applyNumberFormat="0" applyFill="0" applyAlignment="0" applyProtection="0"/>
    <xf numFmtId="190" fontId="86" fillId="0" borderId="0" applyNumberFormat="0" applyFill="0" applyBorder="0" applyAlignment="0" applyProtection="0"/>
    <xf numFmtId="190" fontId="87" fillId="41" borderId="47" applyNumberFormat="0" applyAlignment="0" applyProtection="0"/>
    <xf numFmtId="190" fontId="88" fillId="0" borderId="52" applyNumberFormat="0" applyFill="0" applyAlignment="0" applyProtection="0"/>
    <xf numFmtId="190" fontId="89" fillId="56" borderId="0" applyNumberFormat="0" applyBorder="0" applyAlignment="0" applyProtection="0"/>
    <xf numFmtId="190" fontId="12" fillId="0" borderId="0"/>
    <xf numFmtId="190" fontId="12" fillId="0" borderId="0"/>
    <xf numFmtId="190" fontId="12" fillId="0" borderId="0"/>
    <xf numFmtId="190" fontId="90" fillId="0" borderId="0"/>
    <xf numFmtId="190" fontId="17" fillId="0" borderId="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91" fillId="54" borderId="54" applyNumberFormat="0" applyAlignment="0" applyProtection="0"/>
    <xf numFmtId="190" fontId="92" fillId="0" borderId="0" applyNumberFormat="0" applyFill="0" applyBorder="0" applyAlignment="0" applyProtection="0"/>
    <xf numFmtId="190" fontId="93" fillId="0" borderId="55" applyNumberFormat="0" applyFill="0" applyAlignment="0" applyProtection="0"/>
    <xf numFmtId="190" fontId="94" fillId="0" borderId="0" applyNumberFormat="0" applyFill="0" applyBorder="0" applyAlignment="0" applyProtection="0"/>
    <xf numFmtId="190" fontId="80" fillId="0" borderId="0">
      <alignment horizontal="left" wrapText="1"/>
    </xf>
    <xf numFmtId="190" fontId="12" fillId="0" borderId="0"/>
    <xf numFmtId="190" fontId="12" fillId="57" borderId="53" applyNumberFormat="0" applyFont="0" applyAlignment="0" applyProtection="0"/>
    <xf numFmtId="190" fontId="17" fillId="0" borderId="0"/>
    <xf numFmtId="0" fontId="90" fillId="0" borderId="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0" fontId="78" fillId="54" borderId="47" applyNumberFormat="0" applyAlignment="0" applyProtection="0"/>
    <xf numFmtId="0" fontId="87" fillId="41" borderId="47" applyNumberForma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91" fillId="54" borderId="54" applyNumberFormat="0" applyAlignment="0" applyProtection="0"/>
    <xf numFmtId="0" fontId="93" fillId="0" borderId="55" applyNumberFormat="0" applyFill="0" applyAlignment="0" applyProtection="0"/>
    <xf numFmtId="0"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1" fontId="12" fillId="0" borderId="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90" fontId="12" fillId="0" borderId="0"/>
    <xf numFmtId="190" fontId="78" fillId="54" borderId="47" applyNumberFormat="0" applyAlignment="0" applyProtection="0"/>
    <xf numFmtId="190" fontId="87" fillId="41" borderId="47" applyNumberForma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91" fillId="54" borderId="54" applyNumberFormat="0" applyAlignment="0" applyProtection="0"/>
    <xf numFmtId="190" fontId="93" fillId="0" borderId="55" applyNumberFormat="0" applyFill="0" applyAlignment="0" applyProtection="0"/>
    <xf numFmtId="190" fontId="12" fillId="57" borderId="53"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0" fontId="78" fillId="54" borderId="47" applyNumberFormat="0" applyAlignment="0" applyProtection="0"/>
    <xf numFmtId="43" fontId="12" fillId="0" borderId="0" applyFont="0" applyFill="0" applyBorder="0" applyAlignment="0" applyProtection="0"/>
    <xf numFmtId="0" fontId="87" fillId="41" borderId="47" applyNumberFormat="0" applyAlignment="0" applyProtection="0"/>
    <xf numFmtId="0" fontId="12" fillId="57" borderId="53" applyNumberFormat="0" applyFont="0" applyAlignment="0" applyProtection="0"/>
    <xf numFmtId="0" fontId="91" fillId="54" borderId="54" applyNumberFormat="0" applyAlignment="0" applyProtection="0"/>
    <xf numFmtId="0" fontId="93" fillId="0" borderId="55" applyNumberFormat="0" applyFill="0" applyAlignment="0" applyProtection="0"/>
    <xf numFmtId="0" fontId="90" fillId="0" borderId="0"/>
    <xf numFmtId="9" fontId="90" fillId="0" borderId="0" applyFont="0" applyFill="0" applyBorder="0" applyAlignment="0" applyProtection="0"/>
    <xf numFmtId="166" fontId="90" fillId="0" borderId="0" applyFont="0" applyFill="0" applyBorder="0" applyAlignment="0" applyProtection="0"/>
    <xf numFmtId="165" fontId="90"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189" fontId="91" fillId="54" borderId="54"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87" fillId="41" borderId="47" applyNumberForma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93" fillId="0" borderId="55" applyNumberFormat="0" applyFill="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78" fillId="54" borderId="47" applyNumberFormat="0" applyAlignment="0" applyProtection="0"/>
    <xf numFmtId="43" fontId="12" fillId="0" borderId="0" applyFont="0" applyFill="0" applyBorder="0" applyAlignment="0" applyProtection="0"/>
    <xf numFmtId="0" fontId="87" fillId="41" borderId="47" applyNumberFormat="0" applyAlignment="0" applyProtection="0"/>
    <xf numFmtId="43" fontId="12" fillId="0" borderId="0" applyFont="0" applyFill="0" applyBorder="0" applyAlignment="0" applyProtection="0"/>
    <xf numFmtId="0" fontId="12" fillId="57" borderId="53" applyNumberFormat="0" applyFont="0" applyAlignment="0" applyProtection="0"/>
    <xf numFmtId="0" fontId="91" fillId="54" borderId="54" applyNumberFormat="0" applyAlignment="0" applyProtection="0"/>
    <xf numFmtId="43" fontId="12" fillId="0" borderId="0" applyFont="0" applyFill="0" applyBorder="0" applyAlignment="0" applyProtection="0"/>
    <xf numFmtId="0" fontId="93" fillId="0" borderId="55" applyNumberFormat="0" applyFill="0" applyAlignment="0" applyProtection="0"/>
    <xf numFmtId="43" fontId="12" fillId="0" borderId="0" applyFont="0" applyFill="0" applyBorder="0" applyAlignment="0" applyProtection="0"/>
    <xf numFmtId="43" fontId="12" fillId="0" borderId="0" applyFont="0" applyFill="0" applyBorder="0" applyAlignment="0" applyProtection="0"/>
    <xf numFmtId="189" fontId="12" fillId="57" borderId="53" applyNumberFormat="0" applyFont="0" applyAlignment="0" applyProtection="0"/>
    <xf numFmtId="0" fontId="12" fillId="57" borderId="53" applyNumberFormat="0" applyFont="0" applyAlignment="0" applyProtection="0"/>
    <xf numFmtId="0"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78" fillId="54"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78" fillId="54"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93" fillId="0" borderId="55" applyNumberFormat="0" applyFill="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91" fillId="54" borderId="54" applyNumberFormat="0" applyAlignment="0" applyProtection="0"/>
    <xf numFmtId="189" fontId="93" fillId="0" borderId="55" applyNumberFormat="0" applyFill="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1" fillId="54" borderId="54" applyNumberFormat="0" applyAlignment="0" applyProtection="0"/>
    <xf numFmtId="0"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0" fontId="78" fillId="54" borderId="47" applyNumberFormat="0" applyAlignment="0" applyProtection="0"/>
    <xf numFmtId="189" fontId="91" fillId="54" borderId="54" applyNumberFormat="0" applyAlignment="0" applyProtection="0"/>
    <xf numFmtId="189" fontId="12" fillId="57" borderId="53" applyNumberFormat="0" applyFont="0" applyAlignment="0" applyProtection="0"/>
    <xf numFmtId="0" fontId="87" fillId="41" borderId="47" applyNumberFormat="0" applyAlignment="0" applyProtection="0"/>
    <xf numFmtId="189" fontId="93" fillId="0" borderId="55" applyNumberFormat="0" applyFill="0" applyAlignment="0" applyProtection="0"/>
    <xf numFmtId="189" fontId="87" fillId="41" borderId="47" applyNumberForma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91" fillId="54" borderId="54" applyNumberFormat="0" applyAlignment="0" applyProtection="0"/>
    <xf numFmtId="0" fontId="93" fillId="0" borderId="55" applyNumberFormat="0" applyFill="0" applyAlignment="0" applyProtection="0"/>
    <xf numFmtId="0"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0"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1"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0"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78" fillId="54" borderId="47" applyNumberFormat="0" applyAlignment="0" applyProtection="0"/>
    <xf numFmtId="189" fontId="12" fillId="57" borderId="53" applyNumberFormat="0" applyFont="0" applyAlignment="0" applyProtection="0"/>
    <xf numFmtId="189" fontId="93" fillId="0" borderId="55" applyNumberFormat="0" applyFill="0" applyAlignment="0" applyProtection="0"/>
    <xf numFmtId="190"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90" fontId="87" fillId="41" borderId="47" applyNumberForma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91" fillId="54" borderId="54" applyNumberFormat="0" applyAlignment="0" applyProtection="0"/>
    <xf numFmtId="190" fontId="93" fillId="0" borderId="55" applyNumberFormat="0" applyFill="0" applyAlignment="0" applyProtection="0"/>
    <xf numFmtId="190"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0" fontId="78" fillId="54" borderId="47" applyNumberFormat="0" applyAlignment="0" applyProtection="0"/>
    <xf numFmtId="0" fontId="87" fillId="41" borderId="47" applyNumberForma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91" fillId="54" borderId="54" applyNumberFormat="0" applyAlignment="0" applyProtection="0"/>
    <xf numFmtId="0" fontId="93" fillId="0" borderId="55" applyNumberFormat="0" applyFill="0" applyAlignment="0" applyProtection="0"/>
    <xf numFmtId="0"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90" fontId="78" fillId="54" borderId="47" applyNumberFormat="0" applyAlignment="0" applyProtection="0"/>
    <xf numFmtId="190" fontId="87" fillId="41" borderId="47" applyNumberForma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91" fillId="54" borderId="54" applyNumberFormat="0" applyAlignment="0" applyProtection="0"/>
    <xf numFmtId="190" fontId="93" fillId="0" borderId="55" applyNumberFormat="0" applyFill="0" applyAlignment="0" applyProtection="0"/>
    <xf numFmtId="190" fontId="12" fillId="57" borderId="53" applyNumberFormat="0" applyFont="0" applyAlignment="0" applyProtection="0"/>
    <xf numFmtId="0" fontId="78" fillId="54" borderId="47" applyNumberFormat="0" applyAlignment="0" applyProtection="0"/>
    <xf numFmtId="0" fontId="87" fillId="41" borderId="47" applyNumberFormat="0" applyAlignment="0" applyProtection="0"/>
    <xf numFmtId="0" fontId="12" fillId="57" borderId="53" applyNumberFormat="0" applyFont="0" applyAlignment="0" applyProtection="0"/>
    <xf numFmtId="0" fontId="91" fillId="54" borderId="54" applyNumberFormat="0" applyAlignment="0" applyProtection="0"/>
    <xf numFmtId="0"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91" fillId="54" borderId="54" applyNumberFormat="0" applyAlignment="0" applyProtection="0"/>
    <xf numFmtId="0" fontId="93" fillId="0" borderId="55" applyNumberFormat="0" applyFill="0" applyAlignment="0" applyProtection="0"/>
    <xf numFmtId="0"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90" fontId="78" fillId="54" borderId="47" applyNumberFormat="0" applyAlignment="0" applyProtection="0"/>
    <xf numFmtId="190" fontId="87" fillId="41" borderId="47" applyNumberForma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91" fillId="54" borderId="54" applyNumberFormat="0" applyAlignment="0" applyProtection="0"/>
    <xf numFmtId="190" fontId="93" fillId="0" borderId="55" applyNumberFormat="0" applyFill="0" applyAlignment="0" applyProtection="0"/>
    <xf numFmtId="190"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0" fontId="78" fillId="54" borderId="47" applyNumberFormat="0" applyAlignment="0" applyProtection="0"/>
    <xf numFmtId="0" fontId="87" fillId="41" borderId="47" applyNumberForma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12" fillId="57" borderId="53" applyNumberFormat="0" applyFont="0" applyAlignment="0" applyProtection="0"/>
    <xf numFmtId="0" fontId="91" fillId="54" borderId="54" applyNumberFormat="0" applyAlignment="0" applyProtection="0"/>
    <xf numFmtId="0" fontId="93" fillId="0" borderId="55" applyNumberFormat="0" applyFill="0" applyAlignment="0" applyProtection="0"/>
    <xf numFmtId="0"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12" fillId="57" borderId="53" applyNumberFormat="0" applyFont="0" applyAlignment="0" applyProtection="0"/>
    <xf numFmtId="189" fontId="93" fillId="0" borderId="55" applyNumberFormat="0" applyFill="0" applyAlignment="0" applyProtection="0"/>
    <xf numFmtId="189" fontId="91" fillId="54" borderId="54" applyNumberForma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87" fillId="41" borderId="47" applyNumberFormat="0" applyAlignment="0" applyProtection="0"/>
    <xf numFmtId="189" fontId="87" fillId="41" borderId="47"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91" fillId="54" borderId="54" applyNumberFormat="0" applyAlignment="0" applyProtection="0"/>
    <xf numFmtId="189" fontId="87" fillId="41" borderId="47" applyNumberFormat="0" applyAlignment="0" applyProtection="0"/>
    <xf numFmtId="189" fontId="78" fillId="54" borderId="47" applyNumberForma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9" fontId="78" fillId="54" borderId="47" applyNumberFormat="0" applyAlignment="0" applyProtection="0"/>
    <xf numFmtId="189" fontId="87" fillId="41" borderId="47" applyNumberForma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12" fillId="57" borderId="53" applyNumberFormat="0" applyFont="0" applyAlignment="0" applyProtection="0"/>
    <xf numFmtId="189" fontId="91" fillId="54" borderId="54" applyNumberFormat="0" applyAlignment="0" applyProtection="0"/>
    <xf numFmtId="189" fontId="93" fillId="0" borderId="55" applyNumberFormat="0" applyFill="0" applyAlignment="0" applyProtection="0"/>
    <xf numFmtId="189" fontId="12" fillId="57" borderId="53" applyNumberFormat="0" applyFont="0" applyAlignment="0" applyProtection="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81" fontId="78" fillId="54" borderId="47" applyNumberFormat="0" applyAlignment="0" applyProtection="0"/>
    <xf numFmtId="181" fontId="87" fillId="41" borderId="47" applyNumberForma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12" fillId="57" borderId="53" applyNumberFormat="0" applyFont="0" applyAlignment="0" applyProtection="0"/>
    <xf numFmtId="181" fontId="91" fillId="54" borderId="54" applyNumberFormat="0" applyAlignment="0" applyProtection="0"/>
    <xf numFmtId="181" fontId="93" fillId="0" borderId="55" applyNumberFormat="0" applyFill="0" applyAlignment="0" applyProtection="0"/>
    <xf numFmtId="181" fontId="12" fillId="57" borderId="53" applyNumberFormat="0" applyFont="0" applyAlignment="0" applyProtection="0"/>
    <xf numFmtId="190" fontId="78" fillId="54" borderId="47" applyNumberFormat="0" applyAlignment="0" applyProtection="0"/>
    <xf numFmtId="190" fontId="87" fillId="41" borderId="47" applyNumberForma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12" fillId="57" borderId="53" applyNumberFormat="0" applyFont="0" applyAlignment="0" applyProtection="0"/>
    <xf numFmtId="190" fontId="91" fillId="54" borderId="54" applyNumberFormat="0" applyAlignment="0" applyProtection="0"/>
    <xf numFmtId="190" fontId="93" fillId="0" borderId="55" applyNumberFormat="0" applyFill="0" applyAlignment="0" applyProtection="0"/>
    <xf numFmtId="190" fontId="12" fillId="57" borderId="53" applyNumberFormat="0" applyFont="0" applyAlignment="0" applyProtection="0"/>
    <xf numFmtId="0" fontId="78" fillId="54" borderId="47" applyNumberFormat="0" applyAlignment="0" applyProtection="0"/>
    <xf numFmtId="0" fontId="87" fillId="41" borderId="47" applyNumberFormat="0" applyAlignment="0" applyProtection="0"/>
    <xf numFmtId="0" fontId="12" fillId="57" borderId="53" applyNumberFormat="0" applyFont="0" applyAlignment="0" applyProtection="0"/>
    <xf numFmtId="0" fontId="91" fillId="54" borderId="54" applyNumberFormat="0" applyAlignment="0" applyProtection="0"/>
    <xf numFmtId="0" fontId="93" fillId="0" borderId="55" applyNumberFormat="0" applyFill="0" applyAlignment="0" applyProtection="0"/>
    <xf numFmtId="0" fontId="7" fillId="0" borderId="0"/>
    <xf numFmtId="0" fontId="7" fillId="11" borderId="42" applyNumberFormat="0" applyFont="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6" fillId="0" borderId="0"/>
    <xf numFmtId="0" fontId="6" fillId="11" borderId="42"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5" fillId="0" borderId="0"/>
    <xf numFmtId="43" fontId="5" fillId="0" borderId="0" applyFont="0" applyFill="0" applyBorder="0" applyAlignment="0" applyProtection="0"/>
    <xf numFmtId="181" fontId="12" fillId="0" borderId="0"/>
    <xf numFmtId="166" fontId="12" fillId="0" borderId="0" applyFont="0" applyFill="0" applyBorder="0" applyAlignment="0" applyProtection="0"/>
    <xf numFmtId="9" fontId="12" fillId="0" borderId="0" applyFont="0" applyFill="0" applyBorder="0" applyAlignment="0" applyProtection="0"/>
    <xf numFmtId="0" fontId="58" fillId="0" borderId="35" applyNumberFormat="0" applyFill="0" applyAlignment="0" applyProtection="0"/>
    <xf numFmtId="0" fontId="59" fillId="0" borderId="36" applyNumberFormat="0" applyFill="0" applyAlignment="0" applyProtection="0"/>
    <xf numFmtId="0" fontId="60" fillId="0" borderId="37" applyNumberFormat="0" applyFill="0" applyAlignment="0" applyProtection="0"/>
    <xf numFmtId="0" fontId="60" fillId="0" borderId="0" applyNumberFormat="0" applyFill="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0" applyNumberFormat="0" applyBorder="0" applyAlignment="0" applyProtection="0"/>
    <xf numFmtId="0" fontId="64" fillId="8" borderId="38" applyNumberFormat="0" applyAlignment="0" applyProtection="0"/>
    <xf numFmtId="0" fontId="65" fillId="9" borderId="39" applyNumberFormat="0" applyAlignment="0" applyProtection="0"/>
    <xf numFmtId="0" fontId="66" fillId="9" borderId="38" applyNumberFormat="0" applyAlignment="0" applyProtection="0"/>
    <xf numFmtId="0" fontId="67" fillId="0" borderId="40" applyNumberFormat="0" applyFill="0" applyAlignment="0" applyProtection="0"/>
    <xf numFmtId="0" fontId="68" fillId="10" borderId="41"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43" applyNumberFormat="0" applyFill="0" applyAlignment="0" applyProtection="0"/>
    <xf numFmtId="0" fontId="72"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72" fillId="23" borderId="0" applyNumberFormat="0" applyBorder="0" applyAlignment="0" applyProtection="0"/>
    <xf numFmtId="0" fontId="72"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72" fillId="27" borderId="0" applyNumberFormat="0" applyBorder="0" applyAlignment="0" applyProtection="0"/>
    <xf numFmtId="0" fontId="72"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72" fillId="31" borderId="0" applyNumberFormat="0" applyBorder="0" applyAlignment="0" applyProtection="0"/>
    <xf numFmtId="0" fontId="72"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72" fillId="35" borderId="0" applyNumberFormat="0" applyBorder="0" applyAlignment="0" applyProtection="0"/>
    <xf numFmtId="0" fontId="5" fillId="0" borderId="0"/>
    <xf numFmtId="0" fontId="5" fillId="11" borderId="42"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0" fontId="5" fillId="11" borderId="42"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0" fontId="5" fillId="11" borderId="42"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165" fontId="12" fillId="0" borderId="0" applyFont="0" applyFill="0" applyBorder="0" applyAlignment="0" applyProtection="0"/>
    <xf numFmtId="0" fontId="5" fillId="0" borderId="0"/>
    <xf numFmtId="0" fontId="5" fillId="11" borderId="42"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0" fontId="5" fillId="0" borderId="0"/>
    <xf numFmtId="0" fontId="5" fillId="11" borderId="42"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0" borderId="0"/>
    <xf numFmtId="0" fontId="4" fillId="11" borderId="42"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42"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42"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42"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4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66" fontId="81" fillId="0" borderId="0" applyFont="0" applyFill="0" applyBorder="0" applyAlignment="0" applyProtection="0"/>
    <xf numFmtId="43" fontId="114" fillId="0" borderId="0" applyFont="0" applyFill="0" applyBorder="0" applyAlignment="0" applyProtection="0"/>
    <xf numFmtId="43" fontId="114" fillId="0" borderId="0" applyFont="0" applyFill="0" applyBorder="0" applyAlignment="0" applyProtection="0"/>
    <xf numFmtId="166" fontId="81" fillId="0" borderId="0" applyFont="0" applyFill="0" applyBorder="0" applyAlignment="0" applyProtection="0"/>
    <xf numFmtId="165" fontId="8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75" fillId="11" borderId="42" applyNumberFormat="0" applyFont="0" applyAlignment="0" applyProtection="0"/>
    <xf numFmtId="0" fontId="75" fillId="11" borderId="42" applyNumberFormat="0" applyFont="0" applyAlignment="0" applyProtection="0"/>
    <xf numFmtId="0" fontId="114" fillId="11" borderId="42" applyNumberFormat="0" applyFont="0" applyAlignment="0" applyProtection="0"/>
    <xf numFmtId="0" fontId="114" fillId="11" borderId="42" applyNumberFormat="0" applyFont="0" applyAlignment="0" applyProtection="0"/>
    <xf numFmtId="0" fontId="114" fillId="11" borderId="42" applyNumberFormat="0" applyFont="0" applyAlignment="0" applyProtection="0"/>
    <xf numFmtId="9" fontId="81" fillId="0" borderId="0" applyFont="0" applyFill="0" applyBorder="0" applyAlignment="0" applyProtection="0"/>
    <xf numFmtId="9" fontId="114" fillId="0" borderId="0" applyFont="0" applyFill="0" applyBorder="0" applyAlignment="0" applyProtection="0"/>
    <xf numFmtId="9" fontId="114" fillId="0" borderId="0" applyFont="0" applyFill="0" applyBorder="0" applyAlignment="0" applyProtection="0"/>
  </cellStyleXfs>
  <cellXfs count="2443">
    <xf numFmtId="181" fontId="0" fillId="0" borderId="0" xfId="0"/>
    <xf numFmtId="181" fontId="22" fillId="0" borderId="0" xfId="0" applyFont="1" applyFill="1" applyBorder="1"/>
    <xf numFmtId="181" fontId="0" fillId="0" borderId="0" xfId="0" applyFill="1" applyBorder="1"/>
    <xf numFmtId="181" fontId="0" fillId="0" borderId="0" xfId="0" applyBorder="1"/>
    <xf numFmtId="181" fontId="15" fillId="0" borderId="0" xfId="0" applyFont="1" applyFill="1" applyBorder="1" applyAlignment="1">
      <alignment horizontal="left"/>
    </xf>
    <xf numFmtId="181" fontId="16" fillId="0" borderId="0" xfId="0" applyFont="1" applyFill="1" applyBorder="1"/>
    <xf numFmtId="181" fontId="17" fillId="0" borderId="0" xfId="0" applyFont="1" applyFill="1" applyBorder="1"/>
    <xf numFmtId="181" fontId="19" fillId="0" borderId="0" xfId="0" applyFont="1" applyFill="1" applyBorder="1"/>
    <xf numFmtId="167" fontId="17" fillId="0" borderId="0" xfId="0" applyNumberFormat="1" applyFont="1" applyFill="1" applyBorder="1"/>
    <xf numFmtId="168" fontId="17" fillId="0" borderId="0" xfId="0" applyNumberFormat="1" applyFont="1" applyFill="1" applyBorder="1"/>
    <xf numFmtId="168" fontId="14" fillId="0" borderId="0" xfId="0" applyNumberFormat="1" applyFont="1" applyBorder="1"/>
    <xf numFmtId="181" fontId="0" fillId="0" borderId="0" xfId="0" applyFill="1" applyBorder="1" applyAlignment="1"/>
    <xf numFmtId="181" fontId="23" fillId="0" borderId="1" xfId="0" applyFont="1" applyFill="1" applyBorder="1" applyAlignment="1">
      <alignment horizontal="center"/>
    </xf>
    <xf numFmtId="181" fontId="23" fillId="0" borderId="0" xfId="0" applyFont="1" applyFill="1" applyBorder="1" applyAlignment="1">
      <alignment horizontal="center"/>
    </xf>
    <xf numFmtId="181" fontId="24" fillId="0" borderId="0" xfId="0" applyFont="1" applyFill="1" applyBorder="1" applyAlignment="1">
      <alignment horizontal="center"/>
    </xf>
    <xf numFmtId="181" fontId="0" fillId="0" borderId="2" xfId="0" applyBorder="1"/>
    <xf numFmtId="181" fontId="0" fillId="0" borderId="3" xfId="0" applyBorder="1"/>
    <xf numFmtId="181" fontId="0" fillId="0" borderId="4" xfId="0" applyBorder="1"/>
    <xf numFmtId="181" fontId="23" fillId="0" borderId="5" xfId="0" applyFont="1" applyFill="1" applyBorder="1" applyAlignment="1">
      <alignment horizontal="center"/>
    </xf>
    <xf numFmtId="181" fontId="23" fillId="0" borderId="6" xfId="0" applyFont="1" applyFill="1" applyBorder="1" applyAlignment="1">
      <alignment horizontal="center"/>
    </xf>
    <xf numFmtId="181" fontId="0" fillId="0" borderId="7" xfId="0" applyBorder="1"/>
    <xf numFmtId="181" fontId="23" fillId="0" borderId="8" xfId="0" applyFont="1" applyFill="1" applyBorder="1" applyAlignment="1">
      <alignment horizontal="center"/>
    </xf>
    <xf numFmtId="181" fontId="0" fillId="0" borderId="9" xfId="0" applyBorder="1"/>
    <xf numFmtId="181" fontId="0" fillId="0" borderId="10" xfId="0" applyBorder="1"/>
    <xf numFmtId="181" fontId="0" fillId="0" borderId="11" xfId="0" applyBorder="1"/>
    <xf numFmtId="181" fontId="0" fillId="0" borderId="6" xfId="0" applyBorder="1"/>
    <xf numFmtId="169" fontId="17" fillId="0" borderId="11" xfId="1" applyNumberFormat="1" applyFont="1" applyFill="1" applyBorder="1"/>
    <xf numFmtId="168" fontId="17" fillId="0" borderId="11" xfId="7" applyNumberFormat="1" applyFont="1" applyFill="1" applyBorder="1" applyAlignment="1">
      <alignment horizontal="right"/>
    </xf>
    <xf numFmtId="169" fontId="17" fillId="0" borderId="0" xfId="1" applyNumberFormat="1" applyFont="1" applyFill="1" applyBorder="1"/>
    <xf numFmtId="170" fontId="17" fillId="0" borderId="0" xfId="0" applyNumberFormat="1" applyFont="1" applyFill="1" applyBorder="1"/>
    <xf numFmtId="170" fontId="17" fillId="0" borderId="0" xfId="1" applyNumberFormat="1" applyFont="1" applyFill="1" applyBorder="1"/>
    <xf numFmtId="172" fontId="17" fillId="0" borderId="0" xfId="0" applyNumberFormat="1" applyFont="1" applyFill="1" applyBorder="1"/>
    <xf numFmtId="168" fontId="17" fillId="0" borderId="0" xfId="7" applyNumberFormat="1" applyFont="1" applyFill="1" applyBorder="1"/>
    <xf numFmtId="173" fontId="17" fillId="0" borderId="0" xfId="0" applyNumberFormat="1" applyFont="1" applyFill="1" applyBorder="1"/>
    <xf numFmtId="169" fontId="17" fillId="0" borderId="10" xfId="1" applyNumberFormat="1" applyFont="1" applyFill="1" applyBorder="1"/>
    <xf numFmtId="168" fontId="17" fillId="0" borderId="0" xfId="7" applyNumberFormat="1" applyFont="1" applyFill="1" applyBorder="1" applyAlignment="1">
      <alignment horizontal="right"/>
    </xf>
    <xf numFmtId="171" fontId="17" fillId="0" borderId="0" xfId="7" applyNumberFormat="1" applyFont="1" applyFill="1" applyBorder="1"/>
    <xf numFmtId="169" fontId="17" fillId="0" borderId="9" xfId="1" applyNumberFormat="1" applyFont="1" applyFill="1" applyBorder="1"/>
    <xf numFmtId="39" fontId="17" fillId="0" borderId="0" xfId="0" applyNumberFormat="1" applyFont="1" applyFill="1" applyBorder="1"/>
    <xf numFmtId="168" fontId="17" fillId="0" borderId="11" xfId="0" applyNumberFormat="1" applyFont="1" applyFill="1" applyBorder="1"/>
    <xf numFmtId="168" fontId="22" fillId="0" borderId="0" xfId="7" applyNumberFormat="1" applyFont="1" applyFill="1" applyBorder="1" applyAlignment="1">
      <alignment horizontal="right"/>
    </xf>
    <xf numFmtId="170" fontId="22" fillId="0" borderId="0" xfId="0" applyNumberFormat="1" applyFont="1" applyFill="1" applyBorder="1"/>
    <xf numFmtId="168" fontId="22" fillId="0" borderId="0" xfId="0" applyNumberFormat="1" applyFont="1" applyFill="1" applyBorder="1"/>
    <xf numFmtId="168" fontId="22" fillId="0" borderId="0" xfId="7" applyNumberFormat="1" applyFont="1" applyFill="1" applyBorder="1"/>
    <xf numFmtId="181" fontId="17" fillId="0" borderId="0" xfId="0" applyFont="1"/>
    <xf numFmtId="169" fontId="17" fillId="0" borderId="10" xfId="0" applyNumberFormat="1" applyFont="1" applyFill="1" applyBorder="1"/>
    <xf numFmtId="181" fontId="23" fillId="0" borderId="7" xfId="0" applyFont="1" applyFill="1" applyBorder="1" applyAlignment="1">
      <alignment horizontal="center"/>
    </xf>
    <xf numFmtId="181" fontId="17" fillId="0" borderId="9" xfId="0" applyFont="1" applyBorder="1"/>
    <xf numFmtId="181" fontId="26" fillId="0" borderId="0" xfId="0" applyFont="1" applyAlignment="1">
      <alignment horizontal="center"/>
    </xf>
    <xf numFmtId="181" fontId="0" fillId="0" borderId="0" xfId="0" applyAlignment="1">
      <alignment horizontal="right"/>
    </xf>
    <xf numFmtId="181" fontId="0" fillId="0" borderId="0" xfId="0" applyAlignment="1">
      <alignment wrapText="1"/>
    </xf>
    <xf numFmtId="181" fontId="0" fillId="2" borderId="0" xfId="0" applyFill="1"/>
    <xf numFmtId="181" fontId="29" fillId="0" borderId="0" xfId="0" applyFont="1" applyAlignment="1">
      <alignment horizontal="center"/>
    </xf>
    <xf numFmtId="181" fontId="26" fillId="0" borderId="0" xfId="0" applyFont="1"/>
    <xf numFmtId="181" fontId="0" fillId="0" borderId="0" xfId="0" applyNumberFormat="1" applyFill="1" applyAlignment="1">
      <alignment horizontal="center"/>
    </xf>
    <xf numFmtId="181" fontId="0" fillId="0" borderId="0" xfId="0" applyAlignment="1">
      <alignment horizontal="center"/>
    </xf>
    <xf numFmtId="181" fontId="0" fillId="0" borderId="0" xfId="0" applyFill="1" applyAlignment="1">
      <alignment wrapText="1"/>
    </xf>
    <xf numFmtId="181" fontId="0" fillId="0" borderId="0" xfId="0" applyNumberFormat="1" applyBorder="1" applyAlignment="1">
      <alignment horizontal="center"/>
    </xf>
    <xf numFmtId="181" fontId="0" fillId="0" borderId="0" xfId="0" applyNumberFormat="1" applyFill="1" applyBorder="1" applyAlignment="1">
      <alignment horizontal="center"/>
    </xf>
    <xf numFmtId="181" fontId="26" fillId="0" borderId="0" xfId="0" applyFont="1" applyBorder="1" applyAlignment="1">
      <alignment horizontal="left"/>
    </xf>
    <xf numFmtId="181" fontId="25" fillId="0" borderId="0" xfId="5" applyFont="1" applyBorder="1" applyAlignment="1" applyProtection="1">
      <alignment horizontal="center"/>
    </xf>
    <xf numFmtId="181" fontId="0" fillId="0" borderId="0" xfId="0" applyFill="1"/>
    <xf numFmtId="10" fontId="0" fillId="0" borderId="0" xfId="0" applyNumberFormat="1"/>
    <xf numFmtId="181" fontId="17" fillId="0" borderId="0" xfId="0" applyFont="1" applyAlignment="1"/>
    <xf numFmtId="181" fontId="0" fillId="0" borderId="0" xfId="0" applyAlignment="1"/>
    <xf numFmtId="181" fontId="0" fillId="0" borderId="0" xfId="0" applyFill="1" applyAlignment="1"/>
    <xf numFmtId="181" fontId="24" fillId="0" borderId="0" xfId="0" applyFont="1"/>
    <xf numFmtId="181" fontId="30" fillId="0" borderId="0" xfId="0" applyFont="1"/>
    <xf numFmtId="181" fontId="31" fillId="3" borderId="12" xfId="0" applyFont="1" applyFill="1" applyBorder="1" applyAlignment="1">
      <alignment horizontal="left"/>
    </xf>
    <xf numFmtId="181" fontId="32" fillId="3" borderId="13" xfId="0" applyFont="1" applyFill="1" applyBorder="1"/>
    <xf numFmtId="181" fontId="32" fillId="3" borderId="14" xfId="0" applyFont="1" applyFill="1" applyBorder="1"/>
    <xf numFmtId="181" fontId="33" fillId="0" borderId="0" xfId="0" applyFont="1"/>
    <xf numFmtId="181" fontId="33" fillId="0" borderId="2" xfId="0" applyFont="1" applyBorder="1"/>
    <xf numFmtId="181" fontId="33" fillId="0" borderId="3" xfId="0" applyFont="1" applyBorder="1"/>
    <xf numFmtId="181" fontId="33" fillId="0" borderId="3" xfId="0" applyFont="1" applyBorder="1" applyAlignment="1">
      <alignment horizontal="right"/>
    </xf>
    <xf numFmtId="181" fontId="33" fillId="0" borderId="4" xfId="0" applyFont="1" applyBorder="1"/>
    <xf numFmtId="181" fontId="33" fillId="0" borderId="11" xfId="0" applyFont="1" applyBorder="1"/>
    <xf numFmtId="181" fontId="33" fillId="0" borderId="1" xfId="0" applyFont="1" applyBorder="1"/>
    <xf numFmtId="181" fontId="34" fillId="0" borderId="0" xfId="0" applyFont="1"/>
    <xf numFmtId="181" fontId="35" fillId="0" borderId="0" xfId="0" applyFont="1"/>
    <xf numFmtId="181" fontId="33" fillId="0" borderId="0" xfId="0" applyFont="1" applyAlignment="1">
      <alignment wrapText="1"/>
    </xf>
    <xf numFmtId="181" fontId="14" fillId="0" borderId="0" xfId="0" applyFont="1"/>
    <xf numFmtId="181" fontId="26" fillId="0" borderId="0" xfId="0" applyFont="1" applyFill="1" applyAlignment="1"/>
    <xf numFmtId="181" fontId="36" fillId="0" borderId="0" xfId="0" applyFont="1" applyFill="1"/>
    <xf numFmtId="181" fontId="38" fillId="0" borderId="0" xfId="0" applyFont="1"/>
    <xf numFmtId="181" fontId="23" fillId="0" borderId="0" xfId="0" applyFont="1" applyFill="1" applyBorder="1"/>
    <xf numFmtId="181" fontId="23" fillId="0" borderId="0" xfId="0" applyFont="1"/>
    <xf numFmtId="181" fontId="17" fillId="0" borderId="0" xfId="0" applyFont="1" applyFill="1"/>
    <xf numFmtId="168" fontId="17" fillId="0" borderId="0" xfId="0" applyNumberFormat="1" applyFont="1"/>
    <xf numFmtId="168" fontId="17" fillId="0" borderId="0" xfId="0" applyNumberFormat="1" applyFont="1" applyFill="1"/>
    <xf numFmtId="181" fontId="16" fillId="0" borderId="0" xfId="0" applyFont="1"/>
    <xf numFmtId="181" fontId="17" fillId="0" borderId="0" xfId="0" applyFont="1" applyBorder="1"/>
    <xf numFmtId="168" fontId="17" fillId="0" borderId="1" xfId="7" applyNumberFormat="1" applyFont="1" applyFill="1" applyBorder="1" applyAlignment="1">
      <alignment horizontal="right"/>
    </xf>
    <xf numFmtId="169" fontId="0" fillId="0" borderId="0" xfId="0" applyNumberFormat="1" applyFill="1" applyBorder="1"/>
    <xf numFmtId="168" fontId="0" fillId="0" borderId="0" xfId="0" applyNumberFormat="1" applyFill="1" applyBorder="1"/>
    <xf numFmtId="170" fontId="0" fillId="0" borderId="0" xfId="0" applyNumberFormat="1" applyFill="1" applyBorder="1"/>
    <xf numFmtId="169" fontId="17" fillId="0" borderId="0" xfId="0" applyNumberFormat="1" applyFont="1" applyFill="1" applyBorder="1"/>
    <xf numFmtId="169" fontId="17" fillId="0" borderId="5" xfId="0" applyNumberFormat="1" applyFont="1" applyFill="1" applyBorder="1"/>
    <xf numFmtId="168" fontId="17" fillId="0" borderId="1" xfId="0" applyNumberFormat="1" applyFont="1" applyFill="1" applyBorder="1"/>
    <xf numFmtId="169" fontId="17" fillId="0" borderId="4" xfId="1" applyNumberFormat="1" applyFont="1" applyFill="1" applyBorder="1"/>
    <xf numFmtId="169" fontId="17" fillId="0" borderId="6" xfId="1" applyNumberFormat="1" applyFont="1" applyFill="1" applyBorder="1"/>
    <xf numFmtId="169" fontId="17" fillId="0" borderId="1" xfId="1" applyNumberFormat="1" applyFont="1" applyFill="1" applyBorder="1"/>
    <xf numFmtId="169" fontId="17" fillId="0" borderId="8" xfId="1" applyNumberFormat="1" applyFont="1" applyFill="1" applyBorder="1"/>
    <xf numFmtId="37" fontId="17" fillId="0" borderId="9" xfId="1" applyNumberFormat="1" applyFont="1" applyFill="1" applyBorder="1"/>
    <xf numFmtId="176" fontId="17" fillId="0" borderId="0" xfId="0" applyNumberFormat="1" applyFont="1" applyFill="1" applyBorder="1" applyAlignment="1">
      <alignment horizontal="right"/>
    </xf>
    <xf numFmtId="181" fontId="17" fillId="0" borderId="10" xfId="0" applyFont="1" applyBorder="1"/>
    <xf numFmtId="181" fontId="17" fillId="0" borderId="4" xfId="0" applyFont="1" applyBorder="1"/>
    <xf numFmtId="181" fontId="17" fillId="0" borderId="11" xfId="0" applyFont="1" applyBorder="1"/>
    <xf numFmtId="169" fontId="17" fillId="0" borderId="0" xfId="0" applyNumberFormat="1" applyFont="1"/>
    <xf numFmtId="169" fontId="17" fillId="0" borderId="11" xfId="0" applyNumberFormat="1" applyFont="1" applyBorder="1"/>
    <xf numFmtId="169" fontId="17" fillId="0" borderId="12" xfId="1" applyNumberFormat="1" applyFont="1" applyFill="1" applyBorder="1"/>
    <xf numFmtId="168" fontId="17" fillId="0" borderId="14" xfId="7" applyNumberFormat="1" applyFont="1" applyFill="1" applyBorder="1" applyAlignment="1">
      <alignment horizontal="right"/>
    </xf>
    <xf numFmtId="37" fontId="17" fillId="0" borderId="15" xfId="1" applyNumberFormat="1" applyFont="1" applyFill="1" applyBorder="1"/>
    <xf numFmtId="169" fontId="17" fillId="0" borderId="14" xfId="0" applyNumberFormat="1" applyFont="1" applyBorder="1"/>
    <xf numFmtId="37" fontId="17" fillId="0" borderId="10" xfId="1" applyNumberFormat="1" applyFont="1" applyFill="1" applyBorder="1"/>
    <xf numFmtId="169" fontId="17" fillId="0" borderId="10" xfId="0" applyNumberFormat="1" applyFont="1" applyBorder="1"/>
    <xf numFmtId="169" fontId="17" fillId="0" borderId="9" xfId="0" applyNumberFormat="1" applyFont="1" applyBorder="1"/>
    <xf numFmtId="37" fontId="17" fillId="0" borderId="12" xfId="1" applyNumberFormat="1" applyFont="1" applyFill="1" applyBorder="1"/>
    <xf numFmtId="37" fontId="17" fillId="0" borderId="9" xfId="0" applyNumberFormat="1" applyFont="1" applyBorder="1"/>
    <xf numFmtId="37" fontId="17" fillId="0" borderId="0" xfId="0" applyNumberFormat="1" applyFont="1"/>
    <xf numFmtId="168" fontId="17" fillId="0" borderId="17" xfId="7" applyNumberFormat="1" applyFont="1" applyFill="1" applyBorder="1" applyAlignment="1">
      <alignment horizontal="right"/>
    </xf>
    <xf numFmtId="170" fontId="17" fillId="0" borderId="0" xfId="0" applyNumberFormat="1" applyFont="1" applyBorder="1"/>
    <xf numFmtId="168" fontId="17" fillId="0" borderId="0" xfId="0" applyNumberFormat="1" applyFont="1" applyBorder="1"/>
    <xf numFmtId="168" fontId="19" fillId="0" borderId="0" xfId="0" applyNumberFormat="1" applyFont="1" applyBorder="1"/>
    <xf numFmtId="181" fontId="17" fillId="0" borderId="7" xfId="0" applyFont="1" applyBorder="1"/>
    <xf numFmtId="181" fontId="17" fillId="0" borderId="3" xfId="0" applyFont="1" applyBorder="1"/>
    <xf numFmtId="181" fontId="17" fillId="0" borderId="2" xfId="0" applyFont="1" applyBorder="1"/>
    <xf numFmtId="181" fontId="17" fillId="0" borderId="0" xfId="0" applyFont="1" applyFill="1" applyBorder="1" applyAlignment="1">
      <alignment horizontal="center"/>
    </xf>
    <xf numFmtId="37" fontId="17" fillId="0" borderId="8" xfId="0" applyNumberFormat="1" applyFont="1" applyBorder="1"/>
    <xf numFmtId="37" fontId="17" fillId="0" borderId="9" xfId="1" applyNumberFormat="1" applyFont="1" applyFill="1" applyBorder="1" applyAlignment="1">
      <alignment horizontal="right"/>
    </xf>
    <xf numFmtId="37" fontId="17" fillId="0" borderId="15" xfId="1" applyNumberFormat="1" applyFont="1" applyFill="1" applyBorder="1" applyAlignment="1">
      <alignment horizontal="right"/>
    </xf>
    <xf numFmtId="181" fontId="17" fillId="0" borderId="9" xfId="0" applyFont="1" applyBorder="1" applyAlignment="1">
      <alignment horizontal="right"/>
    </xf>
    <xf numFmtId="169" fontId="17" fillId="0" borderId="9" xfId="0" applyNumberFormat="1" applyFont="1" applyBorder="1" applyAlignment="1">
      <alignment horizontal="right"/>
    </xf>
    <xf numFmtId="37" fontId="17" fillId="0" borderId="8" xfId="1" applyNumberFormat="1" applyFont="1" applyFill="1" applyBorder="1"/>
    <xf numFmtId="37" fontId="17" fillId="0" borderId="8" xfId="1" applyNumberFormat="1" applyFont="1" applyFill="1" applyBorder="1" applyAlignment="1">
      <alignment horizontal="right"/>
    </xf>
    <xf numFmtId="176" fontId="17" fillId="0" borderId="0" xfId="0" applyNumberFormat="1" applyFont="1"/>
    <xf numFmtId="37" fontId="17" fillId="0" borderId="18" xfId="1" applyNumberFormat="1" applyFont="1" applyFill="1" applyBorder="1" applyAlignment="1">
      <alignment horizontal="right"/>
    </xf>
    <xf numFmtId="181" fontId="26" fillId="0" borderId="0" xfId="0" applyFont="1" applyBorder="1"/>
    <xf numFmtId="37" fontId="17" fillId="0" borderId="5" xfId="1" applyNumberFormat="1" applyFont="1" applyFill="1" applyBorder="1"/>
    <xf numFmtId="37" fontId="17" fillId="0" borderId="0" xfId="1" applyNumberFormat="1" applyFont="1" applyFill="1" applyBorder="1"/>
    <xf numFmtId="169" fontId="17" fillId="0" borderId="0" xfId="0" applyNumberFormat="1" applyFont="1" applyBorder="1"/>
    <xf numFmtId="169" fontId="17" fillId="0" borderId="0" xfId="0" applyNumberFormat="1" applyFont="1" applyBorder="1" applyAlignment="1">
      <alignment horizontal="right"/>
    </xf>
    <xf numFmtId="169" fontId="17" fillId="0" borderId="10" xfId="0" applyNumberFormat="1" applyFont="1" applyBorder="1" applyAlignment="1">
      <alignment horizontal="right"/>
    </xf>
    <xf numFmtId="37" fontId="17" fillId="0" borderId="11" xfId="1" applyNumberFormat="1" applyFont="1" applyFill="1" applyBorder="1"/>
    <xf numFmtId="169" fontId="17" fillId="0" borderId="11" xfId="0" applyNumberFormat="1" applyFont="1" applyBorder="1" applyAlignment="1">
      <alignment horizontal="right"/>
    </xf>
    <xf numFmtId="37" fontId="17" fillId="0" borderId="6" xfId="1" applyNumberFormat="1" applyFont="1" applyFill="1" applyBorder="1"/>
    <xf numFmtId="37" fontId="17" fillId="0" borderId="1" xfId="1" applyNumberFormat="1" applyFont="1" applyFill="1" applyBorder="1"/>
    <xf numFmtId="37" fontId="17" fillId="0" borderId="13" xfId="1" applyNumberFormat="1" applyFont="1" applyFill="1" applyBorder="1"/>
    <xf numFmtId="37" fontId="17" fillId="0" borderId="14" xfId="1" applyNumberFormat="1" applyFont="1" applyFill="1" applyBorder="1"/>
    <xf numFmtId="37" fontId="17" fillId="0" borderId="19" xfId="1" applyNumberFormat="1" applyFont="1" applyFill="1" applyBorder="1"/>
    <xf numFmtId="37" fontId="17" fillId="0" borderId="17" xfId="1" applyNumberFormat="1" applyFont="1" applyFill="1" applyBorder="1"/>
    <xf numFmtId="37" fontId="17" fillId="0" borderId="2" xfId="1" applyNumberFormat="1" applyFont="1" applyFill="1" applyBorder="1"/>
    <xf numFmtId="37" fontId="17" fillId="0" borderId="4" xfId="1" applyNumberFormat="1" applyFont="1" applyFill="1" applyBorder="1"/>
    <xf numFmtId="37" fontId="17" fillId="0" borderId="7" xfId="1" applyNumberFormat="1" applyFont="1" applyFill="1" applyBorder="1"/>
    <xf numFmtId="176" fontId="17" fillId="0" borderId="0" xfId="7" applyNumberFormat="1" applyFont="1" applyFill="1"/>
    <xf numFmtId="37" fontId="17" fillId="0" borderId="5" xfId="0" applyNumberFormat="1" applyFont="1" applyBorder="1"/>
    <xf numFmtId="37" fontId="17" fillId="0" borderId="2" xfId="0" applyNumberFormat="1" applyFont="1" applyBorder="1"/>
    <xf numFmtId="37" fontId="17" fillId="0" borderId="10" xfId="0" applyNumberFormat="1" applyFont="1" applyBorder="1"/>
    <xf numFmtId="181" fontId="23" fillId="0" borderId="10" xfId="0" applyFont="1" applyFill="1" applyBorder="1" applyAlignment="1">
      <alignment horizontal="center"/>
    </xf>
    <xf numFmtId="181" fontId="23" fillId="0" borderId="11" xfId="0" applyFont="1" applyFill="1" applyBorder="1" applyAlignment="1">
      <alignment horizontal="center"/>
    </xf>
    <xf numFmtId="37" fontId="17" fillId="0" borderId="0" xfId="1" applyNumberFormat="1" applyFont="1" applyFill="1" applyBorder="1" applyAlignment="1">
      <alignment horizontal="right"/>
    </xf>
    <xf numFmtId="37" fontId="17" fillId="0" borderId="3" xfId="1" applyNumberFormat="1" applyFont="1" applyFill="1" applyBorder="1" applyAlignment="1">
      <alignment horizontal="right"/>
    </xf>
    <xf numFmtId="37" fontId="17" fillId="0" borderId="4" xfId="1" applyNumberFormat="1" applyFont="1" applyFill="1" applyBorder="1" applyAlignment="1">
      <alignment horizontal="right"/>
    </xf>
    <xf numFmtId="37" fontId="17" fillId="0" borderId="10" xfId="1" applyNumberFormat="1" applyFont="1" applyFill="1" applyBorder="1" applyAlignment="1">
      <alignment horizontal="right"/>
    </xf>
    <xf numFmtId="37" fontId="17" fillId="0" borderId="11" xfId="1" applyNumberFormat="1" applyFont="1" applyFill="1" applyBorder="1" applyAlignment="1">
      <alignment horizontal="right"/>
    </xf>
    <xf numFmtId="37" fontId="17" fillId="0" borderId="5" xfId="1" applyNumberFormat="1" applyFont="1" applyFill="1" applyBorder="1" applyAlignment="1">
      <alignment horizontal="right"/>
    </xf>
    <xf numFmtId="37" fontId="17" fillId="0" borderId="6" xfId="1" applyNumberFormat="1" applyFont="1" applyFill="1" applyBorder="1" applyAlignment="1">
      <alignment horizontal="right"/>
    </xf>
    <xf numFmtId="37" fontId="17" fillId="0" borderId="1" xfId="1" applyNumberFormat="1" applyFont="1" applyFill="1" applyBorder="1" applyAlignment="1">
      <alignment horizontal="right"/>
    </xf>
    <xf numFmtId="169" fontId="17" fillId="0" borderId="10" xfId="1" applyNumberFormat="1" applyFont="1" applyFill="1" applyBorder="1" applyAlignment="1">
      <alignment horizontal="right"/>
    </xf>
    <xf numFmtId="181" fontId="17" fillId="0" borderId="0" xfId="0" applyFont="1" applyBorder="1" applyAlignment="1">
      <alignment horizontal="right"/>
    </xf>
    <xf numFmtId="181" fontId="17" fillId="0" borderId="10" xfId="0" applyFont="1" applyBorder="1" applyAlignment="1">
      <alignment horizontal="right"/>
    </xf>
    <xf numFmtId="181" fontId="17" fillId="0" borderId="0" xfId="0" applyFont="1" applyAlignment="1">
      <alignment horizontal="right"/>
    </xf>
    <xf numFmtId="169" fontId="17" fillId="0" borderId="12" xfId="1" applyNumberFormat="1" applyFont="1" applyFill="1" applyBorder="1" applyAlignment="1">
      <alignment horizontal="right"/>
    </xf>
    <xf numFmtId="37" fontId="17" fillId="0" borderId="12" xfId="1" applyNumberFormat="1" applyFont="1" applyFill="1" applyBorder="1" applyAlignment="1">
      <alignment horizontal="right"/>
    </xf>
    <xf numFmtId="37" fontId="17" fillId="0" borderId="13" xfId="1" applyNumberFormat="1" applyFont="1" applyFill="1" applyBorder="1" applyAlignment="1">
      <alignment horizontal="right"/>
    </xf>
    <xf numFmtId="37" fontId="17" fillId="0" borderId="14" xfId="1" applyNumberFormat="1" applyFont="1" applyFill="1" applyBorder="1" applyAlignment="1">
      <alignment horizontal="right"/>
    </xf>
    <xf numFmtId="169" fontId="17" fillId="0" borderId="5" xfId="1" applyNumberFormat="1" applyFont="1" applyFill="1" applyBorder="1" applyAlignment="1">
      <alignment horizontal="right"/>
    </xf>
    <xf numFmtId="37" fontId="17" fillId="0" borderId="16" xfId="1" applyNumberFormat="1" applyFont="1" applyFill="1" applyBorder="1" applyAlignment="1">
      <alignment horizontal="right"/>
    </xf>
    <xf numFmtId="37" fontId="17" fillId="0" borderId="19" xfId="1" applyNumberFormat="1" applyFont="1" applyFill="1" applyBorder="1" applyAlignment="1">
      <alignment horizontal="right"/>
    </xf>
    <xf numFmtId="37" fontId="17" fillId="0" borderId="17" xfId="1" applyNumberFormat="1" applyFont="1" applyFill="1" applyBorder="1" applyAlignment="1">
      <alignment horizontal="right"/>
    </xf>
    <xf numFmtId="169" fontId="17" fillId="0" borderId="0" xfId="1" applyNumberFormat="1" applyFont="1" applyFill="1" applyBorder="1" applyAlignment="1">
      <alignment horizontal="right"/>
    </xf>
    <xf numFmtId="181" fontId="17" fillId="0" borderId="0" xfId="0" applyFont="1" applyFill="1" applyBorder="1" applyAlignment="1">
      <alignment horizontal="right"/>
    </xf>
    <xf numFmtId="181" fontId="23" fillId="0" borderId="0" xfId="0" applyFont="1" applyFill="1" applyBorder="1" applyAlignment="1">
      <alignment horizontal="right"/>
    </xf>
    <xf numFmtId="37" fontId="17" fillId="0" borderId="7" xfId="1" applyNumberFormat="1" applyFont="1" applyFill="1" applyBorder="1" applyAlignment="1">
      <alignment horizontal="right"/>
    </xf>
    <xf numFmtId="181" fontId="23" fillId="0" borderId="9" xfId="0" applyFont="1" applyFill="1" applyBorder="1" applyAlignment="1">
      <alignment horizontal="center"/>
    </xf>
    <xf numFmtId="181" fontId="0" fillId="0" borderId="0" xfId="0" applyFill="1" applyAlignment="1">
      <alignment horizontal="left"/>
    </xf>
    <xf numFmtId="169" fontId="17" fillId="0" borderId="0" xfId="0" applyNumberFormat="1" applyFont="1" applyFill="1"/>
    <xf numFmtId="37" fontId="17" fillId="0" borderId="0" xfId="0" applyNumberFormat="1" applyFont="1" applyBorder="1" applyAlignment="1">
      <alignment horizontal="right"/>
    </xf>
    <xf numFmtId="181" fontId="33" fillId="0" borderId="20" xfId="0" applyFont="1" applyBorder="1"/>
    <xf numFmtId="169" fontId="17" fillId="0" borderId="9" xfId="1" applyNumberFormat="1" applyFont="1" applyFill="1" applyBorder="1" applyAlignment="1">
      <alignment horizontal="right"/>
    </xf>
    <xf numFmtId="37" fontId="17" fillId="0" borderId="8" xfId="0" applyNumberFormat="1" applyFont="1" applyBorder="1" applyAlignment="1">
      <alignment horizontal="right"/>
    </xf>
    <xf numFmtId="166" fontId="0" fillId="0" borderId="0" xfId="1" applyFont="1"/>
    <xf numFmtId="181" fontId="0" fillId="0" borderId="27" xfId="0" applyBorder="1"/>
    <xf numFmtId="181" fontId="0" fillId="0" borderId="28" xfId="0" applyBorder="1"/>
    <xf numFmtId="181" fontId="26" fillId="0" borderId="20" xfId="0" applyFont="1" applyBorder="1"/>
    <xf numFmtId="181" fontId="0" fillId="0" borderId="20" xfId="0" applyBorder="1"/>
    <xf numFmtId="181" fontId="0" fillId="0" borderId="21" xfId="0" applyBorder="1"/>
    <xf numFmtId="181" fontId="0" fillId="0" borderId="22" xfId="0" applyBorder="1"/>
    <xf numFmtId="184" fontId="0" fillId="0" borderId="0" xfId="0" applyNumberFormat="1" applyBorder="1"/>
    <xf numFmtId="4" fontId="0" fillId="0" borderId="13" xfId="0" applyNumberFormat="1" applyBorder="1"/>
    <xf numFmtId="182" fontId="0" fillId="0" borderId="0" xfId="0" applyNumberFormat="1" applyFill="1" applyBorder="1"/>
    <xf numFmtId="3" fontId="26" fillId="0" borderId="19" xfId="0" applyNumberFormat="1" applyFont="1" applyBorder="1"/>
    <xf numFmtId="181" fontId="26" fillId="0" borderId="29" xfId="0" applyFont="1" applyBorder="1"/>
    <xf numFmtId="181" fontId="42" fillId="0" borderId="20" xfId="0" applyFont="1" applyBorder="1"/>
    <xf numFmtId="181" fontId="26" fillId="0" borderId="21" xfId="0" applyFont="1" applyBorder="1"/>
    <xf numFmtId="184" fontId="0" fillId="0" borderId="21" xfId="0" applyNumberFormat="1" applyFill="1" applyBorder="1"/>
    <xf numFmtId="4" fontId="0" fillId="0" borderId="30" xfId="0" applyNumberFormat="1" applyBorder="1"/>
    <xf numFmtId="182" fontId="0" fillId="0" borderId="0" xfId="0" applyNumberFormat="1" applyBorder="1"/>
    <xf numFmtId="182" fontId="0" fillId="0" borderId="21" xfId="0" applyNumberFormat="1" applyBorder="1"/>
    <xf numFmtId="3" fontId="26" fillId="0" borderId="31" xfId="0" applyNumberFormat="1" applyFont="1" applyBorder="1"/>
    <xf numFmtId="3" fontId="26" fillId="0" borderId="0" xfId="0" applyNumberFormat="1" applyFont="1" applyBorder="1"/>
    <xf numFmtId="3" fontId="26" fillId="0" borderId="21" xfId="0" applyNumberFormat="1" applyFont="1" applyBorder="1"/>
    <xf numFmtId="3" fontId="26" fillId="0" borderId="24" xfId="0" applyNumberFormat="1" applyFont="1" applyBorder="1"/>
    <xf numFmtId="181" fontId="26" fillId="0" borderId="24" xfId="0" applyFont="1" applyBorder="1"/>
    <xf numFmtId="181" fontId="26" fillId="0" borderId="23" xfId="0" applyFont="1" applyBorder="1"/>
    <xf numFmtId="181" fontId="23" fillId="0" borderId="7" xfId="0" applyFont="1" applyBorder="1" applyAlignment="1">
      <alignment horizontal="center"/>
    </xf>
    <xf numFmtId="178" fontId="17" fillId="0" borderId="0" xfId="0" applyNumberFormat="1" applyFont="1" applyFill="1"/>
    <xf numFmtId="169" fontId="17" fillId="0" borderId="11" xfId="1" applyNumberFormat="1" applyFont="1" applyFill="1" applyBorder="1" applyAlignment="1">
      <alignment horizontal="right"/>
    </xf>
    <xf numFmtId="181" fontId="17" fillId="0" borderId="7" xfId="0" applyFont="1" applyFill="1" applyBorder="1"/>
    <xf numFmtId="169" fontId="17" fillId="0" borderId="15" xfId="1" applyNumberFormat="1" applyFont="1" applyFill="1" applyBorder="1"/>
    <xf numFmtId="169" fontId="17" fillId="0" borderId="18" xfId="1" applyNumberFormat="1" applyFont="1" applyFill="1" applyBorder="1"/>
    <xf numFmtId="170" fontId="17" fillId="0" borderId="0" xfId="0" applyNumberFormat="1" applyFont="1" applyFill="1"/>
    <xf numFmtId="168" fontId="17" fillId="0" borderId="0" xfId="7" applyNumberFormat="1" applyFont="1" applyFill="1"/>
    <xf numFmtId="171" fontId="17" fillId="0" borderId="0" xfId="7" applyNumberFormat="1" applyFont="1" applyFill="1"/>
    <xf numFmtId="169" fontId="17" fillId="0" borderId="7" xfId="1" applyNumberFormat="1" applyFont="1" applyFill="1" applyBorder="1"/>
    <xf numFmtId="167" fontId="17" fillId="0" borderId="7" xfId="0" applyNumberFormat="1" applyFont="1" applyFill="1" applyBorder="1"/>
    <xf numFmtId="167" fontId="17" fillId="0" borderId="9" xfId="0" applyNumberFormat="1" applyFont="1" applyFill="1" applyBorder="1"/>
    <xf numFmtId="167" fontId="17" fillId="0" borderId="15" xfId="0" applyNumberFormat="1" applyFont="1" applyFill="1" applyBorder="1"/>
    <xf numFmtId="167" fontId="17" fillId="0" borderId="18" xfId="0" applyNumberFormat="1" applyFont="1" applyFill="1" applyBorder="1"/>
    <xf numFmtId="168" fontId="17" fillId="0" borderId="0" xfId="7" applyNumberFormat="1" applyFont="1" applyFill="1" applyAlignment="1">
      <alignment horizontal="right"/>
    </xf>
    <xf numFmtId="169" fontId="17" fillId="0" borderId="7" xfId="0" applyNumberFormat="1" applyFont="1" applyFill="1" applyBorder="1"/>
    <xf numFmtId="169" fontId="17" fillId="0" borderId="18" xfId="1" applyNumberFormat="1" applyFont="1" applyFill="1" applyBorder="1" applyAlignment="1">
      <alignment horizontal="right"/>
    </xf>
    <xf numFmtId="168" fontId="17" fillId="0" borderId="0" xfId="7" applyNumberFormat="1" applyFont="1"/>
    <xf numFmtId="37" fontId="0" fillId="0" borderId="0" xfId="0" applyNumberFormat="1"/>
    <xf numFmtId="37" fontId="17" fillId="0" borderId="10" xfId="0" applyNumberFormat="1" applyFont="1" applyBorder="1" applyAlignment="1">
      <alignment horizontal="right"/>
    </xf>
    <xf numFmtId="37" fontId="17" fillId="0" borderId="0" xfId="0" applyNumberFormat="1" applyFont="1" applyBorder="1"/>
    <xf numFmtId="169" fontId="17" fillId="0" borderId="13" xfId="1" applyNumberFormat="1" applyFont="1" applyFill="1" applyBorder="1" applyAlignment="1">
      <alignment horizontal="right"/>
    </xf>
    <xf numFmtId="37" fontId="17" fillId="0" borderId="12" xfId="0" applyNumberFormat="1" applyFont="1" applyBorder="1"/>
    <xf numFmtId="37" fontId="17" fillId="0" borderId="13" xfId="0" applyNumberFormat="1" applyFont="1" applyBorder="1"/>
    <xf numFmtId="169" fontId="17" fillId="0" borderId="19" xfId="1" applyNumberFormat="1" applyFont="1" applyFill="1" applyBorder="1" applyAlignment="1">
      <alignment horizontal="right"/>
    </xf>
    <xf numFmtId="169" fontId="17" fillId="0" borderId="6" xfId="1" applyNumberFormat="1" applyFont="1" applyFill="1" applyBorder="1" applyAlignment="1">
      <alignment horizontal="right"/>
    </xf>
    <xf numFmtId="37" fontId="17" fillId="0" borderId="12" xfId="0" applyNumberFormat="1" applyFont="1" applyBorder="1" applyAlignment="1">
      <alignment horizontal="right"/>
    </xf>
    <xf numFmtId="37" fontId="17" fillId="0" borderId="16" xfId="0" applyNumberFormat="1" applyFont="1" applyBorder="1" applyAlignment="1">
      <alignment horizontal="right"/>
    </xf>
    <xf numFmtId="37" fontId="17" fillId="0" borderId="6" xfId="0" applyNumberFormat="1" applyFont="1" applyBorder="1"/>
    <xf numFmtId="169" fontId="17" fillId="0" borderId="13" xfId="1" applyNumberFormat="1" applyFont="1" applyFill="1" applyBorder="1"/>
    <xf numFmtId="37" fontId="17" fillId="0" borderId="3" xfId="0" applyNumberFormat="1" applyFont="1" applyBorder="1"/>
    <xf numFmtId="169" fontId="17" fillId="0" borderId="3" xfId="0" applyNumberFormat="1" applyFont="1" applyFill="1" applyBorder="1"/>
    <xf numFmtId="168" fontId="17" fillId="0" borderId="4" xfId="0" applyNumberFormat="1" applyFont="1" applyFill="1" applyBorder="1"/>
    <xf numFmtId="169" fontId="17" fillId="0" borderId="6" xfId="0" applyNumberFormat="1" applyFont="1" applyFill="1" applyBorder="1"/>
    <xf numFmtId="37" fontId="17" fillId="0" borderId="3" xfId="1" applyNumberFormat="1" applyFont="1" applyFill="1" applyBorder="1"/>
    <xf numFmtId="169" fontId="17" fillId="0" borderId="6" xfId="0" applyNumberFormat="1" applyFont="1" applyBorder="1"/>
    <xf numFmtId="181" fontId="23" fillId="0" borderId="0" xfId="0" applyFont="1" applyBorder="1"/>
    <xf numFmtId="37" fontId="17" fillId="0" borderId="11" xfId="0" applyNumberFormat="1" applyFont="1" applyBorder="1"/>
    <xf numFmtId="37" fontId="17" fillId="0" borderId="1" xfId="0" applyNumberFormat="1" applyFont="1" applyBorder="1"/>
    <xf numFmtId="37" fontId="17" fillId="0" borderId="1" xfId="0" applyNumberFormat="1" applyFont="1" applyFill="1" applyBorder="1"/>
    <xf numFmtId="37" fontId="17" fillId="0" borderId="8" xfId="0" applyNumberFormat="1" applyFont="1" applyFill="1" applyBorder="1"/>
    <xf numFmtId="181" fontId="26" fillId="0" borderId="0" xfId="0" applyFont="1" applyFill="1" applyBorder="1"/>
    <xf numFmtId="180" fontId="12" fillId="0" borderId="0" xfId="1" applyNumberFormat="1" applyAlignment="1">
      <alignment horizontal="center"/>
    </xf>
    <xf numFmtId="182" fontId="0" fillId="0" borderId="0" xfId="0" applyNumberFormat="1"/>
    <xf numFmtId="171" fontId="17" fillId="0" borderId="0" xfId="7" applyNumberFormat="1" applyFont="1" applyFill="1" applyBorder="1" applyAlignment="1">
      <alignment horizontal="right"/>
    </xf>
    <xf numFmtId="37" fontId="0" fillId="0" borderId="0" xfId="0" applyNumberFormat="1" applyBorder="1"/>
    <xf numFmtId="181" fontId="28" fillId="0" borderId="0" xfId="0" applyFont="1" applyAlignment="1">
      <alignment horizontal="center"/>
    </xf>
    <xf numFmtId="169" fontId="17" fillId="0" borderId="2" xfId="0" applyNumberFormat="1" applyFont="1" applyFill="1" applyBorder="1"/>
    <xf numFmtId="37" fontId="17" fillId="0" borderId="0" xfId="7" applyNumberFormat="1" applyFont="1" applyFill="1" applyBorder="1" applyAlignment="1">
      <alignment horizontal="right"/>
    </xf>
    <xf numFmtId="37" fontId="17" fillId="0" borderId="0" xfId="0" applyNumberFormat="1" applyFont="1" applyFill="1" applyBorder="1"/>
    <xf numFmtId="181" fontId="17" fillId="0" borderId="6" xfId="0" applyFont="1" applyBorder="1"/>
    <xf numFmtId="169" fontId="17" fillId="0" borderId="1" xfId="0" applyNumberFormat="1" applyFont="1" applyBorder="1"/>
    <xf numFmtId="169" fontId="17" fillId="0" borderId="5" xfId="1" applyNumberFormat="1" applyFont="1" applyFill="1" applyBorder="1"/>
    <xf numFmtId="169" fontId="17" fillId="0" borderId="16" xfId="1" applyNumberFormat="1" applyFont="1" applyFill="1" applyBorder="1"/>
    <xf numFmtId="37" fontId="17" fillId="0" borderId="13" xfId="7" applyNumberFormat="1" applyFont="1" applyFill="1" applyBorder="1" applyAlignment="1">
      <alignment horizontal="right"/>
    </xf>
    <xf numFmtId="37" fontId="17" fillId="0" borderId="6" xfId="0" applyNumberFormat="1" applyFont="1" applyFill="1" applyBorder="1"/>
    <xf numFmtId="37" fontId="17" fillId="0" borderId="6" xfId="7" applyNumberFormat="1" applyFont="1" applyFill="1" applyBorder="1" applyAlignment="1">
      <alignment horizontal="right"/>
    </xf>
    <xf numFmtId="37" fontId="17" fillId="0" borderId="3" xfId="7" applyNumberFormat="1" applyFont="1" applyFill="1" applyBorder="1" applyAlignment="1">
      <alignment horizontal="right"/>
    </xf>
    <xf numFmtId="181" fontId="0" fillId="0" borderId="3" xfId="0" applyFill="1" applyBorder="1"/>
    <xf numFmtId="37" fontId="17" fillId="0" borderId="25" xfId="1" applyNumberFormat="1" applyFont="1" applyFill="1" applyBorder="1" applyAlignment="1">
      <alignment horizontal="right"/>
    </xf>
    <xf numFmtId="181" fontId="17" fillId="0" borderId="11" xfId="0" applyFont="1" applyFill="1" applyBorder="1"/>
    <xf numFmtId="37" fontId="17" fillId="0" borderId="33" xfId="1" applyNumberFormat="1" applyFont="1" applyFill="1" applyBorder="1" applyAlignment="1">
      <alignment horizontal="right"/>
    </xf>
    <xf numFmtId="37" fontId="17" fillId="0" borderId="5" xfId="0" applyNumberFormat="1" applyFont="1" applyFill="1" applyBorder="1"/>
    <xf numFmtId="169" fontId="17" fillId="0" borderId="5" xfId="0" applyNumberFormat="1" applyFont="1" applyBorder="1" applyAlignment="1">
      <alignment horizontal="right"/>
    </xf>
    <xf numFmtId="169" fontId="17" fillId="0" borderId="8" xfId="1" applyNumberFormat="1" applyFont="1" applyFill="1" applyBorder="1" applyAlignment="1">
      <alignment horizontal="right"/>
    </xf>
    <xf numFmtId="179" fontId="17" fillId="0" borderId="0" xfId="1" applyNumberFormat="1" applyFont="1" applyFill="1" applyBorder="1"/>
    <xf numFmtId="181" fontId="0" fillId="0" borderId="6" xfId="0" applyFill="1" applyBorder="1"/>
    <xf numFmtId="37" fontId="17" fillId="0" borderId="3" xfId="0" applyNumberFormat="1" applyFont="1" applyFill="1" applyBorder="1"/>
    <xf numFmtId="184" fontId="0" fillId="0" borderId="21" xfId="0" applyNumberFormat="1" applyBorder="1"/>
    <xf numFmtId="37" fontId="17" fillId="0" borderId="7" xfId="0" applyNumberFormat="1" applyFont="1" applyBorder="1"/>
    <xf numFmtId="181" fontId="26" fillId="2" borderId="29" xfId="0" applyFont="1" applyFill="1" applyBorder="1"/>
    <xf numFmtId="181" fontId="0" fillId="2" borderId="27" xfId="0" applyFill="1" applyBorder="1"/>
    <xf numFmtId="181" fontId="0" fillId="2" borderId="28" xfId="0" applyFill="1" applyBorder="1"/>
    <xf numFmtId="181" fontId="42" fillId="2" borderId="20" xfId="0" applyFont="1" applyFill="1" applyBorder="1"/>
    <xf numFmtId="181" fontId="0" fillId="2" borderId="0" xfId="0" applyFill="1" applyBorder="1"/>
    <xf numFmtId="181" fontId="0" fillId="2" borderId="21" xfId="0" applyFill="1" applyBorder="1"/>
    <xf numFmtId="181" fontId="26" fillId="2" borderId="0" xfId="0" applyFont="1" applyFill="1" applyBorder="1"/>
    <xf numFmtId="181" fontId="0" fillId="2" borderId="20" xfId="0" applyFill="1" applyBorder="1"/>
    <xf numFmtId="181" fontId="26" fillId="2" borderId="21" xfId="0" applyFont="1" applyFill="1" applyBorder="1"/>
    <xf numFmtId="180" fontId="12" fillId="2" borderId="0" xfId="1" applyNumberFormat="1" applyFill="1" applyAlignment="1">
      <alignment horizontal="center"/>
    </xf>
    <xf numFmtId="182" fontId="0" fillId="2" borderId="0" xfId="0" applyNumberFormat="1" applyFill="1"/>
    <xf numFmtId="181" fontId="33" fillId="2" borderId="20" xfId="0" applyFont="1" applyFill="1" applyBorder="1"/>
    <xf numFmtId="184" fontId="0" fillId="2" borderId="0" xfId="0" applyNumberFormat="1" applyFill="1" applyBorder="1"/>
    <xf numFmtId="184" fontId="0" fillId="2" borderId="21" xfId="0" applyNumberFormat="1" applyFill="1" applyBorder="1"/>
    <xf numFmtId="4" fontId="0" fillId="2" borderId="13" xfId="0" applyNumberFormat="1" applyFill="1" applyBorder="1"/>
    <xf numFmtId="4" fontId="0" fillId="2" borderId="30" xfId="0" applyNumberFormat="1" applyFill="1" applyBorder="1"/>
    <xf numFmtId="182" fontId="0" fillId="2" borderId="0" xfId="0" applyNumberFormat="1" applyFill="1" applyBorder="1"/>
    <xf numFmtId="182" fontId="0" fillId="2" borderId="21" xfId="0" applyNumberFormat="1" applyFill="1" applyBorder="1"/>
    <xf numFmtId="181" fontId="26" fillId="2" borderId="20" xfId="0" applyFont="1" applyFill="1" applyBorder="1"/>
    <xf numFmtId="3" fontId="26" fillId="2" borderId="19" xfId="0" applyNumberFormat="1" applyFont="1" applyFill="1" applyBorder="1"/>
    <xf numFmtId="3" fontId="26" fillId="2" borderId="31" xfId="0" applyNumberFormat="1" applyFont="1" applyFill="1" applyBorder="1"/>
    <xf numFmtId="3" fontId="26" fillId="2" borderId="0" xfId="0" applyNumberFormat="1" applyFont="1" applyFill="1" applyBorder="1"/>
    <xf numFmtId="3" fontId="26" fillId="2" borderId="21" xfId="0" applyNumberFormat="1" applyFont="1" applyFill="1" applyBorder="1"/>
    <xf numFmtId="181" fontId="0" fillId="2" borderId="22" xfId="0" applyFill="1" applyBorder="1"/>
    <xf numFmtId="3" fontId="26" fillId="2" borderId="24" xfId="0" applyNumberFormat="1" applyFont="1" applyFill="1" applyBorder="1"/>
    <xf numFmtId="181" fontId="26" fillId="2" borderId="24" xfId="0" applyFont="1" applyFill="1" applyBorder="1"/>
    <xf numFmtId="181" fontId="26" fillId="2" borderId="23" xfId="0" applyFont="1" applyFill="1" applyBorder="1"/>
    <xf numFmtId="169" fontId="17" fillId="0" borderId="2" xfId="1" applyNumberFormat="1" applyFont="1" applyFill="1" applyBorder="1"/>
    <xf numFmtId="168" fontId="17" fillId="0" borderId="4" xfId="7" applyNumberFormat="1" applyFont="1" applyFill="1" applyBorder="1" applyAlignment="1">
      <alignment horizontal="right"/>
    </xf>
    <xf numFmtId="168" fontId="17" fillId="0" borderId="13" xfId="7" applyNumberFormat="1" applyFont="1" applyFill="1" applyBorder="1" applyAlignment="1">
      <alignment horizontal="right"/>
    </xf>
    <xf numFmtId="37" fontId="17" fillId="0" borderId="0" xfId="1" applyNumberFormat="1" applyFont="1" applyFill="1" applyBorder="1" applyAlignment="1">
      <alignment horizontal="center"/>
    </xf>
    <xf numFmtId="37" fontId="17" fillId="0" borderId="11" xfId="1" applyNumberFormat="1" applyFont="1" applyFill="1" applyBorder="1" applyAlignment="1">
      <alignment horizontal="center"/>
    </xf>
    <xf numFmtId="37" fontId="17" fillId="0" borderId="19" xfId="1" applyNumberFormat="1" applyFont="1" applyFill="1" applyBorder="1" applyAlignment="1">
      <alignment horizontal="center"/>
    </xf>
    <xf numFmtId="37" fontId="17" fillId="0" borderId="17" xfId="1" applyNumberFormat="1" applyFont="1" applyFill="1" applyBorder="1" applyAlignment="1">
      <alignment horizontal="center"/>
    </xf>
    <xf numFmtId="37" fontId="17" fillId="0" borderId="2" xfId="1" applyNumberFormat="1" applyFont="1" applyFill="1" applyBorder="1" applyAlignment="1">
      <alignment horizontal="right"/>
    </xf>
    <xf numFmtId="169" fontId="17" fillId="0" borderId="19" xfId="1" applyNumberFormat="1" applyFont="1" applyFill="1" applyBorder="1"/>
    <xf numFmtId="181" fontId="17" fillId="0" borderId="9" xfId="0" applyFont="1" applyBorder="1" applyAlignment="1">
      <alignment horizontal="center"/>
    </xf>
    <xf numFmtId="168" fontId="17" fillId="0" borderId="1" xfId="0" applyNumberFormat="1" applyFont="1" applyFill="1" applyBorder="1" applyAlignment="1">
      <alignment horizontal="right"/>
    </xf>
    <xf numFmtId="168" fontId="17" fillId="0" borderId="11" xfId="0" applyNumberFormat="1" applyFont="1" applyBorder="1" applyAlignment="1">
      <alignment horizontal="right"/>
    </xf>
    <xf numFmtId="168" fontId="17" fillId="0" borderId="11" xfId="0" applyNumberFormat="1" applyFont="1" applyFill="1" applyBorder="1" applyAlignment="1">
      <alignment horizontal="right"/>
    </xf>
    <xf numFmtId="2" fontId="0" fillId="0" borderId="0" xfId="0" applyNumberFormat="1" applyBorder="1"/>
    <xf numFmtId="166" fontId="17" fillId="0" borderId="10" xfId="1" applyFont="1" applyBorder="1" applyAlignment="1">
      <alignment horizontal="right"/>
    </xf>
    <xf numFmtId="168" fontId="17" fillId="0" borderId="3" xfId="7" applyNumberFormat="1" applyFont="1" applyFill="1" applyBorder="1" applyAlignment="1">
      <alignment horizontal="right"/>
    </xf>
    <xf numFmtId="181" fontId="26" fillId="0" borderId="0" xfId="0" applyFont="1" applyBorder="1" applyAlignment="1">
      <alignment horizontal="right"/>
    </xf>
    <xf numFmtId="181" fontId="17" fillId="0" borderId="11" xfId="0" applyFont="1" applyBorder="1" applyAlignment="1">
      <alignment horizontal="right"/>
    </xf>
    <xf numFmtId="169" fontId="17" fillId="0" borderId="9" xfId="1" applyNumberFormat="1" applyFont="1" applyFill="1" applyBorder="1" applyAlignment="1">
      <alignment horizontal="center"/>
    </xf>
    <xf numFmtId="37" fontId="17" fillId="0" borderId="18" xfId="1" applyNumberFormat="1" applyFont="1" applyFill="1" applyBorder="1" applyAlignment="1">
      <alignment horizontal="center"/>
    </xf>
    <xf numFmtId="169" fontId="17" fillId="0" borderId="18" xfId="1" applyNumberFormat="1" applyFont="1" applyFill="1" applyBorder="1" applyAlignment="1">
      <alignment horizontal="center"/>
    </xf>
    <xf numFmtId="37" fontId="17" fillId="0" borderId="13" xfId="1" applyNumberFormat="1" applyFont="1" applyFill="1" applyBorder="1" applyAlignment="1">
      <alignment horizontal="center"/>
    </xf>
    <xf numFmtId="37" fontId="17" fillId="0" borderId="14" xfId="1" applyNumberFormat="1" applyFont="1" applyFill="1" applyBorder="1" applyAlignment="1">
      <alignment horizontal="center"/>
    </xf>
    <xf numFmtId="37" fontId="17" fillId="0" borderId="15" xfId="1" applyNumberFormat="1" applyFont="1" applyFill="1" applyBorder="1" applyAlignment="1">
      <alignment horizontal="center"/>
    </xf>
    <xf numFmtId="169" fontId="17" fillId="0" borderId="15" xfId="1" applyNumberFormat="1" applyFont="1" applyFill="1" applyBorder="1" applyAlignment="1">
      <alignment horizontal="center"/>
    </xf>
    <xf numFmtId="168" fontId="17" fillId="0" borderId="0" xfId="7" applyNumberFormat="1" applyFont="1" applyFill="1" applyBorder="1" applyAlignment="1">
      <alignment horizontal="center"/>
    </xf>
    <xf numFmtId="169" fontId="17" fillId="0" borderId="12" xfId="0" applyNumberFormat="1" applyFont="1" applyFill="1" applyBorder="1"/>
    <xf numFmtId="168" fontId="17" fillId="0" borderId="14" xfId="0" applyNumberFormat="1" applyFont="1" applyFill="1" applyBorder="1"/>
    <xf numFmtId="37" fontId="17" fillId="0" borderId="15" xfId="0" applyNumberFormat="1" applyFont="1" applyBorder="1"/>
    <xf numFmtId="37" fontId="17" fillId="0" borderId="14" xfId="0" applyNumberFormat="1" applyFont="1" applyBorder="1"/>
    <xf numFmtId="168" fontId="17" fillId="0" borderId="0" xfId="0" applyNumberFormat="1" applyFont="1" applyFill="1" applyBorder="1" applyAlignment="1">
      <alignment horizontal="right"/>
    </xf>
    <xf numFmtId="179" fontId="17" fillId="0" borderId="13" xfId="1" applyNumberFormat="1" applyFont="1" applyBorder="1"/>
    <xf numFmtId="179" fontId="17" fillId="0" borderId="15" xfId="1" applyNumberFormat="1" applyFont="1" applyBorder="1"/>
    <xf numFmtId="169" fontId="0" fillId="0" borderId="0" xfId="0" applyNumberFormat="1" applyBorder="1"/>
    <xf numFmtId="179" fontId="17" fillId="0" borderId="10" xfId="1" applyNumberFormat="1" applyFont="1" applyFill="1" applyBorder="1" applyAlignment="1">
      <alignment horizontal="right"/>
    </xf>
    <xf numFmtId="179" fontId="0" fillId="0" borderId="0" xfId="1" applyNumberFormat="1" applyFont="1"/>
    <xf numFmtId="168" fontId="17" fillId="0" borderId="11" xfId="7" quotePrefix="1" applyNumberFormat="1" applyFont="1" applyFill="1" applyBorder="1" applyAlignment="1">
      <alignment horizontal="right"/>
    </xf>
    <xf numFmtId="169" fontId="17" fillId="0" borderId="11" xfId="0" quotePrefix="1" applyNumberFormat="1" applyFont="1" applyBorder="1" applyAlignment="1">
      <alignment horizontal="right"/>
    </xf>
    <xf numFmtId="168" fontId="17" fillId="0" borderId="9" xfId="7" applyNumberFormat="1" applyFont="1" applyFill="1" applyBorder="1" applyAlignment="1">
      <alignment horizontal="right"/>
    </xf>
    <xf numFmtId="186" fontId="12" fillId="0" borderId="0" xfId="1" applyNumberFormat="1" applyAlignment="1">
      <alignment horizontal="center"/>
    </xf>
    <xf numFmtId="171" fontId="0" fillId="0" borderId="0" xfId="7" applyNumberFormat="1" applyFont="1" applyBorder="1"/>
    <xf numFmtId="168" fontId="17" fillId="0" borderId="11" xfId="7" applyNumberFormat="1" applyFont="1" applyFill="1" applyBorder="1" applyAlignment="1"/>
    <xf numFmtId="179" fontId="0" fillId="0" borderId="0" xfId="0" applyNumberFormat="1"/>
    <xf numFmtId="181" fontId="24" fillId="0" borderId="9" xfId="0" applyFont="1" applyFill="1" applyBorder="1" applyAlignment="1">
      <alignment horizontal="center"/>
    </xf>
    <xf numFmtId="168" fontId="17" fillId="0" borderId="9" xfId="0" applyNumberFormat="1" applyFont="1" applyFill="1" applyBorder="1"/>
    <xf numFmtId="181" fontId="17" fillId="0" borderId="9" xfId="0" applyFont="1" applyFill="1" applyBorder="1" applyAlignment="1"/>
    <xf numFmtId="179" fontId="17" fillId="0" borderId="3" xfId="1" applyNumberFormat="1" applyFont="1" applyBorder="1"/>
    <xf numFmtId="179" fontId="17" fillId="0" borderId="0" xfId="1" applyNumberFormat="1" applyFont="1" applyBorder="1"/>
    <xf numFmtId="179" fontId="17" fillId="0" borderId="6" xfId="1" applyNumberFormat="1" applyFont="1" applyBorder="1"/>
    <xf numFmtId="37" fontId="17" fillId="0" borderId="4" xfId="0" applyNumberFormat="1" applyFont="1" applyFill="1" applyBorder="1"/>
    <xf numFmtId="168" fontId="17" fillId="0" borderId="0" xfId="7" applyNumberFormat="1" applyFont="1" applyFill="1" applyBorder="1" applyAlignment="1"/>
    <xf numFmtId="166" fontId="17" fillId="0" borderId="0" xfId="1" applyFont="1" applyFill="1" applyBorder="1" applyAlignment="1">
      <alignment horizontal="right"/>
    </xf>
    <xf numFmtId="180" fontId="46" fillId="0" borderId="0" xfId="1" applyNumberFormat="1" applyFont="1" applyAlignment="1">
      <alignment horizontal="center"/>
    </xf>
    <xf numFmtId="179" fontId="17" fillId="0" borderId="13" xfId="0" applyNumberFormat="1" applyFont="1" applyBorder="1"/>
    <xf numFmtId="181" fontId="0" fillId="0" borderId="0" xfId="0" applyBorder="1" applyAlignment="1"/>
    <xf numFmtId="181" fontId="0" fillId="0" borderId="6" xfId="0" applyBorder="1" applyAlignment="1"/>
    <xf numFmtId="37" fontId="17" fillId="0" borderId="0" xfId="0" applyNumberFormat="1" applyFont="1" applyBorder="1" applyAlignment="1"/>
    <xf numFmtId="170" fontId="17" fillId="0" borderId="0" xfId="0" applyNumberFormat="1" applyFont="1" applyFill="1" applyBorder="1" applyAlignment="1"/>
    <xf numFmtId="181" fontId="17" fillId="0" borderId="0" xfId="0" applyFont="1" applyBorder="1" applyAlignment="1"/>
    <xf numFmtId="168" fontId="17" fillId="0" borderId="0" xfId="0" applyNumberFormat="1" applyFont="1" applyFill="1" applyBorder="1" applyAlignment="1"/>
    <xf numFmtId="37" fontId="17" fillId="0" borderId="10" xfId="0" applyNumberFormat="1" applyFont="1" applyBorder="1" applyAlignment="1"/>
    <xf numFmtId="37" fontId="17" fillId="0" borderId="5" xfId="0" applyNumberFormat="1" applyFont="1" applyBorder="1" applyAlignment="1"/>
    <xf numFmtId="37" fontId="17" fillId="0" borderId="12" xfId="0" applyNumberFormat="1" applyFont="1" applyBorder="1" applyAlignment="1"/>
    <xf numFmtId="179" fontId="17" fillId="0" borderId="2" xfId="1" applyNumberFormat="1" applyFont="1" applyBorder="1" applyAlignment="1"/>
    <xf numFmtId="179" fontId="17" fillId="0" borderId="10" xfId="1" applyNumberFormat="1" applyFont="1" applyBorder="1" applyAlignment="1"/>
    <xf numFmtId="179" fontId="17" fillId="0" borderId="5" xfId="1" applyNumberFormat="1" applyFont="1" applyBorder="1" applyAlignment="1"/>
    <xf numFmtId="179" fontId="17" fillId="0" borderId="12" xfId="1" applyNumberFormat="1" applyFont="1" applyBorder="1" applyAlignment="1"/>
    <xf numFmtId="169" fontId="17" fillId="0" borderId="0" xfId="0" applyNumberFormat="1" applyFont="1" applyBorder="1" applyAlignment="1"/>
    <xf numFmtId="37" fontId="17" fillId="0" borderId="2" xfId="0" applyNumberFormat="1" applyFont="1" applyBorder="1" applyAlignment="1"/>
    <xf numFmtId="169" fontId="17" fillId="0" borderId="0" xfId="1" applyNumberFormat="1" applyFont="1" applyFill="1" applyBorder="1" applyAlignment="1"/>
    <xf numFmtId="37" fontId="17" fillId="0" borderId="0" xfId="0" applyNumberFormat="1" applyFont="1" applyAlignment="1"/>
    <xf numFmtId="181" fontId="17" fillId="0" borderId="10" xfId="0" applyFont="1" applyBorder="1" applyAlignment="1"/>
    <xf numFmtId="181" fontId="17" fillId="0" borderId="11" xfId="0" applyFont="1" applyBorder="1" applyAlignment="1"/>
    <xf numFmtId="176" fontId="17" fillId="0" borderId="0" xfId="7" applyNumberFormat="1" applyFont="1" applyFill="1" applyAlignment="1"/>
    <xf numFmtId="169" fontId="17" fillId="0" borderId="3" xfId="0" applyNumberFormat="1" applyFont="1" applyFill="1" applyBorder="1" applyAlignment="1"/>
    <xf numFmtId="168" fontId="17" fillId="0" borderId="4" xfId="0" applyNumberFormat="1" applyFont="1" applyFill="1" applyBorder="1" applyAlignment="1"/>
    <xf numFmtId="169" fontId="17" fillId="0" borderId="0" xfId="0" applyNumberFormat="1" applyFont="1" applyFill="1" applyBorder="1" applyAlignment="1"/>
    <xf numFmtId="168" fontId="17" fillId="0" borderId="11" xfId="0" applyNumberFormat="1" applyFont="1" applyFill="1" applyBorder="1" applyAlignment="1"/>
    <xf numFmtId="169" fontId="17" fillId="0" borderId="6" xfId="0" applyNumberFormat="1" applyFont="1" applyFill="1" applyBorder="1" applyAlignment="1"/>
    <xf numFmtId="168" fontId="17" fillId="0" borderId="1" xfId="0" applyNumberFormat="1" applyFont="1" applyFill="1" applyBorder="1" applyAlignment="1"/>
    <xf numFmtId="179" fontId="17" fillId="0" borderId="0" xfId="1" applyNumberFormat="1" applyFont="1" applyBorder="1" applyAlignment="1"/>
    <xf numFmtId="179" fontId="17" fillId="0" borderId="6" xfId="1" applyNumberFormat="1" applyFont="1" applyBorder="1" applyAlignment="1"/>
    <xf numFmtId="179" fontId="17" fillId="0" borderId="13" xfId="1" applyNumberFormat="1" applyFont="1" applyBorder="1" applyAlignment="1"/>
    <xf numFmtId="181" fontId="17" fillId="0" borderId="4" xfId="0" applyFont="1" applyBorder="1" applyAlignment="1"/>
    <xf numFmtId="169" fontId="17" fillId="0" borderId="10" xfId="1" applyNumberFormat="1" applyFont="1" applyFill="1" applyBorder="1" applyAlignment="1"/>
    <xf numFmtId="169" fontId="17" fillId="0" borderId="0" xfId="0" applyNumberFormat="1" applyFont="1" applyAlignment="1"/>
    <xf numFmtId="179" fontId="17" fillId="0" borderId="0" xfId="1" applyNumberFormat="1" applyFont="1" applyFill="1" applyBorder="1" applyAlignment="1"/>
    <xf numFmtId="181" fontId="12" fillId="0" borderId="20" xfId="0" applyFont="1" applyBorder="1"/>
    <xf numFmtId="171" fontId="0" fillId="0" borderId="0" xfId="7" applyNumberFormat="1" applyFont="1"/>
    <xf numFmtId="181" fontId="24" fillId="0" borderId="0" xfId="0" applyFont="1" applyFill="1" applyBorder="1" applyAlignment="1">
      <alignment horizontal="center"/>
    </xf>
    <xf numFmtId="181" fontId="23" fillId="0" borderId="2" xfId="0" applyFont="1" applyFill="1" applyBorder="1" applyAlignment="1">
      <alignment horizontal="center"/>
    </xf>
    <xf numFmtId="181" fontId="33" fillId="0" borderId="0" xfId="0" applyFont="1" applyFill="1" applyAlignment="1" applyProtection="1">
      <alignment horizontal="left" wrapText="1"/>
      <protection locked="0"/>
    </xf>
    <xf numFmtId="181" fontId="0" fillId="0" borderId="0" xfId="0" applyFill="1" applyAlignment="1" applyProtection="1">
      <alignment horizontal="left" wrapText="1"/>
      <protection locked="0"/>
    </xf>
    <xf numFmtId="181" fontId="35" fillId="0" borderId="0" xfId="0" applyFont="1" applyAlignment="1"/>
    <xf numFmtId="181" fontId="34" fillId="0" borderId="0" xfId="0" applyFont="1" applyAlignment="1"/>
    <xf numFmtId="181" fontId="0" fillId="0" borderId="0" xfId="0"/>
    <xf numFmtId="181" fontId="23" fillId="0" borderId="0" xfId="0" applyFont="1" applyFill="1" applyBorder="1"/>
    <xf numFmtId="169" fontId="17" fillId="0" borderId="9" xfId="0" applyNumberFormat="1" applyFont="1" applyBorder="1"/>
    <xf numFmtId="169" fontId="17" fillId="0" borderId="9" xfId="0" applyNumberFormat="1" applyFont="1" applyBorder="1" applyAlignment="1">
      <alignment horizontal="right"/>
    </xf>
    <xf numFmtId="169" fontId="17" fillId="0" borderId="0" xfId="0" applyNumberFormat="1" applyFont="1" applyFill="1"/>
    <xf numFmtId="37" fontId="17" fillId="0" borderId="11" xfId="0" applyNumberFormat="1" applyFont="1" applyFill="1" applyBorder="1"/>
    <xf numFmtId="37" fontId="17" fillId="0" borderId="0" xfId="0" applyNumberFormat="1" applyFont="1" applyFill="1"/>
    <xf numFmtId="181" fontId="35" fillId="0" borderId="0" xfId="0" applyFont="1" applyFill="1" applyBorder="1"/>
    <xf numFmtId="181" fontId="24" fillId="0" borderId="0" xfId="0" applyFont="1" applyFill="1" applyBorder="1" applyAlignment="1">
      <alignment horizontal="center"/>
    </xf>
    <xf numFmtId="181" fontId="24" fillId="0" borderId="11" xfId="0" applyFont="1" applyFill="1" applyBorder="1" applyAlignment="1">
      <alignment horizontal="center"/>
    </xf>
    <xf numFmtId="181" fontId="24" fillId="0" borderId="10" xfId="0" applyFont="1" applyFill="1" applyBorder="1" applyAlignment="1">
      <alignment horizontal="center"/>
    </xf>
    <xf numFmtId="181" fontId="13" fillId="0" borderId="10" xfId="0" applyFont="1" applyFill="1" applyBorder="1" applyAlignment="1">
      <alignment horizontal="center"/>
    </xf>
    <xf numFmtId="181" fontId="24" fillId="0" borderId="4" xfId="0" applyFont="1" applyFill="1" applyBorder="1" applyAlignment="1">
      <alignment horizontal="center"/>
    </xf>
    <xf numFmtId="181" fontId="16" fillId="0" borderId="12" xfId="0" applyFont="1" applyFill="1" applyBorder="1" applyAlignment="1">
      <alignment horizontal="center"/>
    </xf>
    <xf numFmtId="181" fontId="16" fillId="0" borderId="13" xfId="0" applyFont="1" applyFill="1" applyBorder="1" applyAlignment="1">
      <alignment horizontal="center"/>
    </xf>
    <xf numFmtId="181" fontId="16" fillId="0" borderId="14" xfId="0" applyFont="1" applyFill="1" applyBorder="1" applyAlignment="1">
      <alignment horizontal="center"/>
    </xf>
    <xf numFmtId="181" fontId="16" fillId="0" borderId="15" xfId="0" applyFont="1" applyFill="1" applyBorder="1" applyAlignment="1">
      <alignment horizontal="center"/>
    </xf>
    <xf numFmtId="37" fontId="17" fillId="0" borderId="4" xfId="0" applyNumberFormat="1" applyFont="1" applyBorder="1"/>
    <xf numFmtId="179" fontId="17" fillId="0" borderId="7" xfId="1" applyNumberFormat="1" applyFont="1" applyBorder="1"/>
    <xf numFmtId="37" fontId="17" fillId="0" borderId="5" xfId="0" applyNumberFormat="1" applyFont="1" applyBorder="1" applyAlignment="1">
      <alignment horizontal="center"/>
    </xf>
    <xf numFmtId="37" fontId="17" fillId="0" borderId="1" xfId="0" applyNumberFormat="1" applyFont="1" applyBorder="1" applyAlignment="1">
      <alignment horizontal="center"/>
    </xf>
    <xf numFmtId="37" fontId="17" fillId="0" borderId="0" xfId="0" applyNumberFormat="1" applyFont="1" applyBorder="1" applyAlignment="1">
      <alignment horizontal="center"/>
    </xf>
    <xf numFmtId="181" fontId="0" fillId="0" borderId="0" xfId="0" applyFill="1" applyBorder="1" applyAlignment="1">
      <alignment horizontal="center"/>
    </xf>
    <xf numFmtId="179" fontId="17" fillId="0" borderId="8" xfId="1" applyNumberFormat="1" applyFont="1" applyBorder="1" applyAlignment="1">
      <alignment horizontal="center"/>
    </xf>
    <xf numFmtId="37" fontId="17" fillId="0" borderId="8" xfId="0" applyNumberFormat="1" applyFont="1" applyBorder="1" applyAlignment="1">
      <alignment horizontal="center"/>
    </xf>
    <xf numFmtId="181" fontId="0" fillId="0" borderId="0" xfId="0" applyFill="1" applyAlignment="1">
      <alignment horizontal="right"/>
    </xf>
    <xf numFmtId="181" fontId="23" fillId="0" borderId="3" xfId="0" applyFont="1" applyFill="1" applyBorder="1" applyAlignment="1">
      <alignment horizontal="centerContinuous"/>
    </xf>
    <xf numFmtId="181" fontId="23" fillId="0" borderId="4" xfId="0" applyFont="1" applyFill="1" applyBorder="1" applyAlignment="1">
      <alignment horizontal="centerContinuous"/>
    </xf>
    <xf numFmtId="181" fontId="0" fillId="0" borderId="13" xfId="0" applyBorder="1"/>
    <xf numFmtId="181" fontId="0" fillId="0" borderId="14" xfId="0" applyBorder="1"/>
    <xf numFmtId="179" fontId="17" fillId="0" borderId="5" xfId="1" applyNumberFormat="1" applyFont="1" applyBorder="1" applyAlignment="1">
      <alignment horizontal="right"/>
    </xf>
    <xf numFmtId="179" fontId="17" fillId="0" borderId="19" xfId="1" applyNumberFormat="1" applyFont="1" applyFill="1" applyBorder="1" applyAlignment="1">
      <alignment horizontal="right"/>
    </xf>
    <xf numFmtId="169" fontId="17" fillId="0" borderId="4" xfId="0" applyNumberFormat="1" applyFont="1" applyBorder="1"/>
    <xf numFmtId="179" fontId="17" fillId="0" borderId="3" xfId="0" applyNumberFormat="1" applyFont="1" applyBorder="1"/>
    <xf numFmtId="179" fontId="17" fillId="0" borderId="6" xfId="0" applyNumberFormat="1" applyFont="1" applyBorder="1" applyAlignment="1">
      <alignment horizontal="center"/>
    </xf>
    <xf numFmtId="181" fontId="17" fillId="0" borderId="3" xfId="0" applyFont="1" applyBorder="1" applyAlignment="1"/>
    <xf numFmtId="37" fontId="17" fillId="0" borderId="0" xfId="0" applyNumberFormat="1" applyFont="1" applyAlignment="1">
      <alignment horizontal="right"/>
    </xf>
    <xf numFmtId="168" fontId="17" fillId="0" borderId="11" xfId="7" applyNumberFormat="1" applyFont="1" applyFill="1" applyBorder="1" applyAlignment="1">
      <alignment horizontal="right"/>
    </xf>
    <xf numFmtId="181" fontId="23" fillId="0" borderId="2" xfId="0" applyFont="1" applyFill="1" applyBorder="1" applyAlignment="1">
      <alignment horizontal="centerContinuous"/>
    </xf>
    <xf numFmtId="179" fontId="33" fillId="0" borderId="0" xfId="1" applyNumberFormat="1" applyFont="1" applyBorder="1"/>
    <xf numFmtId="179" fontId="33" fillId="0" borderId="6" xfId="1" applyNumberFormat="1" applyFont="1" applyBorder="1"/>
    <xf numFmtId="181" fontId="23" fillId="0" borderId="2" xfId="0" applyFont="1" applyFill="1" applyBorder="1" applyAlignment="1">
      <alignment horizontal="center"/>
    </xf>
    <xf numFmtId="181" fontId="13" fillId="0" borderId="9" xfId="0" applyFont="1" applyFill="1" applyBorder="1" applyAlignment="1">
      <alignment horizontal="center"/>
    </xf>
    <xf numFmtId="181" fontId="13" fillId="0" borderId="0" xfId="0" applyFont="1" applyFill="1" applyBorder="1" applyAlignment="1">
      <alignment horizontal="center"/>
    </xf>
    <xf numFmtId="181" fontId="13" fillId="0" borderId="4" xfId="0" applyFont="1" applyFill="1" applyBorder="1" applyAlignment="1">
      <alignment horizontal="center"/>
    </xf>
    <xf numFmtId="181" fontId="17" fillId="0" borderId="2" xfId="0" applyFont="1" applyBorder="1" applyAlignment="1"/>
    <xf numFmtId="169" fontId="17" fillId="0" borderId="16" xfId="1" applyNumberFormat="1" applyFont="1" applyFill="1" applyBorder="1" applyAlignment="1">
      <alignment horizontal="right"/>
    </xf>
    <xf numFmtId="169" fontId="17" fillId="0" borderId="3" xfId="1" applyNumberFormat="1" applyFont="1" applyFill="1" applyBorder="1" applyAlignment="1">
      <alignment horizontal="right"/>
    </xf>
    <xf numFmtId="179" fontId="17" fillId="0" borderId="12" xfId="1" applyNumberFormat="1" applyFont="1" applyBorder="1"/>
    <xf numFmtId="179" fontId="17" fillId="0" borderId="10" xfId="1" applyNumberFormat="1" applyFont="1" applyBorder="1" applyAlignment="1">
      <alignment horizontal="right"/>
    </xf>
    <xf numFmtId="179" fontId="17" fillId="0" borderId="0" xfId="1" applyNumberFormat="1" applyFont="1"/>
    <xf numFmtId="168" fontId="17" fillId="0" borderId="11" xfId="7" applyNumberFormat="1" applyFont="1" applyFill="1" applyBorder="1" applyAlignment="1">
      <alignment horizontal="right"/>
    </xf>
    <xf numFmtId="169" fontId="17" fillId="0" borderId="10" xfId="1" applyNumberFormat="1" applyFont="1" applyFill="1" applyBorder="1"/>
    <xf numFmtId="37" fontId="17" fillId="0" borderId="0" xfId="1" applyNumberFormat="1" applyFont="1" applyFill="1" applyBorder="1" applyAlignment="1">
      <alignment horizontal="right"/>
    </xf>
    <xf numFmtId="168" fontId="17" fillId="0" borderId="14" xfId="0" applyNumberFormat="1" applyFont="1" applyFill="1" applyBorder="1" applyAlignment="1">
      <alignment horizontal="right"/>
    </xf>
    <xf numFmtId="168" fontId="35" fillId="0" borderId="0" xfId="0" applyNumberFormat="1" applyFont="1"/>
    <xf numFmtId="181" fontId="26" fillId="0" borderId="0" xfId="0" applyNumberFormat="1" applyFont="1" applyFill="1" applyAlignment="1">
      <alignment horizontal="center"/>
    </xf>
    <xf numFmtId="181" fontId="23" fillId="0" borderId="2" xfId="0" applyFont="1" applyFill="1" applyBorder="1" applyAlignment="1">
      <alignment horizontal="center"/>
    </xf>
    <xf numFmtId="181" fontId="0" fillId="0" borderId="9" xfId="0" applyBorder="1" applyAlignment="1">
      <alignment horizontal="center"/>
    </xf>
    <xf numFmtId="181" fontId="23" fillId="0" borderId="2" xfId="0" applyFont="1" applyBorder="1" applyAlignment="1">
      <alignment horizontal="center"/>
    </xf>
    <xf numFmtId="167" fontId="17" fillId="0" borderId="2" xfId="0" applyNumberFormat="1" applyFont="1" applyFill="1" applyBorder="1"/>
    <xf numFmtId="179" fontId="17" fillId="0" borderId="9" xfId="1" applyNumberFormat="1" applyFont="1" applyFill="1" applyBorder="1"/>
    <xf numFmtId="166" fontId="17" fillId="0" borderId="11" xfId="1" applyFont="1" applyFill="1" applyBorder="1" applyAlignment="1">
      <alignment horizontal="right"/>
    </xf>
    <xf numFmtId="166" fontId="17" fillId="0" borderId="9" xfId="1" applyFont="1" applyFill="1" applyBorder="1" applyAlignment="1">
      <alignment horizontal="right"/>
    </xf>
    <xf numFmtId="166" fontId="17" fillId="0" borderId="8" xfId="1" applyFont="1" applyFill="1" applyBorder="1" applyAlignment="1">
      <alignment horizontal="right"/>
    </xf>
    <xf numFmtId="184" fontId="0" fillId="0" borderId="0" xfId="0" applyNumberFormat="1" applyFill="1" applyBorder="1"/>
    <xf numFmtId="188" fontId="0" fillId="0" borderId="0" xfId="1" applyNumberFormat="1" applyFont="1" applyAlignment="1">
      <alignment horizontal="center"/>
    </xf>
    <xf numFmtId="181" fontId="53" fillId="0" borderId="0" xfId="26" applyAlignment="1">
      <alignment horizontal="center"/>
    </xf>
    <xf numFmtId="180" fontId="53" fillId="0" borderId="0" xfId="27" applyNumberFormat="1" applyAlignment="1">
      <alignment horizontal="center"/>
    </xf>
    <xf numFmtId="181" fontId="53" fillId="0" borderId="0" xfId="28" applyAlignment="1">
      <alignment horizontal="center"/>
    </xf>
    <xf numFmtId="4" fontId="0" fillId="0" borderId="0" xfId="0" applyNumberFormat="1" applyBorder="1"/>
    <xf numFmtId="4" fontId="0" fillId="0" borderId="21" xfId="0" applyNumberFormat="1" applyBorder="1"/>
    <xf numFmtId="181" fontId="54" fillId="0" borderId="0" xfId="0" applyFont="1"/>
    <xf numFmtId="181" fontId="0" fillId="0" borderId="0" xfId="0"/>
    <xf numFmtId="181" fontId="0" fillId="0" borderId="0" xfId="0" applyBorder="1"/>
    <xf numFmtId="181" fontId="17" fillId="0" borderId="0" xfId="0" applyFont="1"/>
    <xf numFmtId="181" fontId="17" fillId="0" borderId="0" xfId="0" applyFont="1" applyBorder="1"/>
    <xf numFmtId="181" fontId="17" fillId="0" borderId="0" xfId="0" applyFont="1" applyFill="1"/>
    <xf numFmtId="168" fontId="17" fillId="0" borderId="0" xfId="0" applyNumberFormat="1" applyFont="1"/>
    <xf numFmtId="37" fontId="17" fillId="0" borderId="9" xfId="1" applyNumberFormat="1" applyFont="1" applyFill="1" applyBorder="1"/>
    <xf numFmtId="37" fontId="17" fillId="0" borderId="9" xfId="0" applyNumberFormat="1" applyFont="1" applyBorder="1"/>
    <xf numFmtId="169" fontId="17" fillId="0" borderId="0" xfId="0" applyNumberFormat="1" applyFont="1" applyBorder="1"/>
    <xf numFmtId="167" fontId="17" fillId="0" borderId="0" xfId="0" applyNumberFormat="1" applyFont="1"/>
    <xf numFmtId="37" fontId="17" fillId="0" borderId="10" xfId="1" applyNumberFormat="1" applyFont="1" applyFill="1" applyBorder="1" applyAlignment="1">
      <alignment horizontal="right"/>
    </xf>
    <xf numFmtId="37" fontId="17" fillId="0" borderId="0" xfId="0" applyNumberFormat="1" applyFont="1" applyBorder="1" applyAlignment="1">
      <alignment horizontal="right"/>
    </xf>
    <xf numFmtId="167" fontId="17" fillId="0" borderId="0" xfId="0" applyNumberFormat="1" applyFont="1" applyFill="1"/>
    <xf numFmtId="37" fontId="17" fillId="0" borderId="10" xfId="0" applyNumberFormat="1" applyFont="1" applyBorder="1" applyAlignment="1">
      <alignment horizontal="right"/>
    </xf>
    <xf numFmtId="37" fontId="17" fillId="0" borderId="0" xfId="0" applyNumberFormat="1" applyFont="1" applyBorder="1"/>
    <xf numFmtId="37" fontId="17" fillId="0" borderId="11" xfId="0" applyNumberFormat="1" applyFont="1" applyBorder="1"/>
    <xf numFmtId="181" fontId="17" fillId="0" borderId="0" xfId="0" applyFont="1" applyBorder="1" applyAlignment="1">
      <alignment wrapText="1"/>
    </xf>
    <xf numFmtId="168" fontId="17" fillId="0" borderId="9" xfId="7" applyNumberFormat="1" applyFont="1" applyFill="1" applyBorder="1" applyAlignment="1">
      <alignment horizontal="right"/>
    </xf>
    <xf numFmtId="168" fontId="17" fillId="0" borderId="11" xfId="7" applyNumberFormat="1" applyFont="1" applyFill="1" applyBorder="1" applyAlignment="1">
      <alignment horizontal="right"/>
    </xf>
    <xf numFmtId="37" fontId="17" fillId="0" borderId="9" xfId="1" applyNumberFormat="1" applyFont="1" applyFill="1" applyBorder="1" applyAlignment="1">
      <alignment horizontal="right"/>
    </xf>
    <xf numFmtId="37" fontId="17" fillId="0" borderId="0" xfId="1" applyNumberFormat="1" applyFont="1" applyFill="1" applyBorder="1" applyAlignment="1">
      <alignment horizontal="right"/>
    </xf>
    <xf numFmtId="37" fontId="17" fillId="0" borderId="11" xfId="1" applyNumberFormat="1" applyFont="1" applyFill="1" applyBorder="1" applyAlignment="1">
      <alignment horizontal="right"/>
    </xf>
    <xf numFmtId="37" fontId="17" fillId="0" borderId="0" xfId="7" applyNumberFormat="1" applyFont="1" applyFill="1" applyBorder="1" applyAlignment="1">
      <alignment horizontal="right"/>
    </xf>
    <xf numFmtId="179" fontId="17" fillId="0" borderId="11" xfId="1" applyNumberFormat="1" applyFont="1" applyFill="1" applyBorder="1" applyAlignment="1">
      <alignment horizontal="right"/>
    </xf>
    <xf numFmtId="179" fontId="17" fillId="0" borderId="0" xfId="1" applyNumberFormat="1" applyFont="1" applyFill="1" applyBorder="1" applyAlignment="1">
      <alignment horizontal="right"/>
    </xf>
    <xf numFmtId="179" fontId="17" fillId="0" borderId="9" xfId="1" applyNumberFormat="1" applyFont="1" applyBorder="1"/>
    <xf numFmtId="179" fontId="17" fillId="0" borderId="9" xfId="1" applyNumberFormat="1" applyFont="1" applyFill="1" applyBorder="1" applyAlignment="1">
      <alignment horizontal="right"/>
    </xf>
    <xf numFmtId="169" fontId="17" fillId="0" borderId="0" xfId="1" applyNumberFormat="1" applyFont="1" applyFill="1" applyBorder="1"/>
    <xf numFmtId="168" fontId="17" fillId="0" borderId="0" xfId="7" applyNumberFormat="1" applyFont="1" applyFill="1" applyBorder="1" applyAlignment="1">
      <alignment horizontal="right"/>
    </xf>
    <xf numFmtId="181" fontId="35" fillId="0" borderId="0" xfId="14" applyFont="1" applyFill="1" applyAlignment="1"/>
    <xf numFmtId="181" fontId="42" fillId="0" borderId="0" xfId="0" applyFont="1" applyFill="1" applyBorder="1" applyAlignment="1">
      <alignment horizontal="left"/>
    </xf>
    <xf numFmtId="10" fontId="17" fillId="0" borderId="0" xfId="7" applyNumberFormat="1" applyFont="1"/>
    <xf numFmtId="167" fontId="0" fillId="0" borderId="0" xfId="0" applyNumberFormat="1" applyFill="1" applyAlignment="1"/>
    <xf numFmtId="181" fontId="0" fillId="0" borderId="9" xfId="0" applyBorder="1" applyAlignment="1">
      <alignment horizontal="center"/>
    </xf>
    <xf numFmtId="181" fontId="35" fillId="0" borderId="0" xfId="0" applyFont="1" applyFill="1" applyAlignment="1"/>
    <xf numFmtId="169" fontId="17" fillId="0" borderId="0" xfId="7" applyNumberFormat="1" applyFont="1" applyFill="1" applyBorder="1" applyAlignment="1">
      <alignment horizontal="right"/>
    </xf>
    <xf numFmtId="169" fontId="17" fillId="0" borderId="0" xfId="1" applyNumberFormat="1" applyFont="1" applyBorder="1"/>
    <xf numFmtId="169" fontId="17" fillId="0" borderId="13" xfId="7" applyNumberFormat="1" applyFont="1" applyFill="1" applyBorder="1" applyAlignment="1">
      <alignment horizontal="right"/>
    </xf>
    <xf numFmtId="169" fontId="17" fillId="0" borderId="6" xfId="0" applyNumberFormat="1" applyFont="1" applyBorder="1" applyAlignment="1">
      <alignment horizontal="right"/>
    </xf>
    <xf numFmtId="169" fontId="17" fillId="0" borderId="1" xfId="0" applyNumberFormat="1" applyFont="1" applyBorder="1" applyAlignment="1">
      <alignment horizontal="right"/>
    </xf>
    <xf numFmtId="169" fontId="17" fillId="0" borderId="8" xfId="1" applyNumberFormat="1" applyFont="1" applyBorder="1" applyAlignment="1">
      <alignment horizontal="right"/>
    </xf>
    <xf numFmtId="177" fontId="17" fillId="0" borderId="0" xfId="1" applyNumberFormat="1" applyFont="1" applyFill="1" applyBorder="1" applyAlignment="1">
      <alignment horizontal="right"/>
    </xf>
    <xf numFmtId="177" fontId="17" fillId="0" borderId="11" xfId="1" applyNumberFormat="1" applyFont="1" applyFill="1" applyBorder="1" applyAlignment="1">
      <alignment horizontal="right"/>
    </xf>
    <xf numFmtId="167" fontId="17" fillId="0" borderId="0" xfId="1" applyNumberFormat="1" applyFont="1" applyFill="1" applyBorder="1" applyAlignment="1">
      <alignment horizontal="right"/>
    </xf>
    <xf numFmtId="167" fontId="17" fillId="0" borderId="11" xfId="1" applyNumberFormat="1" applyFont="1" applyFill="1" applyBorder="1" applyAlignment="1">
      <alignment horizontal="right"/>
    </xf>
    <xf numFmtId="167" fontId="17" fillId="0" borderId="0" xfId="1" applyNumberFormat="1" applyFont="1" applyFill="1" applyBorder="1"/>
    <xf numFmtId="179" fontId="17" fillId="0" borderId="9" xfId="1" applyNumberFormat="1" applyFont="1" applyBorder="1" applyAlignment="1">
      <alignment horizontal="right"/>
    </xf>
    <xf numFmtId="179" fontId="17" fillId="0" borderId="6" xfId="1" applyNumberFormat="1" applyFont="1" applyFill="1" applyBorder="1" applyAlignment="1">
      <alignment horizontal="right"/>
    </xf>
    <xf numFmtId="179" fontId="17" fillId="0" borderId="8" xfId="1" applyNumberFormat="1" applyFont="1" applyBorder="1" applyAlignment="1">
      <alignment horizontal="right"/>
    </xf>
    <xf numFmtId="181" fontId="24" fillId="0" borderId="10" xfId="0" applyFont="1" applyFill="1" applyBorder="1" applyAlignment="1">
      <alignment horizontal="center"/>
    </xf>
    <xf numFmtId="181" fontId="23" fillId="0" borderId="2" xfId="0" applyFont="1" applyFill="1" applyBorder="1" applyAlignment="1">
      <alignment horizontal="center"/>
    </xf>
    <xf numFmtId="181" fontId="17" fillId="0" borderId="44" xfId="0" applyFont="1" applyBorder="1"/>
    <xf numFmtId="37" fontId="17" fillId="0" borderId="44" xfId="1" applyNumberFormat="1" applyFont="1" applyFill="1" applyBorder="1" applyAlignment="1">
      <alignment horizontal="right"/>
    </xf>
    <xf numFmtId="171" fontId="0" fillId="0" borderId="0" xfId="7" applyNumberFormat="1" applyFont="1" applyAlignment="1"/>
    <xf numFmtId="2" fontId="49" fillId="0" borderId="0" xfId="0" applyNumberFormat="1" applyFont="1" applyBorder="1" applyAlignment="1">
      <alignment horizontal="right" vertical="center"/>
    </xf>
    <xf numFmtId="171" fontId="0" fillId="0" borderId="0" xfId="7" applyNumberFormat="1" applyFont="1" applyBorder="1" applyAlignment="1"/>
    <xf numFmtId="179" fontId="0" fillId="0" borderId="0" xfId="1" applyNumberFormat="1" applyFont="1" applyBorder="1" applyAlignment="1"/>
    <xf numFmtId="168" fontId="17" fillId="0" borderId="4" xfId="7" applyNumberFormat="1" applyFont="1" applyFill="1" applyBorder="1" applyAlignment="1"/>
    <xf numFmtId="37" fontId="17" fillId="0" borderId="3" xfId="1" applyNumberFormat="1" applyFont="1" applyFill="1" applyBorder="1" applyAlignment="1">
      <alignment horizontal="center"/>
    </xf>
    <xf numFmtId="37" fontId="17" fillId="0" borderId="4" xfId="1" applyNumberFormat="1" applyFont="1" applyFill="1" applyBorder="1" applyAlignment="1">
      <alignment horizontal="center"/>
    </xf>
    <xf numFmtId="169" fontId="17" fillId="0" borderId="7" xfId="1" applyNumberFormat="1" applyFont="1" applyFill="1" applyBorder="1" applyAlignment="1">
      <alignment horizontal="center"/>
    </xf>
    <xf numFmtId="37" fontId="17" fillId="0" borderId="2" xfId="1" applyNumberFormat="1" applyFont="1" applyFill="1" applyBorder="1" applyAlignment="1">
      <alignment horizontal="center"/>
    </xf>
    <xf numFmtId="167" fontId="17" fillId="0" borderId="11" xfId="1" applyNumberFormat="1" applyFont="1" applyFill="1" applyBorder="1"/>
    <xf numFmtId="181" fontId="23" fillId="0" borderId="0" xfId="0" applyFont="1" applyBorder="1" applyAlignment="1">
      <alignment wrapText="1"/>
    </xf>
    <xf numFmtId="37" fontId="17" fillId="0" borderId="10" xfId="1" applyNumberFormat="1" applyFont="1" applyFill="1" applyBorder="1" applyAlignment="1">
      <alignment horizontal="center"/>
    </xf>
    <xf numFmtId="37" fontId="17" fillId="0" borderId="1" xfId="1" applyNumberFormat="1" applyFont="1" applyFill="1" applyBorder="1" applyAlignment="1">
      <alignment horizontal="center"/>
    </xf>
    <xf numFmtId="169" fontId="17" fillId="0" borderId="8" xfId="1" applyNumberFormat="1" applyFont="1" applyFill="1" applyBorder="1" applyAlignment="1">
      <alignment horizontal="center"/>
    </xf>
    <xf numFmtId="181" fontId="17" fillId="0" borderId="0" xfId="0" applyFont="1" applyBorder="1" applyAlignment="1">
      <alignment horizontal="left" wrapText="1" indent="1"/>
    </xf>
    <xf numFmtId="167" fontId="17" fillId="0" borderId="1" xfId="1" applyNumberFormat="1" applyFont="1" applyFill="1" applyBorder="1" applyAlignment="1">
      <alignment horizontal="right"/>
    </xf>
    <xf numFmtId="167" fontId="17" fillId="0" borderId="9" xfId="1" applyNumberFormat="1" applyFont="1" applyFill="1" applyBorder="1" applyAlignment="1">
      <alignment horizontal="right"/>
    </xf>
    <xf numFmtId="167" fontId="17" fillId="0" borderId="7" xfId="1" applyNumberFormat="1" applyFont="1" applyFill="1" applyBorder="1" applyAlignment="1">
      <alignment horizontal="right"/>
    </xf>
    <xf numFmtId="167" fontId="17" fillId="0" borderId="6" xfId="1" applyNumberFormat="1" applyFont="1" applyFill="1" applyBorder="1" applyAlignment="1">
      <alignment horizontal="right"/>
    </xf>
    <xf numFmtId="37" fontId="17" fillId="0" borderId="45" xfId="1" applyNumberFormat="1" applyFont="1" applyFill="1" applyBorder="1" applyAlignment="1">
      <alignment horizontal="right"/>
    </xf>
    <xf numFmtId="167" fontId="17" fillId="4" borderId="9" xfId="1" applyNumberFormat="1" applyFont="1" applyFill="1" applyBorder="1" applyAlignment="1">
      <alignment horizontal="right"/>
    </xf>
    <xf numFmtId="37" fontId="17" fillId="4" borderId="9" xfId="1" applyNumberFormat="1" applyFont="1" applyFill="1" applyBorder="1" applyAlignment="1">
      <alignment horizontal="right"/>
    </xf>
    <xf numFmtId="37" fontId="17" fillId="4" borderId="8" xfId="1" applyNumberFormat="1" applyFont="1" applyFill="1" applyBorder="1" applyAlignment="1">
      <alignment horizontal="right"/>
    </xf>
    <xf numFmtId="37" fontId="17" fillId="0" borderId="7" xfId="1" applyNumberFormat="1" applyFont="1" applyFill="1" applyBorder="1" applyAlignment="1">
      <alignment horizontal="center"/>
    </xf>
    <xf numFmtId="179" fontId="17" fillId="0" borderId="3" xfId="1" applyNumberFormat="1" applyFont="1" applyFill="1" applyBorder="1" applyAlignment="1">
      <alignment horizontal="right"/>
    </xf>
    <xf numFmtId="179" fontId="17" fillId="0" borderId="7" xfId="1" applyNumberFormat="1" applyFont="1" applyFill="1" applyBorder="1" applyAlignment="1">
      <alignment horizontal="right"/>
    </xf>
    <xf numFmtId="179" fontId="17" fillId="0" borderId="1" xfId="1" applyNumberFormat="1" applyFont="1" applyFill="1" applyBorder="1" applyAlignment="1">
      <alignment horizontal="right"/>
    </xf>
    <xf numFmtId="167" fontId="17" fillId="0" borderId="4" xfId="1" applyNumberFormat="1" applyFont="1" applyFill="1" applyBorder="1" applyAlignment="1">
      <alignment horizontal="right"/>
    </xf>
    <xf numFmtId="167" fontId="17" fillId="0" borderId="14" xfId="1" applyNumberFormat="1" applyFont="1" applyFill="1" applyBorder="1" applyAlignment="1">
      <alignment horizontal="right"/>
    </xf>
    <xf numFmtId="37" fontId="17" fillId="0" borderId="45" xfId="0" applyNumberFormat="1" applyFont="1" applyBorder="1" applyAlignment="1">
      <alignment horizontal="right"/>
    </xf>
    <xf numFmtId="167" fontId="17" fillId="0" borderId="1" xfId="0" applyNumberFormat="1" applyFont="1" applyBorder="1"/>
    <xf numFmtId="167" fontId="17" fillId="0" borderId="6" xfId="1" applyNumberFormat="1" applyFont="1" applyFill="1" applyBorder="1"/>
    <xf numFmtId="167" fontId="17" fillId="0" borderId="1" xfId="1" applyNumberFormat="1" applyFont="1" applyFill="1" applyBorder="1"/>
    <xf numFmtId="167" fontId="17" fillId="0" borderId="8" xfId="1" applyNumberFormat="1" applyFont="1" applyFill="1" applyBorder="1" applyAlignment="1">
      <alignment horizontal="right"/>
    </xf>
    <xf numFmtId="181" fontId="33" fillId="0" borderId="10" xfId="0" applyFont="1" applyBorder="1" applyAlignment="1">
      <alignment horizontal="left" wrapText="1" indent="2"/>
    </xf>
    <xf numFmtId="181" fontId="24" fillId="0" borderId="0" xfId="0" applyFont="1" applyFill="1" applyBorder="1" applyAlignment="1">
      <alignment horizontal="center"/>
    </xf>
    <xf numFmtId="181" fontId="24" fillId="0" borderId="11" xfId="0" applyFont="1" applyFill="1" applyBorder="1" applyAlignment="1">
      <alignment horizontal="center"/>
    </xf>
    <xf numFmtId="181" fontId="23" fillId="0" borderId="0" xfId="0" applyFont="1" applyAlignment="1">
      <alignment wrapText="1"/>
    </xf>
    <xf numFmtId="181" fontId="24" fillId="0" borderId="10" xfId="0" applyFont="1" applyFill="1" applyBorder="1" applyAlignment="1">
      <alignment horizontal="center"/>
    </xf>
    <xf numFmtId="181" fontId="23" fillId="0" borderId="7" xfId="0" applyFont="1" applyBorder="1" applyAlignment="1">
      <alignment horizontal="center"/>
    </xf>
    <xf numFmtId="181" fontId="23" fillId="0" borderId="2" xfId="0" applyFont="1" applyBorder="1" applyAlignment="1">
      <alignment horizontal="center"/>
    </xf>
    <xf numFmtId="0" fontId="12" fillId="0" borderId="0" xfId="75"/>
    <xf numFmtId="0" fontId="12" fillId="0" borderId="0" xfId="75" applyBorder="1"/>
    <xf numFmtId="37" fontId="12" fillId="0" borderId="0" xfId="75" applyNumberFormat="1" applyBorder="1"/>
    <xf numFmtId="0" fontId="12" fillId="0" borderId="0" xfId="75" applyAlignment="1"/>
    <xf numFmtId="0" fontId="14" fillId="0" borderId="0" xfId="75" applyFont="1"/>
    <xf numFmtId="0" fontId="15" fillId="0" borderId="0" xfId="75" applyFont="1" applyFill="1" applyBorder="1" applyAlignment="1">
      <alignment horizontal="left"/>
    </xf>
    <xf numFmtId="0" fontId="12" fillId="0" borderId="0" xfId="75" applyFill="1" applyBorder="1"/>
    <xf numFmtId="0" fontId="12" fillId="0" borderId="6" xfId="75" applyFill="1" applyBorder="1"/>
    <xf numFmtId="0" fontId="12" fillId="0" borderId="0" xfId="75" applyBorder="1" applyAlignment="1"/>
    <xf numFmtId="0" fontId="16" fillId="0" borderId="0" xfId="75" applyFont="1" applyFill="1" applyBorder="1"/>
    <xf numFmtId="0" fontId="17" fillId="0" borderId="0" xfId="75" applyFont="1" applyFill="1" applyBorder="1"/>
    <xf numFmtId="0" fontId="23" fillId="0" borderId="9" xfId="75" applyFont="1" applyFill="1" applyBorder="1" applyAlignment="1">
      <alignment horizontal="center"/>
    </xf>
    <xf numFmtId="0" fontId="12" fillId="0" borderId="3" xfId="75" applyBorder="1"/>
    <xf numFmtId="0" fontId="12" fillId="0" borderId="4" xfId="75" applyBorder="1"/>
    <xf numFmtId="0" fontId="12" fillId="0" borderId="2" xfId="75" applyBorder="1"/>
    <xf numFmtId="0" fontId="12" fillId="0" borderId="9" xfId="75" applyBorder="1"/>
    <xf numFmtId="0" fontId="23" fillId="0" borderId="0" xfId="75" applyFont="1" applyFill="1" applyBorder="1" applyAlignment="1">
      <alignment horizontal="center"/>
    </xf>
    <xf numFmtId="0" fontId="23" fillId="0" borderId="7" xfId="75" applyFont="1" applyFill="1" applyBorder="1" applyAlignment="1">
      <alignment horizontal="center"/>
    </xf>
    <xf numFmtId="0" fontId="12" fillId="0" borderId="7" xfId="75" applyBorder="1"/>
    <xf numFmtId="0" fontId="23" fillId="0" borderId="7" xfId="75" applyFont="1" applyBorder="1" applyAlignment="1">
      <alignment horizontal="center"/>
    </xf>
    <xf numFmtId="0" fontId="12" fillId="0" borderId="10" xfId="75" applyBorder="1"/>
    <xf numFmtId="0" fontId="13" fillId="0" borderId="9" xfId="75" applyFont="1" applyFill="1" applyBorder="1" applyAlignment="1">
      <alignment horizontal="center"/>
    </xf>
    <xf numFmtId="0" fontId="23" fillId="0" borderId="6" xfId="75" applyFont="1" applyFill="1" applyBorder="1" applyAlignment="1">
      <alignment horizontal="center"/>
    </xf>
    <xf numFmtId="0" fontId="23" fillId="0" borderId="1" xfId="75" applyFont="1" applyFill="1" applyBorder="1" applyAlignment="1">
      <alignment horizontal="center"/>
    </xf>
    <xf numFmtId="0" fontId="23" fillId="0" borderId="5" xfId="75" applyFont="1" applyFill="1" applyBorder="1" applyAlignment="1">
      <alignment horizontal="center"/>
    </xf>
    <xf numFmtId="0" fontId="13" fillId="0" borderId="0" xfId="75" applyFont="1" applyFill="1" applyBorder="1" applyAlignment="1">
      <alignment horizontal="center"/>
    </xf>
    <xf numFmtId="0" fontId="23" fillId="0" borderId="8" xfId="75" applyFont="1" applyFill="1" applyBorder="1" applyAlignment="1">
      <alignment horizontal="center"/>
    </xf>
    <xf numFmtId="0" fontId="74" fillId="0" borderId="10" xfId="75" applyFont="1" applyFill="1" applyBorder="1" applyAlignment="1">
      <alignment horizontal="center"/>
    </xf>
    <xf numFmtId="0" fontId="74" fillId="0" borderId="4" xfId="75" applyFont="1" applyFill="1" applyBorder="1" applyAlignment="1">
      <alignment horizontal="center"/>
    </xf>
    <xf numFmtId="0" fontId="74" fillId="0" borderId="9" xfId="75" applyFont="1" applyFill="1" applyBorder="1" applyAlignment="1">
      <alignment horizontal="center"/>
    </xf>
    <xf numFmtId="0" fontId="16" fillId="0" borderId="0" xfId="75" applyFont="1" applyFill="1" applyBorder="1" applyAlignment="1">
      <alignment horizontal="center"/>
    </xf>
    <xf numFmtId="0" fontId="16" fillId="0" borderId="11" xfId="75" applyFont="1" applyFill="1" applyBorder="1" applyAlignment="1">
      <alignment horizontal="center"/>
    </xf>
    <xf numFmtId="0" fontId="16" fillId="0" borderId="10" xfId="75" applyFont="1" applyFill="1" applyBorder="1" applyAlignment="1">
      <alignment horizontal="center"/>
    </xf>
    <xf numFmtId="0" fontId="16" fillId="0" borderId="9" xfId="75" applyFont="1" applyFill="1" applyBorder="1" applyAlignment="1">
      <alignment horizontal="center"/>
    </xf>
    <xf numFmtId="0" fontId="74" fillId="0" borderId="0" xfId="75" applyFont="1" applyFill="1" applyBorder="1" applyAlignment="1">
      <alignment horizontal="center"/>
    </xf>
    <xf numFmtId="0" fontId="16" fillId="0" borderId="15" xfId="75" applyFont="1" applyFill="1" applyBorder="1" applyAlignment="1">
      <alignment horizontal="center"/>
    </xf>
    <xf numFmtId="0" fontId="42" fillId="0" borderId="10" xfId="75" applyFont="1" applyBorder="1"/>
    <xf numFmtId="0" fontId="42" fillId="0" borderId="0" xfId="75" applyFont="1" applyBorder="1"/>
    <xf numFmtId="0" fontId="42" fillId="0" borderId="0" xfId="75" applyFont="1"/>
    <xf numFmtId="0" fontId="23" fillId="0" borderId="0" xfId="75" applyFont="1" applyFill="1" applyBorder="1"/>
    <xf numFmtId="0" fontId="19" fillId="0" borderId="0" xfId="75" applyFont="1" applyFill="1" applyBorder="1"/>
    <xf numFmtId="0" fontId="17" fillId="0" borderId="10" xfId="75" applyFont="1" applyBorder="1"/>
    <xf numFmtId="0" fontId="17" fillId="0" borderId="11" xfId="75" applyFont="1" applyBorder="1"/>
    <xf numFmtId="0" fontId="17" fillId="0" borderId="9" xfId="75" applyFont="1" applyBorder="1"/>
    <xf numFmtId="0" fontId="17" fillId="0" borderId="0" xfId="75" applyFont="1" applyBorder="1"/>
    <xf numFmtId="0" fontId="17" fillId="0" borderId="0" xfId="75" applyFont="1"/>
    <xf numFmtId="175" fontId="17" fillId="0" borderId="9" xfId="13" applyNumberFormat="1" applyFont="1" applyFill="1" applyBorder="1"/>
    <xf numFmtId="175" fontId="17" fillId="0" borderId="7" xfId="13" applyNumberFormat="1" applyFont="1" applyFill="1" applyBorder="1"/>
    <xf numFmtId="169" fontId="17" fillId="0" borderId="10" xfId="13" applyNumberFormat="1" applyFont="1" applyFill="1" applyBorder="1"/>
    <xf numFmtId="168" fontId="17" fillId="0" borderId="11" xfId="16" applyNumberFormat="1" applyFont="1" applyFill="1" applyBorder="1" applyAlignment="1">
      <alignment horizontal="right"/>
    </xf>
    <xf numFmtId="168" fontId="17" fillId="0" borderId="9" xfId="16" applyNumberFormat="1" applyFont="1" applyFill="1" applyBorder="1" applyAlignment="1">
      <alignment horizontal="right"/>
    </xf>
    <xf numFmtId="37" fontId="17" fillId="0" borderId="6" xfId="13" applyNumberFormat="1" applyFont="1" applyFill="1" applyBorder="1"/>
    <xf numFmtId="37" fontId="17" fillId="0" borderId="11" xfId="13" applyNumberFormat="1" applyFont="1" applyFill="1" applyBorder="1"/>
    <xf numFmtId="37" fontId="17" fillId="0" borderId="6" xfId="75" applyNumberFormat="1" applyFont="1" applyFill="1" applyBorder="1"/>
    <xf numFmtId="37" fontId="17" fillId="0" borderId="0" xfId="16" applyNumberFormat="1" applyFont="1" applyFill="1" applyBorder="1" applyAlignment="1">
      <alignment horizontal="right"/>
    </xf>
    <xf numFmtId="169" fontId="17" fillId="0" borderId="0" xfId="75" applyNumberFormat="1" applyFont="1" applyBorder="1"/>
    <xf numFmtId="169" fontId="17" fillId="0" borderId="0" xfId="75" applyNumberFormat="1" applyFont="1"/>
    <xf numFmtId="169" fontId="17" fillId="0" borderId="0" xfId="13" applyNumberFormat="1" applyFont="1" applyFill="1" applyBorder="1" applyAlignment="1"/>
    <xf numFmtId="37" fontId="17" fillId="0" borderId="9" xfId="13" applyNumberFormat="1" applyFont="1" applyFill="1" applyBorder="1" applyAlignment="1">
      <alignment horizontal="right"/>
    </xf>
    <xf numFmtId="169" fontId="17" fillId="0" borderId="12" xfId="13" applyNumberFormat="1" applyFont="1" applyFill="1" applyBorder="1"/>
    <xf numFmtId="168" fontId="17" fillId="0" borderId="14" xfId="16" applyNumberFormat="1" applyFont="1" applyFill="1" applyBorder="1" applyAlignment="1">
      <alignment horizontal="right"/>
    </xf>
    <xf numFmtId="169" fontId="17" fillId="0" borderId="13" xfId="13" applyNumberFormat="1" applyFont="1" applyFill="1" applyBorder="1" applyAlignment="1"/>
    <xf numFmtId="37" fontId="17" fillId="0" borderId="15" xfId="13" applyNumberFormat="1" applyFont="1" applyFill="1" applyBorder="1" applyAlignment="1">
      <alignment horizontal="right"/>
    </xf>
    <xf numFmtId="169" fontId="17" fillId="0" borderId="15" xfId="13" applyNumberFormat="1" applyFont="1" applyFill="1" applyBorder="1"/>
    <xf numFmtId="37" fontId="17" fillId="0" borderId="4" xfId="13" applyNumberFormat="1" applyFont="1" applyFill="1" applyBorder="1"/>
    <xf numFmtId="37" fontId="17" fillId="0" borderId="0" xfId="13" applyNumberFormat="1" applyFont="1" applyFill="1" applyBorder="1"/>
    <xf numFmtId="37" fontId="17" fillId="0" borderId="10" xfId="13" applyNumberFormat="1" applyFont="1" applyFill="1" applyBorder="1"/>
    <xf numFmtId="0" fontId="17" fillId="0" borderId="9" xfId="75" applyFont="1" applyBorder="1" applyAlignment="1">
      <alignment horizontal="right"/>
    </xf>
    <xf numFmtId="169" fontId="17" fillId="0" borderId="9" xfId="13" applyNumberFormat="1" applyFont="1" applyFill="1" applyBorder="1"/>
    <xf numFmtId="37" fontId="17" fillId="0" borderId="9" xfId="75" applyNumberFormat="1" applyFont="1" applyBorder="1" applyAlignment="1">
      <alignment horizontal="right"/>
    </xf>
    <xf numFmtId="169" fontId="17" fillId="0" borderId="9" xfId="13" applyNumberFormat="1" applyFont="1" applyFill="1" applyBorder="1" applyAlignment="1"/>
    <xf numFmtId="37" fontId="17" fillId="0" borderId="11" xfId="13" applyNumberFormat="1" applyFont="1" applyFill="1" applyBorder="1" applyAlignment="1">
      <alignment horizontal="right"/>
    </xf>
    <xf numFmtId="169" fontId="17" fillId="0" borderId="5" xfId="13" applyNumberFormat="1" applyFont="1" applyFill="1" applyBorder="1"/>
    <xf numFmtId="168" fontId="17" fillId="0" borderId="1" xfId="16" applyNumberFormat="1" applyFont="1" applyFill="1" applyBorder="1" applyAlignment="1">
      <alignment horizontal="right"/>
    </xf>
    <xf numFmtId="37" fontId="17" fillId="0" borderId="6" xfId="16" applyNumberFormat="1" applyFont="1" applyFill="1" applyBorder="1" applyAlignment="1">
      <alignment horizontal="right"/>
    </xf>
    <xf numFmtId="37" fontId="17" fillId="0" borderId="1" xfId="13" applyNumberFormat="1" applyFont="1" applyFill="1" applyBorder="1"/>
    <xf numFmtId="169" fontId="17" fillId="0" borderId="6" xfId="13" applyNumberFormat="1" applyFont="1" applyFill="1" applyBorder="1" applyAlignment="1"/>
    <xf numFmtId="37" fontId="17" fillId="0" borderId="8" xfId="75" applyNumberFormat="1" applyFont="1" applyBorder="1" applyAlignment="1">
      <alignment horizontal="right"/>
    </xf>
    <xf numFmtId="169" fontId="17" fillId="0" borderId="8" xfId="13" applyNumberFormat="1" applyFont="1" applyFill="1" applyBorder="1" applyAlignment="1"/>
    <xf numFmtId="169" fontId="17" fillId="0" borderId="0" xfId="13" applyNumberFormat="1" applyFont="1" applyFill="1" applyBorder="1"/>
    <xf numFmtId="169" fontId="17" fillId="0" borderId="0" xfId="13" applyNumberFormat="1" applyFont="1" applyFill="1" applyBorder="1" applyAlignment="1">
      <alignment horizontal="right"/>
    </xf>
    <xf numFmtId="0" fontId="17" fillId="0" borderId="0" xfId="75" applyFont="1" applyBorder="1" applyAlignment="1">
      <alignment horizontal="right"/>
    </xf>
    <xf numFmtId="168" fontId="17" fillId="0" borderId="11" xfId="16" applyNumberFormat="1" applyFont="1" applyFill="1" applyBorder="1" applyAlignment="1"/>
    <xf numFmtId="166" fontId="17" fillId="0" borderId="10" xfId="13" applyFont="1" applyBorder="1"/>
    <xf numFmtId="169" fontId="17" fillId="0" borderId="0" xfId="16" applyNumberFormat="1" applyFont="1" applyFill="1" applyBorder="1" applyAlignment="1">
      <alignment horizontal="right"/>
    </xf>
    <xf numFmtId="179" fontId="17" fillId="0" borderId="0" xfId="13" applyNumberFormat="1" applyFont="1" applyFill="1" applyBorder="1" applyAlignment="1"/>
    <xf numFmtId="166" fontId="17" fillId="0" borderId="9" xfId="13" applyFont="1" applyBorder="1" applyAlignment="1">
      <alignment horizontal="right"/>
    </xf>
    <xf numFmtId="166" fontId="17" fillId="0" borderId="9" xfId="13" applyFont="1" applyFill="1" applyBorder="1"/>
    <xf numFmtId="169" fontId="17" fillId="0" borderId="0" xfId="75" applyNumberFormat="1" applyFont="1" applyBorder="1" applyAlignment="1">
      <alignment horizontal="right"/>
    </xf>
    <xf numFmtId="169" fontId="17" fillId="0" borderId="9" xfId="75" applyNumberFormat="1" applyFont="1" applyBorder="1" applyAlignment="1">
      <alignment horizontal="right"/>
    </xf>
    <xf numFmtId="0" fontId="17" fillId="0" borderId="0" xfId="75" applyFont="1" applyFill="1"/>
    <xf numFmtId="169" fontId="17" fillId="0" borderId="5" xfId="75" applyNumberFormat="1" applyFont="1" applyBorder="1" applyAlignment="1">
      <alignment horizontal="right"/>
    </xf>
    <xf numFmtId="166" fontId="17" fillId="0" borderId="8" xfId="13" applyFont="1" applyBorder="1" applyAlignment="1">
      <alignment horizontal="right"/>
    </xf>
    <xf numFmtId="168" fontId="17" fillId="0" borderId="4" xfId="16" applyNumberFormat="1" applyFont="1" applyFill="1" applyBorder="1" applyAlignment="1"/>
    <xf numFmtId="37" fontId="17" fillId="0" borderId="2" xfId="13" applyNumberFormat="1" applyFont="1" applyFill="1" applyBorder="1"/>
    <xf numFmtId="168" fontId="17" fillId="0" borderId="4" xfId="16" applyNumberFormat="1" applyFont="1" applyFill="1" applyBorder="1" applyAlignment="1">
      <alignment horizontal="right"/>
    </xf>
    <xf numFmtId="37" fontId="17" fillId="0" borderId="7" xfId="13" applyNumberFormat="1" applyFont="1" applyFill="1" applyBorder="1" applyAlignment="1">
      <alignment horizontal="right"/>
    </xf>
    <xf numFmtId="169" fontId="17" fillId="0" borderId="7" xfId="13" applyNumberFormat="1" applyFont="1" applyFill="1" applyBorder="1"/>
    <xf numFmtId="37" fontId="17" fillId="0" borderId="14" xfId="13" applyNumberFormat="1" applyFont="1" applyFill="1" applyBorder="1" applyAlignment="1">
      <alignment horizontal="right"/>
    </xf>
    <xf numFmtId="169" fontId="17" fillId="0" borderId="17" xfId="13" applyNumberFormat="1" applyFont="1" applyFill="1" applyBorder="1"/>
    <xf numFmtId="0" fontId="26" fillId="0" borderId="0" xfId="75" applyFont="1" applyBorder="1"/>
    <xf numFmtId="0" fontId="26" fillId="0" borderId="0" xfId="75" applyFont="1"/>
    <xf numFmtId="0" fontId="17" fillId="0" borderId="0" xfId="75" applyFont="1" applyBorder="1" applyAlignment="1">
      <alignment wrapText="1"/>
    </xf>
    <xf numFmtId="0" fontId="17" fillId="0" borderId="0" xfId="75" applyFont="1" applyBorder="1" applyAlignment="1">
      <alignment horizontal="center"/>
    </xf>
    <xf numFmtId="169" fontId="17" fillId="0" borderId="9" xfId="13" applyNumberFormat="1" applyFont="1" applyFill="1" applyBorder="1" applyAlignment="1">
      <alignment horizontal="right"/>
    </xf>
    <xf numFmtId="169" fontId="17" fillId="0" borderId="16" xfId="13" applyNumberFormat="1" applyFont="1" applyFill="1" applyBorder="1"/>
    <xf numFmtId="37" fontId="17" fillId="0" borderId="17" xfId="13" applyNumberFormat="1" applyFont="1" applyFill="1" applyBorder="1" applyAlignment="1">
      <alignment horizontal="right"/>
    </xf>
    <xf numFmtId="37" fontId="17" fillId="0" borderId="18" xfId="13" applyNumberFormat="1" applyFont="1" applyFill="1" applyBorder="1" applyAlignment="1">
      <alignment horizontal="right"/>
    </xf>
    <xf numFmtId="169" fontId="17" fillId="0" borderId="18" xfId="13" applyNumberFormat="1" applyFont="1" applyFill="1" applyBorder="1"/>
    <xf numFmtId="168" fontId="17" fillId="0" borderId="0" xfId="16" applyNumberFormat="1" applyFont="1" applyFill="1" applyBorder="1" applyAlignment="1">
      <alignment horizontal="right"/>
    </xf>
    <xf numFmtId="0" fontId="17" fillId="0" borderId="0" xfId="16" applyNumberFormat="1" applyFont="1" applyFill="1" applyBorder="1" applyAlignment="1">
      <alignment horizontal="right"/>
    </xf>
    <xf numFmtId="170" fontId="17" fillId="0" borderId="0" xfId="75" applyNumberFormat="1" applyFont="1" applyBorder="1"/>
    <xf numFmtId="176" fontId="17" fillId="0" borderId="0" xfId="75" applyNumberFormat="1" applyFont="1" applyFill="1" applyBorder="1" applyAlignment="1">
      <alignment horizontal="right"/>
    </xf>
    <xf numFmtId="168" fontId="17" fillId="0" borderId="0" xfId="75" applyNumberFormat="1" applyFont="1" applyBorder="1"/>
    <xf numFmtId="168" fontId="17" fillId="0" borderId="0" xfId="75" applyNumberFormat="1" applyFont="1"/>
    <xf numFmtId="168" fontId="17" fillId="0" borderId="0" xfId="75" applyNumberFormat="1" applyFont="1" applyFill="1"/>
    <xf numFmtId="168" fontId="17" fillId="0" borderId="0" xfId="16" applyNumberFormat="1" applyFont="1" applyFill="1" applyBorder="1"/>
    <xf numFmtId="168" fontId="17" fillId="0" borderId="0" xfId="16" applyNumberFormat="1" applyFont="1" applyFill="1"/>
    <xf numFmtId="176" fontId="17" fillId="0" borderId="0" xfId="75" applyNumberFormat="1" applyFont="1" applyFill="1" applyBorder="1" applyAlignment="1">
      <alignment horizontal="center"/>
    </xf>
    <xf numFmtId="168" fontId="17" fillId="0" borderId="0" xfId="75" applyNumberFormat="1" applyFont="1" applyFill="1" applyBorder="1"/>
    <xf numFmtId="171" fontId="17" fillId="0" borderId="0" xfId="16" applyNumberFormat="1" applyFont="1" applyFill="1"/>
    <xf numFmtId="0" fontId="17" fillId="0" borderId="0" xfId="75" applyFont="1" applyBorder="1" applyAlignment="1"/>
    <xf numFmtId="178" fontId="17" fillId="0" borderId="0" xfId="75" applyNumberFormat="1" applyFont="1" applyFill="1"/>
    <xf numFmtId="168" fontId="14" fillId="0" borderId="0" xfId="77" applyNumberFormat="1" applyFont="1" applyBorder="1"/>
    <xf numFmtId="170" fontId="17" fillId="0" borderId="0" xfId="75" applyNumberFormat="1" applyFont="1" applyFill="1"/>
    <xf numFmtId="168" fontId="19" fillId="0" borderId="0" xfId="75" applyNumberFormat="1" applyFont="1" applyBorder="1"/>
    <xf numFmtId="0" fontId="17" fillId="0" borderId="6" xfId="75" applyFont="1" applyBorder="1"/>
    <xf numFmtId="0" fontId="17" fillId="0" borderId="2" xfId="75" applyFont="1" applyBorder="1"/>
    <xf numFmtId="0" fontId="17" fillId="0" borderId="7" xfId="75" applyFont="1" applyBorder="1"/>
    <xf numFmtId="0" fontId="17" fillId="0" borderId="0" xfId="75" applyFont="1" applyFill="1" applyBorder="1" applyAlignment="1">
      <alignment horizontal="center"/>
    </xf>
    <xf numFmtId="0" fontId="16" fillId="0" borderId="0" xfId="75" applyFont="1"/>
    <xf numFmtId="169" fontId="17" fillId="0" borderId="10" xfId="75" applyNumberFormat="1" applyFont="1" applyFill="1" applyBorder="1"/>
    <xf numFmtId="168" fontId="17" fillId="0" borderId="11" xfId="75" applyNumberFormat="1" applyFont="1" applyFill="1" applyBorder="1"/>
    <xf numFmtId="37" fontId="17" fillId="0" borderId="0" xfId="75" applyNumberFormat="1" applyFont="1" applyFill="1" applyBorder="1"/>
    <xf numFmtId="37" fontId="17" fillId="0" borderId="11" xfId="75" applyNumberFormat="1" applyFont="1" applyBorder="1"/>
    <xf numFmtId="37" fontId="17" fillId="0" borderId="3" xfId="75" applyNumberFormat="1" applyFont="1" applyFill="1" applyBorder="1"/>
    <xf numFmtId="168" fontId="17" fillId="0" borderId="4" xfId="75" applyNumberFormat="1" applyFont="1" applyFill="1" applyBorder="1" applyAlignment="1"/>
    <xf numFmtId="37" fontId="17" fillId="0" borderId="9" xfId="75" applyNumberFormat="1" applyFont="1" applyBorder="1"/>
    <xf numFmtId="37" fontId="17" fillId="0" borderId="7" xfId="13" applyNumberFormat="1" applyFont="1" applyFill="1" applyBorder="1"/>
    <xf numFmtId="168" fontId="17" fillId="0" borderId="9" xfId="75" applyNumberFormat="1" applyFont="1" applyFill="1" applyBorder="1"/>
    <xf numFmtId="168" fontId="17" fillId="0" borderId="11" xfId="75" applyNumberFormat="1" applyFont="1" applyFill="1" applyBorder="1" applyAlignment="1"/>
    <xf numFmtId="37" fontId="17" fillId="0" borderId="9" xfId="13" applyNumberFormat="1" applyFont="1" applyFill="1" applyBorder="1"/>
    <xf numFmtId="37" fontId="17" fillId="0" borderId="5" xfId="13" applyNumberFormat="1" applyFont="1" applyFill="1" applyBorder="1"/>
    <xf numFmtId="37" fontId="17" fillId="0" borderId="8" xfId="13" applyNumberFormat="1" applyFont="1" applyFill="1" applyBorder="1"/>
    <xf numFmtId="169" fontId="17" fillId="0" borderId="8" xfId="13" applyNumberFormat="1" applyFont="1" applyFill="1" applyBorder="1"/>
    <xf numFmtId="169" fontId="17" fillId="0" borderId="5" xfId="75" applyNumberFormat="1" applyFont="1" applyFill="1" applyBorder="1"/>
    <xf numFmtId="168" fontId="17" fillId="0" borderId="1" xfId="75" applyNumberFormat="1" applyFont="1" applyFill="1" applyBorder="1" applyAlignment="1">
      <alignment horizontal="right"/>
    </xf>
    <xf numFmtId="37" fontId="17" fillId="0" borderId="1" xfId="75" applyNumberFormat="1" applyFont="1" applyBorder="1"/>
    <xf numFmtId="37" fontId="17" fillId="0" borderId="8" xfId="75" applyNumberFormat="1" applyFont="1" applyBorder="1"/>
    <xf numFmtId="169" fontId="17" fillId="0" borderId="0" xfId="75" applyNumberFormat="1" applyFont="1" applyFill="1" applyBorder="1"/>
    <xf numFmtId="169" fontId="17" fillId="0" borderId="0" xfId="75" applyNumberFormat="1" applyFont="1" applyFill="1" applyBorder="1" applyAlignment="1"/>
    <xf numFmtId="168" fontId="17" fillId="0" borderId="0" xfId="75" applyNumberFormat="1" applyFont="1" applyFill="1" applyBorder="1" applyAlignment="1"/>
    <xf numFmtId="176" fontId="17" fillId="0" borderId="0" xfId="75" applyNumberFormat="1" applyFont="1"/>
    <xf numFmtId="168" fontId="14" fillId="0" borderId="0" xfId="75" applyNumberFormat="1" applyFont="1" applyBorder="1"/>
    <xf numFmtId="37" fontId="17" fillId="0" borderId="11" xfId="75" applyNumberFormat="1" applyFont="1" applyFill="1" applyBorder="1"/>
    <xf numFmtId="37" fontId="17" fillId="0" borderId="10" xfId="75" applyNumberFormat="1" applyFont="1" applyFill="1" applyBorder="1"/>
    <xf numFmtId="37" fontId="17" fillId="0" borderId="10" xfId="75" applyNumberFormat="1" applyFont="1" applyBorder="1"/>
    <xf numFmtId="37" fontId="17" fillId="0" borderId="4" xfId="75" applyNumberFormat="1" applyFont="1" applyFill="1" applyBorder="1"/>
    <xf numFmtId="179" fontId="17" fillId="0" borderId="3" xfId="13" applyNumberFormat="1" applyFont="1" applyFill="1" applyBorder="1" applyAlignment="1"/>
    <xf numFmtId="179" fontId="17" fillId="0" borderId="0" xfId="13" applyNumberFormat="1" applyFont="1" applyBorder="1" applyAlignment="1"/>
    <xf numFmtId="179" fontId="17" fillId="0" borderId="9" xfId="13" applyNumberFormat="1" applyFont="1" applyFill="1" applyBorder="1"/>
    <xf numFmtId="179" fontId="17" fillId="0" borderId="0" xfId="13" applyNumberFormat="1" applyFont="1" applyFill="1" applyBorder="1"/>
    <xf numFmtId="166" fontId="17" fillId="0" borderId="0" xfId="13" applyFont="1" applyFill="1" applyBorder="1"/>
    <xf numFmtId="0" fontId="17" fillId="0" borderId="9" xfId="75" applyFont="1" applyFill="1" applyBorder="1" applyAlignment="1"/>
    <xf numFmtId="37" fontId="17" fillId="0" borderId="1" xfId="75" applyNumberFormat="1" applyFont="1" applyFill="1" applyBorder="1"/>
    <xf numFmtId="179" fontId="17" fillId="0" borderId="6" xfId="13" applyNumberFormat="1" applyFont="1" applyFill="1" applyBorder="1"/>
    <xf numFmtId="166" fontId="17" fillId="0" borderId="6" xfId="13" applyFont="1" applyFill="1" applyBorder="1"/>
    <xf numFmtId="166" fontId="17" fillId="0" borderId="1" xfId="13" applyFont="1" applyFill="1" applyBorder="1"/>
    <xf numFmtId="169" fontId="17" fillId="0" borderId="12" xfId="75" applyNumberFormat="1" applyFont="1" applyFill="1" applyBorder="1"/>
    <xf numFmtId="168" fontId="17" fillId="0" borderId="14" xfId="75" applyNumberFormat="1" applyFont="1" applyFill="1" applyBorder="1"/>
    <xf numFmtId="37" fontId="17" fillId="0" borderId="13" xfId="75" applyNumberFormat="1" applyFont="1" applyBorder="1"/>
    <xf numFmtId="37" fontId="17" fillId="0" borderId="14" xfId="75" applyNumberFormat="1" applyFont="1" applyBorder="1"/>
    <xf numFmtId="37" fontId="17" fillId="0" borderId="12" xfId="75" applyNumberFormat="1" applyFont="1" applyBorder="1"/>
    <xf numFmtId="179" fontId="17" fillId="0" borderId="13" xfId="13" applyNumberFormat="1" applyFont="1" applyBorder="1" applyAlignment="1"/>
    <xf numFmtId="168" fontId="17" fillId="0" borderId="14" xfId="75" applyNumberFormat="1" applyFont="1" applyFill="1" applyBorder="1" applyAlignment="1"/>
    <xf numFmtId="169" fontId="17" fillId="0" borderId="15" xfId="75" applyNumberFormat="1" applyFont="1" applyBorder="1"/>
    <xf numFmtId="169" fontId="17" fillId="0" borderId="14" xfId="75" applyNumberFormat="1" applyFont="1" applyBorder="1"/>
    <xf numFmtId="168" fontId="17" fillId="0" borderId="1" xfId="75" applyNumberFormat="1" applyFont="1" applyFill="1" applyBorder="1"/>
    <xf numFmtId="37" fontId="17" fillId="0" borderId="0" xfId="75" applyNumberFormat="1" applyFont="1" applyBorder="1"/>
    <xf numFmtId="37" fontId="17" fillId="0" borderId="6" xfId="75" applyNumberFormat="1" applyFont="1" applyBorder="1"/>
    <xf numFmtId="37" fontId="17" fillId="0" borderId="5" xfId="75" applyNumberFormat="1" applyFont="1" applyBorder="1"/>
    <xf numFmtId="179" fontId="17" fillId="0" borderId="6" xfId="13" applyNumberFormat="1" applyFont="1" applyBorder="1" applyAlignment="1"/>
    <xf numFmtId="168" fontId="17" fillId="0" borderId="1" xfId="75" applyNumberFormat="1" applyFont="1" applyFill="1" applyBorder="1" applyAlignment="1"/>
    <xf numFmtId="169" fontId="17" fillId="0" borderId="8" xfId="75" applyNumberFormat="1" applyFont="1" applyBorder="1"/>
    <xf numFmtId="169" fontId="17" fillId="0" borderId="1" xfId="75" applyNumberFormat="1" applyFont="1" applyBorder="1"/>
    <xf numFmtId="169" fontId="12" fillId="0" borderId="0" xfId="75" applyNumberFormat="1" applyBorder="1"/>
    <xf numFmtId="37" fontId="12" fillId="0" borderId="0" xfId="75" applyNumberFormat="1" applyBorder="1" applyAlignment="1"/>
    <xf numFmtId="37" fontId="12" fillId="0" borderId="0" xfId="75" applyNumberFormat="1" applyFill="1" applyBorder="1"/>
    <xf numFmtId="169" fontId="17" fillId="0" borderId="0" xfId="75" applyNumberFormat="1" applyFont="1" applyAlignment="1"/>
    <xf numFmtId="170" fontId="17" fillId="0" borderId="0" xfId="13" applyNumberFormat="1" applyFont="1" applyFill="1" applyBorder="1"/>
    <xf numFmtId="170" fontId="12" fillId="0" borderId="0" xfId="75" applyNumberFormat="1" applyFill="1" applyBorder="1"/>
    <xf numFmtId="3" fontId="12" fillId="0" borderId="0" xfId="75" applyNumberFormat="1" applyBorder="1"/>
    <xf numFmtId="170" fontId="17" fillId="0" borderId="0" xfId="75" applyNumberFormat="1" applyFont="1" applyFill="1" applyBorder="1"/>
    <xf numFmtId="39" fontId="17" fillId="0" borderId="0" xfId="75" applyNumberFormat="1" applyFont="1" applyFill="1" applyBorder="1"/>
    <xf numFmtId="174" fontId="17" fillId="0" borderId="0" xfId="75" applyNumberFormat="1" applyFont="1" applyFill="1" applyBorder="1" applyAlignment="1">
      <alignment horizontal="right"/>
    </xf>
    <xf numFmtId="172" fontId="17" fillId="0" borderId="0" xfId="75" applyNumberFormat="1" applyFont="1" applyFill="1" applyBorder="1"/>
    <xf numFmtId="170" fontId="17" fillId="0" borderId="0" xfId="75" applyNumberFormat="1" applyFont="1" applyFill="1" applyBorder="1" applyAlignment="1">
      <alignment horizontal="right"/>
    </xf>
    <xf numFmtId="171" fontId="17" fillId="0" borderId="0" xfId="16" applyNumberFormat="1" applyFont="1" applyFill="1" applyBorder="1"/>
    <xf numFmtId="173" fontId="17" fillId="0" borderId="0" xfId="75" applyNumberFormat="1" applyFont="1" applyFill="1" applyBorder="1"/>
    <xf numFmtId="167" fontId="17" fillId="0" borderId="0" xfId="16" applyNumberFormat="1" applyFont="1" applyFill="1" applyBorder="1" applyAlignment="1">
      <alignment horizontal="right"/>
    </xf>
    <xf numFmtId="168" fontId="17" fillId="0" borderId="11" xfId="75" applyNumberFormat="1" applyFont="1" applyFill="1" applyBorder="1" applyAlignment="1">
      <alignment horizontal="right"/>
    </xf>
    <xf numFmtId="37" fontId="17" fillId="0" borderId="9" xfId="75" applyNumberFormat="1" applyFont="1" applyFill="1" applyBorder="1"/>
    <xf numFmtId="37" fontId="17" fillId="0" borderId="8" xfId="75" applyNumberFormat="1" applyFont="1" applyFill="1" applyBorder="1"/>
    <xf numFmtId="179" fontId="17" fillId="0" borderId="5" xfId="1" applyNumberFormat="1" applyFont="1" applyFill="1" applyBorder="1" applyAlignment="1">
      <alignment horizontal="right"/>
    </xf>
    <xf numFmtId="169" fontId="17" fillId="0" borderId="0" xfId="75" applyNumberFormat="1" applyFont="1" applyFill="1" applyBorder="1" applyAlignment="1">
      <alignment horizontal="right"/>
    </xf>
    <xf numFmtId="167" fontId="17" fillId="0" borderId="0" xfId="13" applyNumberFormat="1" applyFont="1" applyFill="1" applyBorder="1" applyAlignment="1">
      <alignment horizontal="right"/>
    </xf>
    <xf numFmtId="168" fontId="17" fillId="0" borderId="17" xfId="16" applyNumberFormat="1" applyFont="1" applyFill="1" applyBorder="1" applyAlignment="1">
      <alignment horizontal="right"/>
    </xf>
    <xf numFmtId="37" fontId="17" fillId="0" borderId="7" xfId="75" applyNumberFormat="1" applyFont="1" applyFill="1" applyBorder="1"/>
    <xf numFmtId="167" fontId="17" fillId="0" borderId="11" xfId="13" applyNumberFormat="1" applyFont="1" applyFill="1" applyBorder="1"/>
    <xf numFmtId="167" fontId="17" fillId="0" borderId="0" xfId="13" applyNumberFormat="1" applyFont="1" applyFill="1" applyBorder="1"/>
    <xf numFmtId="167" fontId="17" fillId="0" borderId="10" xfId="13" applyNumberFormat="1" applyFont="1" applyFill="1" applyBorder="1"/>
    <xf numFmtId="167" fontId="17" fillId="0" borderId="0" xfId="13" applyNumberFormat="1" applyFont="1" applyFill="1" applyBorder="1" applyAlignment="1"/>
    <xf numFmtId="167" fontId="17" fillId="0" borderId="0" xfId="75" applyNumberFormat="1" applyFont="1"/>
    <xf numFmtId="167" fontId="17" fillId="0" borderId="9" xfId="13" applyNumberFormat="1" applyFont="1" applyFill="1" applyBorder="1" applyAlignment="1">
      <alignment horizontal="right"/>
    </xf>
    <xf numFmtId="167" fontId="17" fillId="0" borderId="11" xfId="13" applyNumberFormat="1" applyFont="1" applyFill="1" applyBorder="1" applyAlignment="1">
      <alignment horizontal="right"/>
    </xf>
    <xf numFmtId="167" fontId="17" fillId="0" borderId="9" xfId="75" applyNumberFormat="1" applyFont="1" applyBorder="1" applyAlignment="1">
      <alignment horizontal="right"/>
    </xf>
    <xf numFmtId="167" fontId="17" fillId="0" borderId="0" xfId="75" applyNumberFormat="1" applyFont="1" applyBorder="1" applyAlignment="1">
      <alignment horizontal="right"/>
    </xf>
    <xf numFmtId="167" fontId="17" fillId="0" borderId="9" xfId="13" applyNumberFormat="1" applyFont="1" applyFill="1" applyBorder="1"/>
    <xf numFmtId="167" fontId="17" fillId="0" borderId="0" xfId="13" applyNumberFormat="1" applyFont="1" applyBorder="1"/>
    <xf numFmtId="167" fontId="17" fillId="0" borderId="10" xfId="13" applyNumberFormat="1" applyFont="1" applyBorder="1"/>
    <xf numFmtId="167" fontId="17" fillId="0" borderId="11" xfId="13" applyNumberFormat="1" applyFont="1" applyBorder="1"/>
    <xf numFmtId="167" fontId="17" fillId="0" borderId="0" xfId="13" applyNumberFormat="1" applyFont="1"/>
    <xf numFmtId="167" fontId="17" fillId="0" borderId="9" xfId="13" applyNumberFormat="1" applyFont="1" applyBorder="1" applyAlignment="1">
      <alignment horizontal="right"/>
    </xf>
    <xf numFmtId="167" fontId="17" fillId="0" borderId="11" xfId="75" applyNumberFormat="1" applyFont="1" applyBorder="1" applyAlignment="1">
      <alignment horizontal="right"/>
    </xf>
    <xf numFmtId="167" fontId="17" fillId="0" borderId="0" xfId="75" applyNumberFormat="1" applyFont="1" applyBorder="1"/>
    <xf numFmtId="167" fontId="17" fillId="0" borderId="10" xfId="75" applyNumberFormat="1" applyFont="1" applyBorder="1" applyAlignment="1">
      <alignment horizontal="right"/>
    </xf>
    <xf numFmtId="167" fontId="17" fillId="0" borderId="10" xfId="75" applyNumberFormat="1" applyFont="1" applyBorder="1"/>
    <xf numFmtId="167" fontId="17" fillId="0" borderId="11" xfId="75" applyNumberFormat="1" applyFont="1" applyBorder="1"/>
    <xf numFmtId="167" fontId="17" fillId="0" borderId="0" xfId="75" applyNumberFormat="1" applyFont="1" applyBorder="1" applyAlignment="1"/>
    <xf numFmtId="167" fontId="17" fillId="0" borderId="9" xfId="75" applyNumberFormat="1" applyFont="1" applyFill="1" applyBorder="1" applyAlignment="1">
      <alignment horizontal="right"/>
    </xf>
    <xf numFmtId="167" fontId="17" fillId="0" borderId="6" xfId="13" applyNumberFormat="1" applyFont="1" applyFill="1" applyBorder="1" applyAlignment="1">
      <alignment horizontal="right"/>
    </xf>
    <xf numFmtId="167" fontId="17" fillId="0" borderId="1" xfId="13" applyNumberFormat="1" applyFont="1" applyFill="1" applyBorder="1" applyAlignment="1">
      <alignment horizontal="right"/>
    </xf>
    <xf numFmtId="167" fontId="17" fillId="0" borderId="5" xfId="75" applyNumberFormat="1" applyFont="1" applyBorder="1" applyAlignment="1">
      <alignment horizontal="right"/>
    </xf>
    <xf numFmtId="181" fontId="0" fillId="0" borderId="0" xfId="0" applyBorder="1" applyAlignment="1">
      <alignment horizontal="left" indent="2"/>
    </xf>
    <xf numFmtId="181" fontId="12" fillId="0" borderId="10" xfId="0" applyFont="1" applyBorder="1" applyAlignment="1">
      <alignment horizontal="left" indent="2"/>
    </xf>
    <xf numFmtId="37" fontId="17" fillId="0" borderId="9" xfId="13" applyNumberFormat="1" applyFont="1" applyFill="1" applyBorder="1" applyAlignment="1">
      <alignment horizontal="center"/>
    </xf>
    <xf numFmtId="168" fontId="17" fillId="0" borderId="1" xfId="7" applyNumberFormat="1" applyFont="1" applyFill="1" applyBorder="1" applyAlignment="1"/>
    <xf numFmtId="167" fontId="17" fillId="0" borderId="6" xfId="13" applyNumberFormat="1" applyFont="1" applyFill="1" applyBorder="1"/>
    <xf numFmtId="167" fontId="17" fillId="0" borderId="6" xfId="75" applyNumberFormat="1" applyFont="1" applyFill="1" applyBorder="1"/>
    <xf numFmtId="167" fontId="17" fillId="0" borderId="14" xfId="13" applyNumberFormat="1" applyFont="1" applyFill="1" applyBorder="1"/>
    <xf numFmtId="167" fontId="17" fillId="0" borderId="13" xfId="13" applyNumberFormat="1" applyFont="1" applyFill="1" applyBorder="1"/>
    <xf numFmtId="167" fontId="17" fillId="0" borderId="12" xfId="13" applyNumberFormat="1" applyFont="1" applyFill="1" applyBorder="1"/>
    <xf numFmtId="167" fontId="17" fillId="0" borderId="3" xfId="16" applyNumberFormat="1" applyFont="1" applyFill="1" applyBorder="1" applyAlignment="1">
      <alignment horizontal="right"/>
    </xf>
    <xf numFmtId="167" fontId="17" fillId="0" borderId="4" xfId="13" applyNumberFormat="1" applyFont="1" applyFill="1" applyBorder="1"/>
    <xf numFmtId="167" fontId="17" fillId="0" borderId="6" xfId="16" applyNumberFormat="1" applyFont="1" applyFill="1" applyBorder="1" applyAlignment="1">
      <alignment horizontal="right"/>
    </xf>
    <xf numFmtId="167" fontId="17" fillId="0" borderId="1" xfId="13" applyNumberFormat="1" applyFont="1" applyFill="1" applyBorder="1"/>
    <xf numFmtId="167" fontId="17" fillId="0" borderId="3" xfId="13" applyNumberFormat="1" applyFont="1" applyFill="1" applyBorder="1"/>
    <xf numFmtId="167" fontId="17" fillId="0" borderId="2" xfId="13" applyNumberFormat="1" applyFont="1" applyFill="1" applyBorder="1"/>
    <xf numFmtId="167" fontId="17" fillId="0" borderId="14" xfId="13" applyNumberFormat="1" applyFont="1" applyFill="1" applyBorder="1" applyAlignment="1">
      <alignment horizontal="right"/>
    </xf>
    <xf numFmtId="167" fontId="17" fillId="0" borderId="13" xfId="13" applyNumberFormat="1" applyFont="1" applyFill="1" applyBorder="1" applyAlignment="1">
      <alignment horizontal="right"/>
    </xf>
    <xf numFmtId="167" fontId="17" fillId="0" borderId="0" xfId="13" applyNumberFormat="1" applyFont="1" applyFill="1" applyBorder="1" applyAlignment="1">
      <alignment horizontal="center"/>
    </xf>
    <xf numFmtId="167" fontId="17" fillId="0" borderId="11" xfId="13" applyNumberFormat="1" applyFont="1" applyFill="1" applyBorder="1" applyAlignment="1">
      <alignment horizontal="center"/>
    </xf>
    <xf numFmtId="167" fontId="17" fillId="0" borderId="19" xfId="13" applyNumberFormat="1" applyFont="1" applyFill="1" applyBorder="1" applyAlignment="1">
      <alignment horizontal="right"/>
    </xf>
    <xf numFmtId="167" fontId="17" fillId="0" borderId="17" xfId="13" applyNumberFormat="1" applyFont="1" applyFill="1" applyBorder="1" applyAlignment="1">
      <alignment horizontal="right"/>
    </xf>
    <xf numFmtId="167" fontId="17" fillId="0" borderId="19" xfId="13" applyNumberFormat="1" applyFont="1" applyFill="1" applyBorder="1" applyAlignment="1">
      <alignment horizontal="center"/>
    </xf>
    <xf numFmtId="167" fontId="17" fillId="0" borderId="17" xfId="13" applyNumberFormat="1" applyFont="1" applyFill="1" applyBorder="1" applyAlignment="1">
      <alignment horizontal="center"/>
    </xf>
    <xf numFmtId="181" fontId="0" fillId="0" borderId="0" xfId="0" applyFill="1" applyAlignment="1">
      <alignment wrapText="1"/>
    </xf>
    <xf numFmtId="181" fontId="0" fillId="0" borderId="0" xfId="0" applyFill="1" applyAlignment="1">
      <alignment horizontal="center"/>
    </xf>
    <xf numFmtId="179" fontId="17" fillId="0" borderId="6" xfId="1" applyNumberFormat="1" applyFont="1" applyFill="1" applyBorder="1"/>
    <xf numFmtId="179" fontId="17" fillId="0" borderId="2" xfId="1" applyNumberFormat="1" applyFont="1" applyFill="1" applyBorder="1" applyAlignment="1">
      <alignment horizontal="right"/>
    </xf>
    <xf numFmtId="179" fontId="17" fillId="0" borderId="13" xfId="1" applyNumberFormat="1" applyFont="1" applyFill="1" applyBorder="1" applyAlignment="1">
      <alignment horizontal="right"/>
    </xf>
    <xf numFmtId="179" fontId="17" fillId="0" borderId="3" xfId="1" applyNumberFormat="1" applyFont="1" applyFill="1" applyBorder="1" applyAlignment="1"/>
    <xf numFmtId="179" fontId="17" fillId="0" borderId="6" xfId="1" applyNumberFormat="1" applyFont="1" applyFill="1" applyBorder="1" applyAlignment="1"/>
    <xf numFmtId="181" fontId="0" fillId="0" borderId="0" xfId="0" applyAlignment="1">
      <alignment wrapText="1"/>
    </xf>
    <xf numFmtId="181" fontId="27" fillId="0" borderId="0" xfId="0" applyFont="1" applyAlignment="1">
      <alignment horizontal="center"/>
    </xf>
    <xf numFmtId="181" fontId="12" fillId="0" borderId="0" xfId="0" applyFont="1" applyFill="1"/>
    <xf numFmtId="169" fontId="17" fillId="0" borderId="6" xfId="75" applyNumberFormat="1" applyFont="1" applyBorder="1" applyAlignment="1">
      <alignment horizontal="right"/>
    </xf>
    <xf numFmtId="167" fontId="17" fillId="0" borderId="6" xfId="75" applyNumberFormat="1" applyFont="1" applyBorder="1" applyAlignment="1">
      <alignment horizontal="right"/>
    </xf>
    <xf numFmtId="167" fontId="17" fillId="0" borderId="1" xfId="75" applyNumberFormat="1" applyFont="1" applyBorder="1" applyAlignment="1">
      <alignment horizontal="right"/>
    </xf>
    <xf numFmtId="37" fontId="12" fillId="0" borderId="0" xfId="75" applyNumberFormat="1"/>
    <xf numFmtId="167" fontId="12" fillId="0" borderId="0" xfId="75" applyNumberFormat="1" applyBorder="1"/>
    <xf numFmtId="171" fontId="12" fillId="0" borderId="0" xfId="7" applyNumberFormat="1" applyBorder="1"/>
    <xf numFmtId="181" fontId="0" fillId="0" borderId="0" xfId="0" applyFill="1" applyAlignment="1">
      <alignment wrapText="1"/>
    </xf>
    <xf numFmtId="181" fontId="29" fillId="0" borderId="0" xfId="0" applyFont="1" applyAlignment="1">
      <alignment horizontal="center" wrapText="1"/>
    </xf>
    <xf numFmtId="181" fontId="0" fillId="0" borderId="0" xfId="0" applyAlignment="1">
      <alignment wrapText="1"/>
    </xf>
    <xf numFmtId="181" fontId="12" fillId="0" borderId="0" xfId="0" applyFont="1" applyFill="1" applyAlignment="1">
      <alignment horizontal="left"/>
    </xf>
    <xf numFmtId="181" fontId="0" fillId="0" borderId="0" xfId="0" applyAlignment="1">
      <alignment horizontal="left"/>
    </xf>
    <xf numFmtId="168" fontId="17" fillId="0" borderId="9" xfId="16" applyNumberFormat="1" applyFont="1" applyFill="1" applyBorder="1" applyAlignment="1">
      <alignment horizontal="left"/>
    </xf>
    <xf numFmtId="169" fontId="17" fillId="0" borderId="8" xfId="75" applyNumberFormat="1" applyFont="1" applyBorder="1" applyAlignment="1">
      <alignment horizontal="right"/>
    </xf>
    <xf numFmtId="0" fontId="23" fillId="0" borderId="0" xfId="75" applyFont="1" applyAlignment="1">
      <alignment wrapText="1"/>
    </xf>
    <xf numFmtId="169" fontId="17" fillId="0" borderId="5" xfId="158" applyNumberFormat="1" applyFont="1" applyFill="1" applyBorder="1"/>
    <xf numFmtId="168" fontId="17" fillId="0" borderId="1" xfId="158" applyNumberFormat="1" applyFont="1" applyFill="1" applyBorder="1"/>
    <xf numFmtId="181" fontId="12" fillId="0" borderId="9" xfId="158" applyNumberFormat="1" applyBorder="1"/>
    <xf numFmtId="169" fontId="17" fillId="0" borderId="13" xfId="158" applyNumberFormat="1" applyFont="1" applyBorder="1"/>
    <xf numFmtId="169" fontId="17" fillId="0" borderId="1" xfId="158" applyNumberFormat="1" applyFont="1" applyBorder="1"/>
    <xf numFmtId="37" fontId="17" fillId="0" borderId="5" xfId="158" applyNumberFormat="1" applyFont="1" applyBorder="1"/>
    <xf numFmtId="37" fontId="17" fillId="0" borderId="6" xfId="158" applyNumberFormat="1" applyFont="1" applyBorder="1"/>
    <xf numFmtId="37" fontId="17" fillId="0" borderId="1" xfId="158" applyNumberFormat="1" applyFont="1" applyBorder="1"/>
    <xf numFmtId="37" fontId="17" fillId="0" borderId="5" xfId="158" applyNumberFormat="1" applyFont="1" applyBorder="1" applyAlignment="1">
      <alignment horizontal="center"/>
    </xf>
    <xf numFmtId="37" fontId="17" fillId="0" borderId="6" xfId="158" applyNumberFormat="1" applyFont="1" applyBorder="1" applyAlignment="1">
      <alignment horizontal="center"/>
    </xf>
    <xf numFmtId="37" fontId="17" fillId="0" borderId="1" xfId="158" applyNumberFormat="1" applyFont="1" applyBorder="1" applyAlignment="1">
      <alignment horizontal="center"/>
    </xf>
    <xf numFmtId="37" fontId="17" fillId="0" borderId="0" xfId="158" applyNumberFormat="1" applyFont="1" applyBorder="1" applyAlignment="1">
      <alignment horizontal="center"/>
    </xf>
    <xf numFmtId="181" fontId="12" fillId="0" borderId="0" xfId="158" applyNumberFormat="1" applyFill="1" applyBorder="1" applyAlignment="1">
      <alignment horizontal="center"/>
    </xf>
    <xf numFmtId="168" fontId="17" fillId="0" borderId="1" xfId="158" applyNumberFormat="1" applyFont="1" applyFill="1" applyBorder="1" applyAlignment="1">
      <alignment horizontal="right"/>
    </xf>
    <xf numFmtId="181" fontId="12" fillId="0" borderId="0" xfId="158" applyNumberFormat="1" applyAlignment="1">
      <alignment horizontal="center"/>
    </xf>
    <xf numFmtId="37" fontId="17" fillId="0" borderId="8" xfId="158" applyNumberFormat="1" applyFont="1" applyBorder="1" applyAlignment="1">
      <alignment horizontal="center"/>
    </xf>
    <xf numFmtId="169" fontId="17" fillId="0" borderId="0" xfId="158" applyNumberFormat="1" applyFont="1" applyBorder="1"/>
    <xf numFmtId="168" fontId="17" fillId="0" borderId="0" xfId="158" applyNumberFormat="1" applyFont="1"/>
    <xf numFmtId="181" fontId="12" fillId="0" borderId="0" xfId="158" applyNumberFormat="1"/>
    <xf numFmtId="0" fontId="23" fillId="0" borderId="10" xfId="75" applyFont="1" applyFill="1" applyBorder="1" applyAlignment="1">
      <alignment horizontal="center"/>
    </xf>
    <xf numFmtId="167" fontId="17" fillId="0" borderId="10" xfId="75" applyNumberFormat="1" applyFont="1" applyBorder="1" applyAlignment="1">
      <alignment horizontal="center"/>
    </xf>
    <xf numFmtId="181" fontId="12" fillId="0" borderId="10" xfId="158" applyNumberFormat="1" applyBorder="1" applyAlignment="1">
      <alignment horizontal="center"/>
    </xf>
    <xf numFmtId="181" fontId="16" fillId="0" borderId="3" xfId="0" applyFont="1" applyFill="1" applyBorder="1" applyAlignment="1">
      <alignment horizontal="center"/>
    </xf>
    <xf numFmtId="181" fontId="16" fillId="0" borderId="4" xfId="0" applyFont="1" applyFill="1" applyBorder="1" applyAlignment="1">
      <alignment horizontal="center"/>
    </xf>
    <xf numFmtId="0" fontId="17" fillId="0" borderId="11" xfId="75" applyFont="1" applyBorder="1" applyAlignment="1"/>
    <xf numFmtId="0" fontId="16" fillId="0" borderId="3" xfId="75" applyFont="1" applyFill="1" applyBorder="1" applyAlignment="1">
      <alignment horizontal="center"/>
    </xf>
    <xf numFmtId="0" fontId="16" fillId="0" borderId="4" xfId="75" applyFont="1" applyFill="1" applyBorder="1" applyAlignment="1">
      <alignment horizontal="center"/>
    </xf>
    <xf numFmtId="181" fontId="16" fillId="0" borderId="3" xfId="29" applyFont="1" applyFill="1" applyBorder="1" applyAlignment="1">
      <alignment horizontal="center"/>
    </xf>
    <xf numFmtId="181" fontId="12" fillId="0" borderId="3" xfId="29" applyBorder="1"/>
    <xf numFmtId="181" fontId="12" fillId="0" borderId="4" xfId="29" applyBorder="1"/>
    <xf numFmtId="0" fontId="16" fillId="0" borderId="7" xfId="75" applyFont="1" applyFill="1" applyBorder="1" applyAlignment="1">
      <alignment horizontal="center"/>
    </xf>
    <xf numFmtId="181" fontId="36" fillId="0" borderId="0" xfId="0" applyFont="1" applyFill="1" applyAlignment="1"/>
    <xf numFmtId="181" fontId="35" fillId="0" borderId="0" xfId="14" applyFont="1" applyFill="1" applyAlignment="1">
      <alignment vertical="center"/>
    </xf>
    <xf numFmtId="181" fontId="36" fillId="0" borderId="0" xfId="14" applyFont="1" applyFill="1" applyAlignment="1"/>
    <xf numFmtId="181" fontId="12" fillId="0" borderId="0" xfId="14" applyFill="1" applyAlignment="1"/>
    <xf numFmtId="181" fontId="17" fillId="0" borderId="0" xfId="0" applyFont="1" applyFill="1" applyAlignment="1">
      <alignment horizontal="left"/>
    </xf>
    <xf numFmtId="181" fontId="12" fillId="0" borderId="0" xfId="0" applyFont="1" applyFill="1" applyAlignment="1"/>
    <xf numFmtId="181" fontId="17" fillId="0" borderId="0" xfId="0" applyFont="1" applyFill="1" applyAlignment="1"/>
    <xf numFmtId="175" fontId="36" fillId="0" borderId="0" xfId="4" applyNumberFormat="1" applyFont="1" applyFill="1" applyAlignment="1"/>
    <xf numFmtId="185" fontId="35" fillId="0" borderId="0" xfId="4" applyNumberFormat="1" applyFont="1" applyFill="1" applyBorder="1" applyAlignment="1">
      <alignment horizontal="right"/>
    </xf>
    <xf numFmtId="185" fontId="35" fillId="0" borderId="0" xfId="4" quotePrefix="1" applyNumberFormat="1" applyFont="1" applyFill="1" applyBorder="1" applyAlignment="1">
      <alignment horizontal="right"/>
    </xf>
    <xf numFmtId="181" fontId="0" fillId="0" borderId="0" xfId="0" applyFill="1" applyProtection="1">
      <protection locked="0"/>
    </xf>
    <xf numFmtId="181" fontId="0" fillId="0" borderId="0" xfId="0" applyFill="1" applyBorder="1" applyProtection="1">
      <protection locked="0"/>
    </xf>
    <xf numFmtId="169" fontId="22" fillId="0" borderId="0" xfId="1" applyNumberFormat="1" applyFont="1" applyFill="1" applyBorder="1" applyProtection="1">
      <protection locked="0"/>
    </xf>
    <xf numFmtId="181" fontId="15" fillId="0" borderId="0" xfId="0" applyFont="1" applyFill="1" applyBorder="1" applyAlignment="1" applyProtection="1">
      <alignment horizontal="left"/>
      <protection locked="0"/>
    </xf>
    <xf numFmtId="181" fontId="17" fillId="0" borderId="0" xfId="0" applyFont="1" applyFill="1" applyBorder="1" applyProtection="1">
      <protection locked="0"/>
    </xf>
    <xf numFmtId="181" fontId="23" fillId="0" borderId="9" xfId="0" applyFont="1" applyFill="1" applyBorder="1" applyAlignment="1" applyProtection="1">
      <alignment horizontal="center"/>
      <protection locked="0"/>
    </xf>
    <xf numFmtId="181" fontId="0" fillId="0" borderId="2" xfId="0" applyFill="1" applyBorder="1" applyProtection="1">
      <protection locked="0"/>
    </xf>
    <xf numFmtId="181" fontId="0" fillId="0" borderId="3" xfId="0" applyFill="1" applyBorder="1" applyProtection="1">
      <protection locked="0"/>
    </xf>
    <xf numFmtId="181" fontId="0" fillId="0" borderId="9" xfId="0" applyFill="1" applyBorder="1" applyProtection="1">
      <protection locked="0"/>
    </xf>
    <xf numFmtId="181" fontId="0" fillId="0" borderId="10" xfId="0" applyFill="1" applyBorder="1" applyProtection="1">
      <protection locked="0"/>
    </xf>
    <xf numFmtId="181" fontId="24" fillId="0" borderId="9" xfId="0" applyFont="1" applyFill="1" applyBorder="1" applyAlignment="1" applyProtection="1">
      <alignment horizontal="center"/>
      <protection locked="0"/>
    </xf>
    <xf numFmtId="181" fontId="23" fillId="0" borderId="6" xfId="0" applyFont="1" applyFill="1" applyBorder="1" applyAlignment="1" applyProtection="1">
      <alignment horizontal="center"/>
      <protection locked="0"/>
    </xf>
    <xf numFmtId="168" fontId="17" fillId="0" borderId="0" xfId="7" applyNumberFormat="1" applyFont="1" applyFill="1" applyBorder="1" applyAlignment="1" applyProtection="1">
      <alignment horizontal="right"/>
      <protection locked="0"/>
    </xf>
    <xf numFmtId="168" fontId="22" fillId="0" borderId="9" xfId="7" applyNumberFormat="1" applyFont="1" applyFill="1" applyBorder="1" applyAlignment="1" applyProtection="1">
      <alignment horizontal="right"/>
      <protection locked="0"/>
    </xf>
    <xf numFmtId="181" fontId="22" fillId="0" borderId="9" xfId="0" applyFont="1" applyFill="1" applyBorder="1" applyProtection="1">
      <protection locked="0"/>
    </xf>
    <xf numFmtId="168" fontId="22" fillId="0" borderId="0" xfId="7" applyNumberFormat="1" applyFont="1" applyFill="1" applyBorder="1" applyAlignment="1" applyProtection="1">
      <alignment horizontal="right"/>
      <protection locked="0"/>
    </xf>
    <xf numFmtId="181" fontId="22" fillId="0" borderId="0" xfId="0" applyFont="1" applyFill="1" applyBorder="1" applyProtection="1">
      <protection locked="0"/>
    </xf>
    <xf numFmtId="169" fontId="17" fillId="0" borderId="0" xfId="1" applyNumberFormat="1" applyFont="1" applyFill="1" applyBorder="1" applyProtection="1">
      <protection locked="0"/>
    </xf>
    <xf numFmtId="169" fontId="17" fillId="0" borderId="0" xfId="0" applyNumberFormat="1" applyFont="1" applyFill="1" applyBorder="1" applyProtection="1">
      <protection locked="0"/>
    </xf>
    <xf numFmtId="169" fontId="17" fillId="0" borderId="0" xfId="1" applyNumberFormat="1" applyFont="1" applyFill="1" applyBorder="1" applyAlignment="1" applyProtection="1">
      <alignment horizontal="right"/>
      <protection locked="0"/>
    </xf>
    <xf numFmtId="168" fontId="22" fillId="0" borderId="9" xfId="7" applyNumberFormat="1" applyFont="1" applyFill="1" applyBorder="1" applyAlignment="1" applyProtection="1">
      <alignment horizontal="left"/>
      <protection locked="0"/>
    </xf>
    <xf numFmtId="170" fontId="22" fillId="0" borderId="0" xfId="0" applyNumberFormat="1" applyFont="1" applyFill="1" applyBorder="1" applyProtection="1">
      <protection locked="0"/>
    </xf>
    <xf numFmtId="168" fontId="17" fillId="0" borderId="9" xfId="7" applyNumberFormat="1" applyFont="1" applyFill="1" applyBorder="1" applyAlignment="1" applyProtection="1">
      <alignment horizontal="right"/>
      <protection locked="0"/>
    </xf>
    <xf numFmtId="181" fontId="17" fillId="0" borderId="9" xfId="0" applyFont="1" applyFill="1" applyBorder="1" applyProtection="1">
      <protection locked="0"/>
    </xf>
    <xf numFmtId="168" fontId="17" fillId="0" borderId="11" xfId="7" applyNumberFormat="1" applyFont="1" applyFill="1" applyBorder="1" applyAlignment="1" applyProtection="1">
      <alignment horizontal="right"/>
      <protection locked="0"/>
    </xf>
    <xf numFmtId="168" fontId="17" fillId="0" borderId="0" xfId="7" applyNumberFormat="1" applyFont="1" applyFill="1" applyBorder="1" applyProtection="1">
      <protection locked="0"/>
    </xf>
    <xf numFmtId="181" fontId="12" fillId="0" borderId="0" xfId="0" applyFont="1" applyFill="1" applyProtection="1">
      <protection locked="0"/>
    </xf>
    <xf numFmtId="166" fontId="12" fillId="0" borderId="0" xfId="1" applyFont="1" applyFill="1" applyProtection="1">
      <protection locked="0"/>
    </xf>
    <xf numFmtId="170" fontId="22" fillId="0" borderId="0" xfId="1" applyNumberFormat="1" applyFont="1" applyFill="1" applyBorder="1" applyAlignment="1" applyProtection="1">
      <alignment horizontal="right"/>
      <protection locked="0"/>
    </xf>
    <xf numFmtId="179" fontId="17" fillId="0" borderId="0" xfId="1" applyNumberFormat="1" applyFont="1" applyFill="1" applyBorder="1" applyAlignment="1" applyProtection="1">
      <alignment horizontal="center"/>
      <protection locked="0"/>
    </xf>
    <xf numFmtId="181" fontId="22" fillId="0" borderId="9" xfId="0" applyFont="1" applyFill="1" applyBorder="1" applyAlignment="1" applyProtection="1">
      <alignment horizontal="center"/>
      <protection locked="0"/>
    </xf>
    <xf numFmtId="168" fontId="17" fillId="0" borderId="0" xfId="0" applyNumberFormat="1" applyFont="1" applyFill="1" applyBorder="1" applyProtection="1">
      <protection locked="0"/>
    </xf>
    <xf numFmtId="171" fontId="17" fillId="0" borderId="0" xfId="7" applyNumberFormat="1" applyFont="1" applyFill="1" applyBorder="1" applyAlignment="1" applyProtection="1">
      <alignment horizontal="right"/>
      <protection locked="0"/>
    </xf>
    <xf numFmtId="168" fontId="17" fillId="0" borderId="9" xfId="7" applyNumberFormat="1" applyFont="1" applyFill="1" applyBorder="1" applyProtection="1">
      <protection locked="0"/>
    </xf>
    <xf numFmtId="168" fontId="22" fillId="0" borderId="9" xfId="0" applyNumberFormat="1" applyFont="1" applyFill="1" applyBorder="1" applyProtection="1">
      <protection locked="0"/>
    </xf>
    <xf numFmtId="166" fontId="0" fillId="0" borderId="0" xfId="1" applyFont="1" applyFill="1" applyProtection="1">
      <protection locked="0"/>
    </xf>
    <xf numFmtId="181" fontId="22" fillId="0" borderId="5" xfId="0" applyFont="1" applyFill="1" applyBorder="1" applyProtection="1">
      <protection locked="0"/>
    </xf>
    <xf numFmtId="181" fontId="22" fillId="0" borderId="6" xfId="0" applyFont="1" applyFill="1" applyBorder="1" applyProtection="1">
      <protection locked="0"/>
    </xf>
    <xf numFmtId="181" fontId="43" fillId="0" borderId="9" xfId="0" applyFont="1" applyFill="1" applyBorder="1" applyAlignment="1" applyProtection="1">
      <alignment horizontal="center"/>
      <protection locked="0"/>
    </xf>
    <xf numFmtId="181" fontId="43" fillId="0" borderId="2" xfId="0" applyFont="1" applyFill="1" applyBorder="1" applyAlignment="1" applyProtection="1">
      <alignment horizontal="center"/>
      <protection locked="0"/>
    </xf>
    <xf numFmtId="181" fontId="22" fillId="0" borderId="10" xfId="0" applyFont="1" applyFill="1" applyBorder="1" applyProtection="1">
      <protection locked="0"/>
    </xf>
    <xf numFmtId="168" fontId="22" fillId="0" borderId="10" xfId="0" applyNumberFormat="1" applyFont="1" applyFill="1" applyBorder="1" applyProtection="1">
      <protection locked="0"/>
    </xf>
    <xf numFmtId="181" fontId="0" fillId="0" borderId="0" xfId="0" applyFill="1" applyBorder="1" applyAlignment="1" applyProtection="1">
      <protection locked="0"/>
    </xf>
    <xf numFmtId="170" fontId="17" fillId="0" borderId="0" xfId="1" applyNumberFormat="1" applyFont="1" applyFill="1" applyBorder="1" applyProtection="1">
      <protection locked="0"/>
    </xf>
    <xf numFmtId="181" fontId="0" fillId="0" borderId="0" xfId="0" applyFill="1" applyProtection="1"/>
    <xf numFmtId="181" fontId="0" fillId="0" borderId="0" xfId="0" applyFill="1" applyBorder="1" applyProtection="1"/>
    <xf numFmtId="181" fontId="14" fillId="0" borderId="0" xfId="0" applyFont="1" applyFill="1" applyBorder="1" applyAlignment="1" applyProtection="1">
      <alignment horizontal="left"/>
    </xf>
    <xf numFmtId="181" fontId="15" fillId="0" borderId="0" xfId="0" applyFont="1" applyFill="1" applyBorder="1" applyAlignment="1" applyProtection="1">
      <alignment horizontal="left"/>
    </xf>
    <xf numFmtId="181" fontId="42" fillId="0" borderId="0" xfId="0" applyFont="1" applyFill="1" applyBorder="1" applyAlignment="1" applyProtection="1">
      <alignment horizontal="left"/>
    </xf>
    <xf numFmtId="181" fontId="16" fillId="0" borderId="0" xfId="0" applyFont="1" applyFill="1" applyBorder="1" applyProtection="1"/>
    <xf numFmtId="181" fontId="17" fillId="0" borderId="0" xfId="0" applyFont="1" applyFill="1" applyBorder="1" applyProtection="1"/>
    <xf numFmtId="181" fontId="23" fillId="0" borderId="0" xfId="0" applyFont="1" applyFill="1" applyBorder="1" applyProtection="1"/>
    <xf numFmtId="181" fontId="19" fillId="0" borderId="0" xfId="0" applyFont="1" applyFill="1" applyBorder="1" applyProtection="1"/>
    <xf numFmtId="181" fontId="0" fillId="0" borderId="10" xfId="0" applyFill="1" applyBorder="1" applyProtection="1"/>
    <xf numFmtId="181" fontId="0" fillId="0" borderId="11" xfId="0" applyFill="1" applyBorder="1" applyProtection="1"/>
    <xf numFmtId="169" fontId="22" fillId="0" borderId="10" xfId="1" applyNumberFormat="1" applyFont="1" applyFill="1" applyBorder="1" applyProtection="1"/>
    <xf numFmtId="168" fontId="17" fillId="0" borderId="0" xfId="7" applyNumberFormat="1" applyFont="1" applyFill="1" applyBorder="1" applyAlignment="1" applyProtection="1">
      <alignment horizontal="right"/>
    </xf>
    <xf numFmtId="168" fontId="22" fillId="0" borderId="11" xfId="7" applyNumberFormat="1" applyFont="1" applyFill="1" applyBorder="1" applyAlignment="1" applyProtection="1">
      <alignment horizontal="right"/>
    </xf>
    <xf numFmtId="167" fontId="17" fillId="0" borderId="0" xfId="0" applyNumberFormat="1" applyFont="1" applyFill="1" applyProtection="1"/>
    <xf numFmtId="166" fontId="22" fillId="0" borderId="10" xfId="1" applyFont="1" applyFill="1" applyBorder="1" applyProtection="1"/>
    <xf numFmtId="169" fontId="17" fillId="0" borderId="10" xfId="1" applyNumberFormat="1" applyFont="1" applyFill="1" applyBorder="1" applyProtection="1"/>
    <xf numFmtId="181" fontId="15" fillId="0" borderId="0" xfId="0" applyFont="1" applyFill="1" applyBorder="1" applyAlignment="1" applyProtection="1">
      <alignment horizontal="right"/>
    </xf>
    <xf numFmtId="168" fontId="17" fillId="0" borderId="0" xfId="0" applyNumberFormat="1" applyFont="1" applyFill="1" applyBorder="1" applyProtection="1"/>
    <xf numFmtId="176" fontId="22" fillId="0" borderId="10" xfId="0" applyNumberFormat="1" applyFont="1" applyFill="1" applyBorder="1" applyAlignment="1" applyProtection="1">
      <alignment horizontal="right"/>
    </xf>
    <xf numFmtId="168" fontId="19" fillId="0" borderId="0" xfId="0" applyNumberFormat="1" applyFont="1" applyFill="1" applyBorder="1" applyProtection="1"/>
    <xf numFmtId="181" fontId="22" fillId="0" borderId="5" xfId="0" applyFont="1" applyFill="1" applyBorder="1" applyProtection="1"/>
    <xf numFmtId="181" fontId="22" fillId="0" borderId="1" xfId="0" applyFont="1" applyFill="1" applyBorder="1" applyProtection="1"/>
    <xf numFmtId="181" fontId="22" fillId="0" borderId="0" xfId="0" applyFont="1" applyFill="1" applyProtection="1"/>
    <xf numFmtId="168" fontId="14" fillId="0" borderId="0" xfId="0" applyNumberFormat="1" applyFont="1" applyFill="1" applyBorder="1" applyProtection="1"/>
    <xf numFmtId="181" fontId="22" fillId="0" borderId="2" xfId="0" applyFont="1" applyFill="1" applyBorder="1" applyProtection="1"/>
    <xf numFmtId="181" fontId="22" fillId="0" borderId="4" xfId="0" applyFont="1" applyFill="1" applyBorder="1" applyProtection="1"/>
    <xf numFmtId="169" fontId="22" fillId="0" borderId="10" xfId="0" applyNumberFormat="1" applyFont="1" applyFill="1" applyBorder="1" applyProtection="1"/>
    <xf numFmtId="168" fontId="22" fillId="0" borderId="11" xfId="0" applyNumberFormat="1" applyFont="1" applyFill="1" applyBorder="1" applyProtection="1"/>
    <xf numFmtId="181" fontId="22" fillId="0" borderId="0" xfId="0" applyFont="1" applyFill="1" applyBorder="1" applyProtection="1"/>
    <xf numFmtId="181" fontId="0" fillId="0" borderId="0" xfId="0" applyFill="1" applyBorder="1" applyAlignment="1" applyProtection="1"/>
    <xf numFmtId="181" fontId="44" fillId="0" borderId="0" xfId="0" applyFont="1" applyFill="1" applyProtection="1"/>
    <xf numFmtId="169" fontId="22" fillId="0" borderId="0" xfId="1" applyNumberFormat="1" applyFont="1" applyFill="1" applyBorder="1" applyProtection="1"/>
    <xf numFmtId="171" fontId="0" fillId="0" borderId="0" xfId="7" applyNumberFormat="1" applyFont="1" applyFill="1" applyBorder="1" applyProtection="1"/>
    <xf numFmtId="171" fontId="15" fillId="0" borderId="0" xfId="7" applyNumberFormat="1" applyFont="1" applyFill="1" applyBorder="1" applyAlignment="1" applyProtection="1">
      <alignment horizontal="left"/>
    </xf>
    <xf numFmtId="179" fontId="12" fillId="0" borderId="0" xfId="1" applyNumberFormat="1" applyFont="1" applyFill="1" applyBorder="1" applyAlignment="1" applyProtection="1">
      <alignment horizontal="left"/>
    </xf>
    <xf numFmtId="181" fontId="0" fillId="0" borderId="3" xfId="0" applyFill="1" applyBorder="1" applyProtection="1"/>
    <xf numFmtId="181" fontId="0" fillId="0" borderId="4" xfId="0" applyFill="1" applyBorder="1" applyProtection="1"/>
    <xf numFmtId="181" fontId="0" fillId="0" borderId="2" xfId="0" applyFill="1" applyBorder="1" applyProtection="1"/>
    <xf numFmtId="181" fontId="0" fillId="0" borderId="7" xfId="0" applyFill="1" applyBorder="1" applyProtection="1"/>
    <xf numFmtId="181" fontId="0" fillId="0" borderId="9" xfId="0" applyFill="1" applyBorder="1" applyProtection="1"/>
    <xf numFmtId="181" fontId="23" fillId="0" borderId="2" xfId="0" applyFont="1" applyFill="1" applyBorder="1" applyAlignment="1" applyProtection="1">
      <alignment horizontal="centerContinuous"/>
    </xf>
    <xf numFmtId="181" fontId="23" fillId="0" borderId="3" xfId="0" applyFont="1" applyFill="1" applyBorder="1" applyAlignment="1" applyProtection="1">
      <alignment horizontal="centerContinuous"/>
    </xf>
    <xf numFmtId="181" fontId="23" fillId="0" borderId="4" xfId="0" applyFont="1" applyFill="1" applyBorder="1" applyAlignment="1" applyProtection="1">
      <alignment horizontal="centerContinuous"/>
    </xf>
    <xf numFmtId="181" fontId="23" fillId="0" borderId="0" xfId="0" applyFont="1" applyFill="1" applyBorder="1" applyAlignment="1" applyProtection="1">
      <alignment horizontal="center"/>
    </xf>
    <xf numFmtId="181" fontId="23" fillId="0" borderId="7" xfId="0" applyFont="1" applyFill="1" applyBorder="1" applyAlignment="1" applyProtection="1">
      <alignment horizontal="center"/>
    </xf>
    <xf numFmtId="181" fontId="23" fillId="0" borderId="6" xfId="0" applyFont="1" applyFill="1" applyBorder="1" applyAlignment="1" applyProtection="1">
      <alignment horizontal="center"/>
    </xf>
    <xf numFmtId="181" fontId="23" fillId="0" borderId="1" xfId="0" applyFont="1" applyFill="1" applyBorder="1" applyAlignment="1" applyProtection="1">
      <alignment horizontal="center"/>
    </xf>
    <xf numFmtId="181" fontId="23" fillId="0" borderId="5" xfId="0" applyFont="1" applyFill="1" applyBorder="1" applyAlignment="1" applyProtection="1">
      <alignment horizontal="center"/>
    </xf>
    <xf numFmtId="181" fontId="23" fillId="0" borderId="8" xfId="0" applyFont="1" applyFill="1" applyBorder="1" applyAlignment="1" applyProtection="1">
      <alignment horizontal="center"/>
    </xf>
    <xf numFmtId="181" fontId="23" fillId="0" borderId="9" xfId="0" applyFont="1" applyFill="1" applyBorder="1" applyAlignment="1" applyProtection="1">
      <alignment horizontal="center"/>
    </xf>
    <xf numFmtId="181" fontId="24" fillId="0" borderId="0" xfId="0" applyFont="1" applyFill="1" applyBorder="1" applyAlignment="1" applyProtection="1">
      <alignment horizontal="center"/>
    </xf>
    <xf numFmtId="169" fontId="22" fillId="0" borderId="11" xfId="1" applyNumberFormat="1" applyFont="1" applyFill="1" applyBorder="1" applyProtection="1"/>
    <xf numFmtId="169" fontId="22" fillId="0" borderId="9" xfId="1" applyNumberFormat="1" applyFont="1" applyFill="1" applyBorder="1" applyProtection="1"/>
    <xf numFmtId="181" fontId="22" fillId="0" borderId="9" xfId="0" applyFont="1" applyFill="1" applyBorder="1" applyProtection="1"/>
    <xf numFmtId="169" fontId="22" fillId="0" borderId="0" xfId="0" applyNumberFormat="1" applyFont="1" applyFill="1" applyBorder="1" applyProtection="1"/>
    <xf numFmtId="168" fontId="22" fillId="0" borderId="0" xfId="7" applyNumberFormat="1" applyFont="1" applyFill="1" applyBorder="1" applyProtection="1"/>
    <xf numFmtId="168" fontId="22" fillId="0" borderId="0" xfId="7" applyNumberFormat="1" applyFont="1" applyFill="1" applyBorder="1" applyAlignment="1" applyProtection="1">
      <alignment horizontal="right"/>
    </xf>
    <xf numFmtId="166" fontId="13" fillId="0" borderId="0" xfId="1" applyFont="1" applyFill="1" applyBorder="1" applyAlignment="1" applyProtection="1">
      <alignment horizontal="right"/>
    </xf>
    <xf numFmtId="169" fontId="17" fillId="0" borderId="0" xfId="1" applyNumberFormat="1" applyFont="1" applyFill="1" applyBorder="1" applyProtection="1"/>
    <xf numFmtId="169" fontId="17" fillId="0" borderId="0" xfId="0" applyNumberFormat="1" applyFont="1" applyFill="1" applyBorder="1" applyProtection="1"/>
    <xf numFmtId="169" fontId="22" fillId="0" borderId="0" xfId="1" applyNumberFormat="1" applyFont="1" applyFill="1" applyBorder="1" applyAlignment="1" applyProtection="1">
      <alignment horizontal="right"/>
    </xf>
    <xf numFmtId="169" fontId="17" fillId="0" borderId="0" xfId="1" applyNumberFormat="1" applyFont="1" applyFill="1" applyBorder="1" applyAlignment="1" applyProtection="1">
      <alignment horizontal="right"/>
    </xf>
    <xf numFmtId="169" fontId="22" fillId="0" borderId="0" xfId="1" applyNumberFormat="1" applyFont="1" applyFill="1" applyBorder="1" applyAlignment="1" applyProtection="1">
      <alignment horizontal="center"/>
    </xf>
    <xf numFmtId="181" fontId="22" fillId="0" borderId="11" xfId="0" applyFont="1" applyFill="1" applyBorder="1" applyProtection="1"/>
    <xf numFmtId="170" fontId="22" fillId="0" borderId="0" xfId="0" applyNumberFormat="1" applyFont="1" applyFill="1" applyBorder="1" applyProtection="1"/>
    <xf numFmtId="166" fontId="22" fillId="0" borderId="11" xfId="1" applyFont="1" applyFill="1" applyBorder="1" applyProtection="1"/>
    <xf numFmtId="2" fontId="22" fillId="0" borderId="0" xfId="0" applyNumberFormat="1" applyFont="1" applyFill="1" applyBorder="1" applyProtection="1"/>
    <xf numFmtId="2" fontId="22" fillId="0" borderId="11" xfId="0" applyNumberFormat="1" applyFont="1" applyFill="1" applyBorder="1" applyProtection="1"/>
    <xf numFmtId="170" fontId="22" fillId="0" borderId="9" xfId="0" applyNumberFormat="1" applyFont="1" applyFill="1" applyBorder="1" applyProtection="1"/>
    <xf numFmtId="170" fontId="22" fillId="0" borderId="0" xfId="1" applyNumberFormat="1" applyFont="1" applyFill="1" applyBorder="1" applyProtection="1"/>
    <xf numFmtId="170" fontId="17" fillId="0" borderId="0" xfId="0" applyNumberFormat="1" applyFont="1" applyFill="1" applyBorder="1" applyProtection="1"/>
    <xf numFmtId="2" fontId="17" fillId="0" borderId="0" xfId="0" applyNumberFormat="1" applyFont="1" applyFill="1" applyBorder="1" applyProtection="1"/>
    <xf numFmtId="170" fontId="22" fillId="0" borderId="9" xfId="1" applyNumberFormat="1" applyFont="1" applyFill="1" applyBorder="1" applyProtection="1"/>
    <xf numFmtId="183" fontId="22" fillId="0" borderId="0" xfId="1" applyNumberFormat="1" applyFont="1" applyFill="1" applyBorder="1" applyProtection="1"/>
    <xf numFmtId="169" fontId="17" fillId="0" borderId="11" xfId="1" applyNumberFormat="1" applyFont="1" applyFill="1" applyBorder="1" applyProtection="1"/>
    <xf numFmtId="169" fontId="17" fillId="0" borderId="9" xfId="1" applyNumberFormat="1" applyFont="1" applyFill="1" applyBorder="1" applyProtection="1"/>
    <xf numFmtId="181" fontId="17" fillId="0" borderId="9" xfId="0" applyFont="1" applyFill="1" applyBorder="1" applyProtection="1"/>
    <xf numFmtId="168" fontId="17" fillId="0" borderId="11" xfId="7" applyNumberFormat="1" applyFont="1" applyFill="1" applyBorder="1" applyAlignment="1" applyProtection="1">
      <alignment horizontal="right"/>
    </xf>
    <xf numFmtId="168" fontId="17" fillId="0" borderId="0" xfId="7" applyNumberFormat="1" applyFont="1" applyFill="1" applyBorder="1" applyProtection="1"/>
    <xf numFmtId="169" fontId="17" fillId="0" borderId="11" xfId="1" applyNumberFormat="1" applyFont="1" applyFill="1" applyBorder="1" applyAlignment="1" applyProtection="1">
      <alignment horizontal="right"/>
    </xf>
    <xf numFmtId="169" fontId="17" fillId="0" borderId="9" xfId="1" applyNumberFormat="1" applyFont="1" applyFill="1" applyBorder="1" applyAlignment="1" applyProtection="1">
      <alignment horizontal="right"/>
    </xf>
    <xf numFmtId="169" fontId="22" fillId="0" borderId="10" xfId="1" applyNumberFormat="1" applyFont="1" applyFill="1" applyBorder="1" applyAlignment="1" applyProtection="1">
      <alignment horizontal="right"/>
    </xf>
    <xf numFmtId="169" fontId="22" fillId="0" borderId="11" xfId="1" applyNumberFormat="1" applyFont="1" applyFill="1" applyBorder="1" applyAlignment="1" applyProtection="1">
      <alignment horizontal="right"/>
    </xf>
    <xf numFmtId="169" fontId="22" fillId="0" borderId="9" xfId="1" applyNumberFormat="1" applyFont="1" applyFill="1" applyBorder="1" applyAlignment="1" applyProtection="1">
      <alignment horizontal="right"/>
    </xf>
    <xf numFmtId="168" fontId="22" fillId="0" borderId="9" xfId="7" applyNumberFormat="1" applyFont="1" applyFill="1" applyBorder="1" applyProtection="1"/>
    <xf numFmtId="171" fontId="22" fillId="0" borderId="0" xfId="0" applyNumberFormat="1" applyFont="1" applyFill="1" applyBorder="1" applyProtection="1"/>
    <xf numFmtId="171" fontId="22" fillId="0" borderId="9" xfId="0" applyNumberFormat="1" applyFont="1" applyFill="1" applyBorder="1" applyProtection="1"/>
    <xf numFmtId="168" fontId="22" fillId="0" borderId="11" xfId="7" applyNumberFormat="1" applyFont="1" applyFill="1" applyBorder="1" applyProtection="1"/>
    <xf numFmtId="179" fontId="22" fillId="0" borderId="0" xfId="1" applyNumberFormat="1" applyFont="1" applyFill="1" applyBorder="1" applyAlignment="1" applyProtection="1">
      <alignment horizontal="center"/>
    </xf>
    <xf numFmtId="179" fontId="22" fillId="0" borderId="11" xfId="1" applyNumberFormat="1" applyFont="1" applyFill="1" applyBorder="1" applyAlignment="1" applyProtection="1">
      <alignment horizontal="center"/>
    </xf>
    <xf numFmtId="179" fontId="17" fillId="0" borderId="0" xfId="1" applyNumberFormat="1" applyFont="1" applyFill="1" applyBorder="1" applyAlignment="1" applyProtection="1">
      <alignment horizontal="center"/>
    </xf>
    <xf numFmtId="168" fontId="17" fillId="0" borderId="0" xfId="7" applyNumberFormat="1" applyFont="1" applyFill="1" applyBorder="1" applyAlignment="1" applyProtection="1">
      <alignment horizontal="center"/>
    </xf>
    <xf numFmtId="168" fontId="22" fillId="0" borderId="0" xfId="7" applyNumberFormat="1" applyFont="1" applyFill="1" applyBorder="1" applyAlignment="1" applyProtection="1">
      <alignment horizontal="center"/>
    </xf>
    <xf numFmtId="181" fontId="22" fillId="0" borderId="0" xfId="0" applyFont="1" applyFill="1" applyBorder="1" applyAlignment="1" applyProtection="1">
      <alignment horizontal="center"/>
    </xf>
    <xf numFmtId="181" fontId="22" fillId="0" borderId="9" xfId="0" applyFont="1" applyFill="1" applyBorder="1" applyAlignment="1" applyProtection="1">
      <alignment horizontal="center"/>
    </xf>
    <xf numFmtId="179" fontId="22" fillId="0" borderId="9" xfId="1" applyNumberFormat="1" applyFont="1" applyFill="1" applyBorder="1" applyAlignment="1" applyProtection="1">
      <alignment horizontal="center"/>
    </xf>
    <xf numFmtId="181" fontId="17" fillId="0" borderId="11" xfId="0" applyFont="1" applyFill="1" applyBorder="1" applyProtection="1"/>
    <xf numFmtId="171" fontId="17" fillId="0" borderId="11" xfId="7" applyNumberFormat="1" applyFont="1" applyFill="1" applyBorder="1" applyProtection="1"/>
    <xf numFmtId="166" fontId="17" fillId="0" borderId="0" xfId="1" applyFont="1" applyFill="1" applyBorder="1" applyAlignment="1" applyProtection="1">
      <alignment horizontal="right"/>
    </xf>
    <xf numFmtId="166" fontId="17" fillId="0" borderId="11" xfId="1" applyFont="1" applyFill="1" applyBorder="1" applyAlignment="1" applyProtection="1">
      <alignment horizontal="right"/>
    </xf>
    <xf numFmtId="170" fontId="17" fillId="0" borderId="0" xfId="0" applyNumberFormat="1" applyFont="1" applyFill="1" applyBorder="1" applyAlignment="1" applyProtection="1">
      <alignment horizontal="right"/>
    </xf>
    <xf numFmtId="170" fontId="17" fillId="0" borderId="9" xfId="0" applyNumberFormat="1" applyFont="1" applyFill="1" applyBorder="1" applyProtection="1"/>
    <xf numFmtId="166" fontId="17" fillId="0" borderId="0" xfId="1" applyFont="1" applyFill="1" applyBorder="1" applyProtection="1"/>
    <xf numFmtId="2" fontId="17" fillId="0" borderId="9" xfId="0" applyNumberFormat="1" applyFont="1" applyFill="1" applyBorder="1" applyProtection="1"/>
    <xf numFmtId="170" fontId="17" fillId="0" borderId="0" xfId="0" applyNumberFormat="1" applyFont="1" applyFill="1" applyBorder="1" applyAlignment="1" applyProtection="1"/>
    <xf numFmtId="171" fontId="17" fillId="0" borderId="0" xfId="7" applyNumberFormat="1" applyFont="1" applyFill="1" applyBorder="1" applyAlignment="1" applyProtection="1">
      <alignment horizontal="right"/>
    </xf>
    <xf numFmtId="171" fontId="17" fillId="0" borderId="0" xfId="7" applyNumberFormat="1" applyFont="1" applyFill="1" applyBorder="1" applyAlignment="1" applyProtection="1"/>
    <xf numFmtId="171" fontId="17" fillId="0" borderId="0" xfId="7" applyNumberFormat="1" applyFont="1" applyFill="1" applyBorder="1" applyProtection="1"/>
    <xf numFmtId="168" fontId="17" fillId="0" borderId="9" xfId="7" applyNumberFormat="1" applyFont="1" applyFill="1" applyBorder="1" applyProtection="1"/>
    <xf numFmtId="168" fontId="17" fillId="0" borderId="11" xfId="7" applyNumberFormat="1" applyFont="1" applyFill="1" applyBorder="1" applyProtection="1"/>
    <xf numFmtId="168" fontId="22" fillId="0" borderId="0" xfId="0" applyNumberFormat="1" applyFont="1" applyFill="1" applyBorder="1" applyProtection="1"/>
    <xf numFmtId="168" fontId="17" fillId="0" borderId="9" xfId="0" applyNumberFormat="1" applyFont="1" applyFill="1" applyBorder="1" applyProtection="1"/>
    <xf numFmtId="181" fontId="22" fillId="0" borderId="6" xfId="0" applyFont="1" applyFill="1" applyBorder="1" applyProtection="1"/>
    <xf numFmtId="181" fontId="22" fillId="0" borderId="8" xfId="0" applyFont="1" applyFill="1" applyBorder="1" applyProtection="1"/>
    <xf numFmtId="169" fontId="22" fillId="0" borderId="6" xfId="1" applyNumberFormat="1" applyFont="1" applyFill="1" applyBorder="1" applyProtection="1"/>
    <xf numFmtId="168" fontId="22" fillId="0" borderId="1" xfId="7" applyNumberFormat="1" applyFont="1" applyFill="1" applyBorder="1" applyAlignment="1" applyProtection="1">
      <alignment horizontal="right"/>
    </xf>
    <xf numFmtId="181" fontId="43" fillId="0" borderId="3" xfId="0" applyFont="1" applyFill="1" applyBorder="1" applyAlignment="1" applyProtection="1">
      <alignment horizontal="center"/>
    </xf>
    <xf numFmtId="181" fontId="43" fillId="0" borderId="2" xfId="0" applyFont="1" applyFill="1" applyBorder="1" applyAlignment="1" applyProtection="1">
      <alignment horizontal="center"/>
    </xf>
    <xf numFmtId="181" fontId="43" fillId="0" borderId="0" xfId="0" applyFont="1" applyFill="1" applyBorder="1" applyAlignment="1" applyProtection="1">
      <alignment horizontal="center"/>
    </xf>
    <xf numFmtId="181" fontId="22" fillId="0" borderId="7" xfId="0" applyFont="1" applyFill="1" applyBorder="1" applyProtection="1"/>
    <xf numFmtId="181" fontId="43" fillId="0" borderId="9" xfId="0" applyFont="1" applyFill="1" applyBorder="1" applyAlignment="1" applyProtection="1">
      <alignment horizontal="center"/>
    </xf>
    <xf numFmtId="181" fontId="22" fillId="0" borderId="10" xfId="0" applyFont="1" applyFill="1" applyBorder="1" applyProtection="1"/>
    <xf numFmtId="37" fontId="22" fillId="0" borderId="0" xfId="0" applyNumberFormat="1" applyFont="1" applyFill="1" applyBorder="1" applyProtection="1"/>
    <xf numFmtId="37" fontId="22" fillId="0" borderId="11" xfId="0" applyNumberFormat="1" applyFont="1" applyFill="1" applyBorder="1" applyProtection="1"/>
    <xf numFmtId="179" fontId="22" fillId="0" borderId="0" xfId="1" applyNumberFormat="1" applyFont="1" applyFill="1" applyBorder="1" applyProtection="1"/>
    <xf numFmtId="179" fontId="22" fillId="0" borderId="11" xfId="1" applyNumberFormat="1" applyFont="1" applyFill="1" applyBorder="1" applyProtection="1"/>
    <xf numFmtId="168" fontId="22" fillId="0" borderId="10" xfId="0" applyNumberFormat="1" applyFont="1" applyFill="1" applyBorder="1" applyProtection="1"/>
    <xf numFmtId="166" fontId="22" fillId="0" borderId="0" xfId="1" applyNumberFormat="1" applyFont="1" applyFill="1" applyBorder="1" applyProtection="1"/>
    <xf numFmtId="168" fontId="22" fillId="0" borderId="10" xfId="7" applyNumberFormat="1" applyFont="1" applyFill="1" applyBorder="1" applyAlignment="1" applyProtection="1">
      <alignment horizontal="right"/>
    </xf>
    <xf numFmtId="170" fontId="22" fillId="0" borderId="10" xfId="0" applyNumberFormat="1" applyFont="1" applyFill="1" applyBorder="1" applyProtection="1"/>
    <xf numFmtId="170" fontId="22" fillId="0" borderId="6" xfId="0" applyNumberFormat="1" applyFont="1" applyFill="1" applyBorder="1" applyProtection="1"/>
    <xf numFmtId="170" fontId="22" fillId="0" borderId="1" xfId="0" applyNumberFormat="1" applyFont="1" applyFill="1" applyBorder="1" applyProtection="1"/>
    <xf numFmtId="179" fontId="0" fillId="0" borderId="0" xfId="1" applyNumberFormat="1" applyFont="1" applyFill="1" applyBorder="1" applyProtection="1"/>
    <xf numFmtId="170" fontId="17" fillId="0" borderId="0" xfId="1" applyNumberFormat="1" applyFont="1" applyFill="1" applyBorder="1" applyProtection="1"/>
    <xf numFmtId="181" fontId="0" fillId="0" borderId="0" xfId="0" applyProtection="1">
      <protection locked="0"/>
    </xf>
    <xf numFmtId="181" fontId="0" fillId="0" borderId="0" xfId="0" applyBorder="1" applyProtection="1">
      <protection locked="0"/>
    </xf>
    <xf numFmtId="181" fontId="17" fillId="0" borderId="11" xfId="0" applyFont="1" applyBorder="1" applyProtection="1">
      <protection locked="0"/>
    </xf>
    <xf numFmtId="181" fontId="0" fillId="0" borderId="3" xfId="0" applyBorder="1" applyProtection="1">
      <protection locked="0"/>
    </xf>
    <xf numFmtId="181" fontId="0" fillId="0" borderId="9" xfId="0" applyBorder="1" applyProtection="1">
      <protection locked="0"/>
    </xf>
    <xf numFmtId="181" fontId="0" fillId="0" borderId="10" xfId="0" applyBorder="1" applyProtection="1">
      <protection locked="0"/>
    </xf>
    <xf numFmtId="181" fontId="16" fillId="0" borderId="3" xfId="0" applyFont="1" applyFill="1" applyBorder="1" applyAlignment="1" applyProtection="1">
      <alignment horizontal="center"/>
      <protection locked="0"/>
    </xf>
    <xf numFmtId="181" fontId="17" fillId="0" borderId="9" xfId="0" applyFont="1" applyBorder="1" applyProtection="1">
      <protection locked="0"/>
    </xf>
    <xf numFmtId="181" fontId="17" fillId="0" borderId="0" xfId="0" applyFont="1" applyBorder="1" applyProtection="1">
      <protection locked="0"/>
    </xf>
    <xf numFmtId="37" fontId="17" fillId="0" borderId="0" xfId="7" applyNumberFormat="1" applyFont="1" applyFill="1" applyBorder="1" applyAlignment="1" applyProtection="1">
      <alignment horizontal="right"/>
      <protection locked="0"/>
    </xf>
    <xf numFmtId="37" fontId="17" fillId="0" borderId="0" xfId="0" applyNumberFormat="1" applyFont="1" applyBorder="1" applyProtection="1">
      <protection locked="0"/>
    </xf>
    <xf numFmtId="37" fontId="17" fillId="0" borderId="13" xfId="7" applyNumberFormat="1" applyFont="1" applyFill="1" applyBorder="1" applyAlignment="1" applyProtection="1">
      <alignment horizontal="right"/>
      <protection locked="0"/>
    </xf>
    <xf numFmtId="179" fontId="17" fillId="0" borderId="0" xfId="1" applyNumberFormat="1" applyFont="1" applyFill="1" applyBorder="1" applyAlignment="1" applyProtection="1">
      <alignment horizontal="right"/>
      <protection locked="0"/>
    </xf>
    <xf numFmtId="179" fontId="17" fillId="0" borderId="0" xfId="1" applyNumberFormat="1" applyFont="1" applyBorder="1" applyProtection="1">
      <protection locked="0"/>
    </xf>
    <xf numFmtId="179" fontId="17" fillId="0" borderId="6" xfId="1" applyNumberFormat="1" applyFont="1" applyFill="1" applyBorder="1" applyAlignment="1" applyProtection="1">
      <alignment horizontal="right"/>
      <protection locked="0"/>
    </xf>
    <xf numFmtId="179" fontId="17" fillId="0" borderId="6" xfId="1" applyNumberFormat="1" applyFont="1" applyBorder="1" applyProtection="1">
      <protection locked="0"/>
    </xf>
    <xf numFmtId="169" fontId="17" fillId="0" borderId="0" xfId="0" applyNumberFormat="1" applyFont="1" applyFill="1" applyProtection="1">
      <protection locked="0"/>
    </xf>
    <xf numFmtId="168" fontId="17" fillId="0" borderId="9" xfId="7" applyNumberFormat="1" applyFont="1" applyFill="1" applyBorder="1" applyAlignment="1" applyProtection="1">
      <alignment horizontal="left"/>
      <protection locked="0"/>
    </xf>
    <xf numFmtId="37" fontId="17" fillId="0" borderId="0" xfId="0" applyNumberFormat="1" applyFont="1" applyFill="1" applyBorder="1" applyProtection="1">
      <protection locked="0"/>
    </xf>
    <xf numFmtId="37" fontId="17" fillId="0" borderId="13" xfId="1" applyNumberFormat="1" applyFont="1" applyFill="1" applyBorder="1" applyProtection="1">
      <protection locked="0"/>
    </xf>
    <xf numFmtId="179" fontId="17" fillId="0" borderId="0" xfId="1" applyNumberFormat="1" applyFont="1" applyFill="1" applyBorder="1" applyProtection="1">
      <protection locked="0"/>
    </xf>
    <xf numFmtId="37" fontId="17" fillId="0" borderId="0" xfId="1" applyNumberFormat="1" applyFont="1" applyFill="1" applyBorder="1" applyProtection="1">
      <protection locked="0"/>
    </xf>
    <xf numFmtId="179" fontId="17" fillId="0" borderId="13" xfId="1" applyNumberFormat="1" applyFont="1" applyFill="1" applyBorder="1" applyProtection="1">
      <protection locked="0"/>
    </xf>
    <xf numFmtId="179" fontId="17" fillId="0" borderId="19" xfId="1" applyNumberFormat="1" applyFont="1" applyFill="1" applyBorder="1" applyProtection="1">
      <protection locked="0"/>
    </xf>
    <xf numFmtId="179" fontId="17" fillId="0" borderId="13" xfId="1" applyNumberFormat="1" applyFont="1" applyBorder="1" applyProtection="1">
      <protection locked="0"/>
    </xf>
    <xf numFmtId="168" fontId="17" fillId="0" borderId="0" xfId="0" applyNumberFormat="1" applyFont="1" applyBorder="1" applyProtection="1">
      <protection locked="0"/>
    </xf>
    <xf numFmtId="183" fontId="17" fillId="0" borderId="0" xfId="7" applyNumberFormat="1" applyFont="1" applyFill="1" applyBorder="1" applyAlignment="1" applyProtection="1">
      <alignment horizontal="right"/>
      <protection locked="0"/>
    </xf>
    <xf numFmtId="181" fontId="17" fillId="0" borderId="6" xfId="0" applyFont="1" applyFill="1" applyBorder="1" applyProtection="1">
      <protection locked="0"/>
    </xf>
    <xf numFmtId="181" fontId="23" fillId="0" borderId="3" xfId="0" applyFont="1" applyFill="1" applyBorder="1" applyAlignment="1" applyProtection="1">
      <alignment horizontal="center"/>
      <protection locked="0"/>
    </xf>
    <xf numFmtId="181" fontId="17" fillId="0" borderId="9" xfId="0" applyFont="1" applyFill="1" applyBorder="1" applyAlignment="1" applyProtection="1">
      <alignment horizontal="center"/>
      <protection locked="0"/>
    </xf>
    <xf numFmtId="166" fontId="0" fillId="0" borderId="0" xfId="1" applyFont="1" applyProtection="1">
      <protection locked="0"/>
    </xf>
    <xf numFmtId="169" fontId="17" fillId="0" borderId="6" xfId="1" applyNumberFormat="1" applyFont="1" applyFill="1" applyBorder="1" applyProtection="1">
      <protection locked="0"/>
    </xf>
    <xf numFmtId="179" fontId="17" fillId="0" borderId="6" xfId="1" applyNumberFormat="1" applyFont="1" applyFill="1" applyBorder="1" applyProtection="1">
      <protection locked="0"/>
    </xf>
    <xf numFmtId="179" fontId="0" fillId="0" borderId="0" xfId="1" applyNumberFormat="1" applyFont="1" applyProtection="1">
      <protection locked="0"/>
    </xf>
    <xf numFmtId="181" fontId="0" fillId="0" borderId="0" xfId="0" applyProtection="1"/>
    <xf numFmtId="181" fontId="0" fillId="0" borderId="0" xfId="0" applyBorder="1" applyProtection="1"/>
    <xf numFmtId="181" fontId="14" fillId="0" borderId="0" xfId="0" applyFont="1" applyProtection="1"/>
    <xf numFmtId="181" fontId="17" fillId="0" borderId="11" xfId="0" applyFont="1" applyBorder="1" applyProtection="1"/>
    <xf numFmtId="181" fontId="24" fillId="0" borderId="4" xfId="0" applyFont="1" applyFill="1" applyBorder="1" applyAlignment="1" applyProtection="1">
      <alignment horizontal="center"/>
    </xf>
    <xf numFmtId="181" fontId="17" fillId="0" borderId="10" xfId="0" applyFont="1" applyBorder="1" applyProtection="1"/>
    <xf numFmtId="169" fontId="17" fillId="0" borderId="12" xfId="1" applyNumberFormat="1" applyFont="1" applyFill="1" applyBorder="1" applyProtection="1"/>
    <xf numFmtId="168" fontId="17" fillId="0" borderId="14" xfId="7" applyNumberFormat="1" applyFont="1" applyFill="1" applyBorder="1" applyAlignment="1" applyProtection="1">
      <alignment horizontal="right"/>
    </xf>
    <xf numFmtId="169" fontId="17" fillId="0" borderId="5" xfId="1" applyNumberFormat="1" applyFont="1" applyFill="1" applyBorder="1" applyProtection="1"/>
    <xf numFmtId="168" fontId="17" fillId="0" borderId="1" xfId="7" applyNumberFormat="1" applyFont="1" applyFill="1" applyBorder="1" applyAlignment="1" applyProtection="1">
      <alignment horizontal="right"/>
    </xf>
    <xf numFmtId="181" fontId="17" fillId="0" borderId="0" xfId="0" applyFont="1" applyProtection="1"/>
    <xf numFmtId="167" fontId="17" fillId="0" borderId="0" xfId="0" applyNumberFormat="1" applyFont="1" applyFill="1" applyBorder="1" applyProtection="1"/>
    <xf numFmtId="179" fontId="17" fillId="0" borderId="12" xfId="1" applyNumberFormat="1" applyFont="1" applyFill="1" applyBorder="1" applyProtection="1"/>
    <xf numFmtId="37" fontId="17" fillId="0" borderId="10" xfId="1" applyNumberFormat="1" applyFont="1" applyFill="1" applyBorder="1" applyProtection="1"/>
    <xf numFmtId="181" fontId="23" fillId="0" borderId="0" xfId="0" applyFont="1" applyProtection="1"/>
    <xf numFmtId="179" fontId="17" fillId="0" borderId="10" xfId="1" applyNumberFormat="1" applyFont="1" applyFill="1" applyBorder="1" applyProtection="1"/>
    <xf numFmtId="181" fontId="35" fillId="0" borderId="0" xfId="0" applyFont="1" applyProtection="1"/>
    <xf numFmtId="168" fontId="17" fillId="0" borderId="17" xfId="7" applyNumberFormat="1" applyFont="1" applyFill="1" applyBorder="1" applyAlignment="1" applyProtection="1">
      <alignment horizontal="right"/>
    </xf>
    <xf numFmtId="181" fontId="17" fillId="0" borderId="0" xfId="0" applyFont="1" applyFill="1" applyProtection="1"/>
    <xf numFmtId="176" fontId="17" fillId="0" borderId="0" xfId="0" applyNumberFormat="1" applyFont="1" applyFill="1" applyBorder="1" applyAlignment="1" applyProtection="1">
      <alignment horizontal="right"/>
    </xf>
    <xf numFmtId="168" fontId="17" fillId="0" borderId="0" xfId="0" applyNumberFormat="1" applyFont="1" applyProtection="1"/>
    <xf numFmtId="168" fontId="17" fillId="0" borderId="0" xfId="0" applyNumberFormat="1" applyFont="1" applyFill="1" applyProtection="1"/>
    <xf numFmtId="179" fontId="17" fillId="0" borderId="0" xfId="1" applyNumberFormat="1" applyFont="1" applyFill="1" applyBorder="1" applyAlignment="1" applyProtection="1">
      <alignment horizontal="right"/>
    </xf>
    <xf numFmtId="174" fontId="17" fillId="0" borderId="0" xfId="1" applyNumberFormat="1" applyFont="1" applyFill="1" applyBorder="1" applyProtection="1"/>
    <xf numFmtId="181" fontId="16" fillId="0" borderId="0" xfId="0" applyFont="1" applyProtection="1"/>
    <xf numFmtId="181" fontId="17" fillId="0" borderId="0" xfId="0" applyFont="1" applyBorder="1" applyProtection="1"/>
    <xf numFmtId="169" fontId="17" fillId="0" borderId="10" xfId="0" applyNumberFormat="1" applyFont="1" applyFill="1" applyBorder="1" applyProtection="1"/>
    <xf numFmtId="168" fontId="17" fillId="0" borderId="4" xfId="7" applyNumberFormat="1" applyFont="1" applyFill="1" applyBorder="1" applyAlignment="1" applyProtection="1">
      <alignment horizontal="right"/>
    </xf>
    <xf numFmtId="169" fontId="17" fillId="0" borderId="5" xfId="0" applyNumberFormat="1" applyFont="1" applyFill="1" applyBorder="1" applyProtection="1"/>
    <xf numFmtId="168" fontId="39" fillId="0" borderId="0" xfId="7" applyNumberFormat="1" applyFont="1" applyFill="1" applyBorder="1" applyAlignment="1" applyProtection="1">
      <alignment horizontal="right"/>
    </xf>
    <xf numFmtId="37" fontId="0" fillId="0" borderId="0" xfId="0" applyNumberFormat="1" applyBorder="1" applyProtection="1"/>
    <xf numFmtId="2" fontId="0" fillId="0" borderId="0" xfId="0" applyNumberFormat="1" applyBorder="1" applyProtection="1"/>
    <xf numFmtId="179" fontId="0" fillId="0" borderId="0" xfId="1" applyNumberFormat="1" applyFont="1" applyBorder="1" applyProtection="1"/>
    <xf numFmtId="171" fontId="0" fillId="0" borderId="0" xfId="7" applyNumberFormat="1" applyFont="1" applyBorder="1" applyProtection="1"/>
    <xf numFmtId="181" fontId="0" fillId="0" borderId="0" xfId="0" applyBorder="1" applyAlignment="1" applyProtection="1"/>
    <xf numFmtId="181" fontId="0" fillId="0" borderId="4" xfId="0" applyBorder="1" applyProtection="1"/>
    <xf numFmtId="181" fontId="0" fillId="0" borderId="3" xfId="0" applyBorder="1" applyProtection="1"/>
    <xf numFmtId="181" fontId="0" fillId="0" borderId="7" xfId="0" applyBorder="1" applyProtection="1"/>
    <xf numFmtId="181" fontId="0" fillId="0" borderId="9" xfId="0" applyBorder="1" applyProtection="1"/>
    <xf numFmtId="181" fontId="0" fillId="0" borderId="10" xfId="0" applyBorder="1" applyProtection="1"/>
    <xf numFmtId="181" fontId="16" fillId="0" borderId="3" xfId="0" applyFont="1" applyFill="1" applyBorder="1" applyAlignment="1" applyProtection="1">
      <alignment horizontal="center"/>
    </xf>
    <xf numFmtId="181" fontId="16" fillId="0" borderId="4" xfId="0" applyFont="1" applyFill="1" applyBorder="1" applyAlignment="1" applyProtection="1">
      <alignment horizontal="center"/>
    </xf>
    <xf numFmtId="181" fontId="16" fillId="0" borderId="2" xfId="0" applyFont="1" applyFill="1" applyBorder="1" applyAlignment="1" applyProtection="1">
      <alignment horizontal="center"/>
    </xf>
    <xf numFmtId="181" fontId="16" fillId="0" borderId="7" xfId="0" applyFont="1" applyFill="1" applyBorder="1" applyAlignment="1" applyProtection="1">
      <alignment horizontal="center"/>
    </xf>
    <xf numFmtId="181" fontId="17" fillId="0" borderId="9" xfId="0" applyFont="1" applyBorder="1" applyProtection="1"/>
    <xf numFmtId="37" fontId="17" fillId="0" borderId="0" xfId="7" applyNumberFormat="1" applyFont="1" applyFill="1" applyBorder="1" applyAlignment="1" applyProtection="1">
      <alignment horizontal="right"/>
    </xf>
    <xf numFmtId="37" fontId="17" fillId="0" borderId="11" xfId="1" applyNumberFormat="1" applyFont="1" applyFill="1" applyBorder="1" applyProtection="1"/>
    <xf numFmtId="169" fontId="17" fillId="0" borderId="11" xfId="0" applyNumberFormat="1" applyFont="1" applyBorder="1" applyProtection="1"/>
    <xf numFmtId="169" fontId="17" fillId="0" borderId="9" xfId="0" applyNumberFormat="1" applyFont="1" applyBorder="1" applyProtection="1"/>
    <xf numFmtId="37" fontId="17" fillId="0" borderId="0" xfId="0" applyNumberFormat="1" applyFont="1" applyBorder="1" applyProtection="1"/>
    <xf numFmtId="169" fontId="17" fillId="0" borderId="0" xfId="0" applyNumberFormat="1" applyFont="1" applyBorder="1" applyProtection="1"/>
    <xf numFmtId="37" fontId="17" fillId="0" borderId="9" xfId="1" applyNumberFormat="1" applyFont="1" applyFill="1" applyBorder="1" applyProtection="1"/>
    <xf numFmtId="37" fontId="17" fillId="0" borderId="13" xfId="7" applyNumberFormat="1" applyFont="1" applyFill="1" applyBorder="1" applyAlignment="1" applyProtection="1">
      <alignment horizontal="right"/>
    </xf>
    <xf numFmtId="37" fontId="17" fillId="0" borderId="14" xfId="7" applyNumberFormat="1" applyFont="1" applyFill="1" applyBorder="1" applyAlignment="1" applyProtection="1">
      <alignment horizontal="right"/>
    </xf>
    <xf numFmtId="37" fontId="17" fillId="0" borderId="14" xfId="1" applyNumberFormat="1" applyFont="1" applyFill="1" applyBorder="1" applyProtection="1"/>
    <xf numFmtId="169" fontId="17" fillId="0" borderId="13" xfId="0" applyNumberFormat="1" applyFont="1" applyBorder="1" applyProtection="1"/>
    <xf numFmtId="37" fontId="17" fillId="0" borderId="15" xfId="1" applyNumberFormat="1" applyFont="1" applyFill="1" applyBorder="1" applyProtection="1"/>
    <xf numFmtId="179" fontId="17" fillId="0" borderId="11" xfId="1" applyNumberFormat="1" applyFont="1" applyFill="1" applyBorder="1" applyProtection="1"/>
    <xf numFmtId="179" fontId="17" fillId="0" borderId="0" xfId="1" applyNumberFormat="1" applyFont="1" applyBorder="1" applyProtection="1"/>
    <xf numFmtId="179" fontId="17" fillId="0" borderId="0" xfId="1" applyNumberFormat="1" applyFont="1" applyProtection="1"/>
    <xf numFmtId="179" fontId="17" fillId="0" borderId="11" xfId="1" applyNumberFormat="1" applyFont="1" applyBorder="1" applyProtection="1"/>
    <xf numFmtId="179" fontId="17" fillId="0" borderId="9" xfId="1" applyNumberFormat="1" applyFont="1" applyBorder="1" applyProtection="1"/>
    <xf numFmtId="179" fontId="17" fillId="0" borderId="6" xfId="1" applyNumberFormat="1" applyFont="1" applyFill="1" applyBorder="1" applyAlignment="1" applyProtection="1">
      <alignment horizontal="right"/>
    </xf>
    <xf numFmtId="179" fontId="17" fillId="0" borderId="1" xfId="1" applyNumberFormat="1" applyFont="1" applyFill="1" applyBorder="1" applyProtection="1"/>
    <xf numFmtId="179" fontId="17" fillId="0" borderId="6" xfId="1" applyNumberFormat="1" applyFont="1" applyBorder="1" applyProtection="1"/>
    <xf numFmtId="37" fontId="17" fillId="0" borderId="6" xfId="0" applyNumberFormat="1" applyFont="1" applyBorder="1" applyProtection="1"/>
    <xf numFmtId="169" fontId="17" fillId="0" borderId="6" xfId="0" applyNumberFormat="1" applyFont="1" applyBorder="1" applyProtection="1"/>
    <xf numFmtId="37" fontId="17" fillId="0" borderId="11" xfId="7" applyNumberFormat="1" applyFont="1" applyFill="1" applyBorder="1" applyAlignment="1" applyProtection="1">
      <alignment horizontal="right"/>
    </xf>
    <xf numFmtId="169" fontId="17" fillId="0" borderId="0" xfId="0" applyNumberFormat="1" applyFont="1" applyFill="1" applyProtection="1"/>
    <xf numFmtId="169" fontId="17" fillId="0" borderId="11" xfId="0" applyNumberFormat="1" applyFont="1" applyFill="1" applyBorder="1" applyProtection="1"/>
    <xf numFmtId="169" fontId="17" fillId="0" borderId="9" xfId="0" applyNumberFormat="1" applyFont="1" applyFill="1" applyBorder="1" applyProtection="1"/>
    <xf numFmtId="37" fontId="17" fillId="0" borderId="0" xfId="0" applyNumberFormat="1" applyFont="1" applyFill="1" applyBorder="1" applyProtection="1"/>
    <xf numFmtId="166" fontId="17" fillId="0" borderId="9" xfId="1" applyFont="1" applyFill="1" applyBorder="1" applyProtection="1"/>
    <xf numFmtId="37" fontId="17" fillId="0" borderId="9" xfId="0" applyNumberFormat="1" applyFont="1" applyFill="1" applyBorder="1" applyProtection="1"/>
    <xf numFmtId="179" fontId="17" fillId="0" borderId="9" xfId="1" applyNumberFormat="1" applyFont="1" applyFill="1" applyBorder="1" applyProtection="1"/>
    <xf numFmtId="37" fontId="17" fillId="0" borderId="13" xfId="1" applyNumberFormat="1" applyFont="1" applyFill="1" applyBorder="1" applyProtection="1"/>
    <xf numFmtId="169" fontId="17" fillId="0" borderId="15" xfId="0" applyNumberFormat="1" applyFont="1" applyFill="1" applyBorder="1" applyProtection="1"/>
    <xf numFmtId="179" fontId="17" fillId="0" borderId="15" xfId="1" applyNumberFormat="1" applyFont="1" applyFill="1" applyBorder="1" applyProtection="1"/>
    <xf numFmtId="179" fontId="17" fillId="0" borderId="0" xfId="1" applyNumberFormat="1" applyFont="1" applyFill="1" applyBorder="1" applyProtection="1"/>
    <xf numFmtId="37" fontId="17" fillId="0" borderId="0" xfId="1" applyNumberFormat="1" applyFont="1" applyFill="1" applyBorder="1" applyProtection="1"/>
    <xf numFmtId="179" fontId="17" fillId="0" borderId="0" xfId="1" applyNumberFormat="1" applyFont="1" applyFill="1" applyProtection="1"/>
    <xf numFmtId="37" fontId="17" fillId="0" borderId="11" xfId="0" applyNumberFormat="1" applyFont="1" applyFill="1" applyBorder="1" applyProtection="1"/>
    <xf numFmtId="179" fontId="17" fillId="0" borderId="8" xfId="1" applyNumberFormat="1" applyFont="1" applyFill="1" applyBorder="1" applyProtection="1"/>
    <xf numFmtId="169" fontId="17" fillId="0" borderId="8" xfId="1" applyNumberFormat="1" applyFont="1" applyFill="1" applyBorder="1" applyProtection="1"/>
    <xf numFmtId="179" fontId="17" fillId="0" borderId="13" xfId="1" applyNumberFormat="1" applyFont="1" applyFill="1" applyBorder="1" applyProtection="1"/>
    <xf numFmtId="179" fontId="17" fillId="0" borderId="14" xfId="1" applyNumberFormat="1" applyFont="1" applyFill="1" applyBorder="1" applyProtection="1"/>
    <xf numFmtId="179" fontId="17" fillId="0" borderId="17" xfId="1" applyNumberFormat="1" applyFont="1" applyFill="1" applyBorder="1" applyProtection="1"/>
    <xf numFmtId="179" fontId="17" fillId="0" borderId="19" xfId="1" applyNumberFormat="1" applyFont="1" applyFill="1" applyBorder="1" applyProtection="1"/>
    <xf numFmtId="179" fontId="17" fillId="0" borderId="18" xfId="1" applyNumberFormat="1" applyFont="1" applyFill="1" applyBorder="1" applyProtection="1"/>
    <xf numFmtId="179" fontId="17" fillId="0" borderId="13" xfId="1" applyNumberFormat="1" applyFont="1" applyBorder="1" applyProtection="1"/>
    <xf numFmtId="168" fontId="17" fillId="0" borderId="0" xfId="0" applyNumberFormat="1" applyFont="1" applyBorder="1" applyProtection="1"/>
    <xf numFmtId="183" fontId="17" fillId="0" borderId="0" xfId="7" applyNumberFormat="1" applyFont="1" applyFill="1" applyBorder="1" applyAlignment="1" applyProtection="1">
      <alignment horizontal="right"/>
    </xf>
    <xf numFmtId="166" fontId="17" fillId="0" borderId="0" xfId="1" applyFont="1" applyFill="1" applyProtection="1"/>
    <xf numFmtId="181" fontId="17" fillId="0" borderId="6" xfId="0" applyFont="1" applyFill="1" applyBorder="1" applyProtection="1"/>
    <xf numFmtId="181" fontId="17" fillId="0" borderId="4" xfId="0" applyFont="1" applyFill="1" applyBorder="1" applyProtection="1"/>
    <xf numFmtId="181" fontId="17" fillId="0" borderId="0" xfId="0" applyFont="1" applyFill="1" applyBorder="1" applyAlignment="1" applyProtection="1">
      <alignment horizontal="center"/>
    </xf>
    <xf numFmtId="37" fontId="17" fillId="0" borderId="3" xfId="0" applyNumberFormat="1" applyFont="1" applyFill="1" applyBorder="1" applyProtection="1"/>
    <xf numFmtId="168" fontId="17" fillId="0" borderId="4" xfId="0" applyNumberFormat="1" applyFont="1" applyFill="1" applyBorder="1" applyProtection="1"/>
    <xf numFmtId="37" fontId="17" fillId="0" borderId="10" xfId="0" applyNumberFormat="1" applyFont="1" applyFill="1" applyBorder="1" applyProtection="1"/>
    <xf numFmtId="168" fontId="17" fillId="0" borderId="11" xfId="0" applyNumberFormat="1" applyFont="1" applyFill="1" applyBorder="1" applyProtection="1"/>
    <xf numFmtId="168" fontId="17" fillId="0" borderId="11" xfId="0" applyNumberFormat="1" applyFont="1" applyFill="1" applyBorder="1" applyAlignment="1" applyProtection="1">
      <alignment horizontal="right"/>
    </xf>
    <xf numFmtId="37" fontId="17" fillId="0" borderId="1" xfId="0" applyNumberFormat="1" applyFont="1" applyFill="1" applyBorder="1" applyProtection="1"/>
    <xf numFmtId="37" fontId="17" fillId="0" borderId="6" xfId="0" applyNumberFormat="1" applyFont="1" applyFill="1" applyBorder="1" applyProtection="1"/>
    <xf numFmtId="169" fontId="17" fillId="0" borderId="6" xfId="1" applyNumberFormat="1" applyFont="1" applyFill="1" applyBorder="1" applyProtection="1"/>
    <xf numFmtId="179" fontId="17" fillId="0" borderId="6" xfId="1" applyNumberFormat="1" applyFont="1" applyFill="1" applyBorder="1" applyProtection="1"/>
    <xf numFmtId="37" fontId="17" fillId="0" borderId="8" xfId="0" applyNumberFormat="1" applyFont="1" applyFill="1" applyBorder="1" applyProtection="1"/>
    <xf numFmtId="179" fontId="17" fillId="0" borderId="5" xfId="1" applyNumberFormat="1" applyFont="1" applyFill="1" applyBorder="1" applyProtection="1"/>
    <xf numFmtId="169" fontId="17" fillId="0" borderId="6" xfId="0" applyNumberFormat="1" applyFont="1" applyFill="1" applyBorder="1" applyProtection="1"/>
    <xf numFmtId="168" fontId="17" fillId="0" borderId="1" xfId="0" applyNumberFormat="1" applyFont="1" applyFill="1" applyBorder="1" applyAlignment="1" applyProtection="1">
      <alignment horizontal="right"/>
    </xf>
    <xf numFmtId="183" fontId="17" fillId="0" borderId="0" xfId="1" applyNumberFormat="1" applyFont="1" applyFill="1" applyBorder="1" applyAlignment="1" applyProtection="1">
      <alignment horizontal="right"/>
    </xf>
    <xf numFmtId="166" fontId="0" fillId="0" borderId="0" xfId="1" applyFont="1" applyFill="1" applyBorder="1" applyProtection="1"/>
    <xf numFmtId="179" fontId="0" fillId="0" borderId="0" xfId="1" applyNumberFormat="1" applyFont="1" applyProtection="1"/>
    <xf numFmtId="171" fontId="0" fillId="0" borderId="0" xfId="7" applyNumberFormat="1" applyFont="1" applyProtection="1"/>
    <xf numFmtId="166" fontId="0" fillId="0" borderId="0" xfId="1" applyFont="1" applyBorder="1" applyProtection="1">
      <protection locked="0"/>
    </xf>
    <xf numFmtId="171" fontId="17" fillId="0" borderId="0" xfId="7" applyNumberFormat="1" applyFont="1" applyBorder="1" applyProtection="1">
      <protection locked="0"/>
    </xf>
    <xf numFmtId="37" fontId="17" fillId="0" borderId="9" xfId="1" applyNumberFormat="1" applyFont="1" applyFill="1" applyBorder="1" applyAlignment="1" applyProtection="1">
      <alignment horizontal="right"/>
      <protection locked="0"/>
    </xf>
    <xf numFmtId="37" fontId="17" fillId="0" borderId="3" xfId="1" applyNumberFormat="1" applyFont="1" applyFill="1" applyBorder="1" applyProtection="1">
      <protection locked="0"/>
    </xf>
    <xf numFmtId="179" fontId="17" fillId="0" borderId="13" xfId="1" applyNumberFormat="1" applyFont="1" applyFill="1" applyBorder="1" applyAlignment="1" applyProtection="1">
      <alignment horizontal="right"/>
      <protection locked="0"/>
    </xf>
    <xf numFmtId="37" fontId="17" fillId="0" borderId="0" xfId="1" applyNumberFormat="1" applyFont="1" applyFill="1" applyBorder="1" applyAlignment="1" applyProtection="1">
      <alignment horizontal="right"/>
      <protection locked="0"/>
    </xf>
    <xf numFmtId="181" fontId="26" fillId="0" borderId="0" xfId="0" applyFont="1" applyBorder="1" applyProtection="1">
      <protection locked="0"/>
    </xf>
    <xf numFmtId="179" fontId="17" fillId="0" borderId="3" xfId="1" applyNumberFormat="1" applyFont="1" applyFill="1" applyBorder="1" applyAlignment="1" applyProtection="1">
      <alignment horizontal="right"/>
      <protection locked="0"/>
    </xf>
    <xf numFmtId="37" fontId="17" fillId="0" borderId="3" xfId="1" applyNumberFormat="1" applyFont="1" applyFill="1" applyBorder="1" applyAlignment="1" applyProtection="1">
      <alignment horizontal="right"/>
      <protection locked="0"/>
    </xf>
    <xf numFmtId="181" fontId="26" fillId="0" borderId="0" xfId="0" applyFont="1" applyFill="1" applyBorder="1" applyProtection="1">
      <protection locked="0"/>
    </xf>
    <xf numFmtId="179" fontId="17" fillId="0" borderId="19" xfId="1" applyNumberFormat="1" applyFont="1" applyFill="1" applyBorder="1" applyAlignment="1" applyProtection="1">
      <alignment horizontal="right"/>
      <protection locked="0"/>
    </xf>
    <xf numFmtId="37" fontId="17" fillId="0" borderId="19" xfId="1" applyNumberFormat="1" applyFont="1" applyFill="1" applyBorder="1" applyAlignment="1" applyProtection="1">
      <alignment horizontal="right"/>
      <protection locked="0"/>
    </xf>
    <xf numFmtId="181" fontId="17" fillId="0" borderId="0" xfId="0" applyFont="1" applyBorder="1" applyAlignment="1" applyProtection="1">
      <alignment horizontal="right"/>
      <protection locked="0"/>
    </xf>
    <xf numFmtId="181" fontId="17" fillId="0" borderId="6" xfId="0" applyFont="1" applyBorder="1" applyProtection="1">
      <protection locked="0"/>
    </xf>
    <xf numFmtId="181" fontId="17" fillId="0" borderId="9" xfId="0" applyFont="1" applyFill="1" applyBorder="1" applyAlignment="1" applyProtection="1">
      <protection locked="0"/>
    </xf>
    <xf numFmtId="37" fontId="17" fillId="0" borderId="13" xfId="0" applyNumberFormat="1" applyFont="1" applyBorder="1" applyProtection="1">
      <protection locked="0"/>
    </xf>
    <xf numFmtId="37" fontId="17" fillId="0" borderId="3" xfId="0" applyNumberFormat="1" applyFont="1" applyBorder="1" applyProtection="1">
      <protection locked="0"/>
    </xf>
    <xf numFmtId="181" fontId="17" fillId="0" borderId="4" xfId="0" applyFont="1" applyBorder="1" applyProtection="1"/>
    <xf numFmtId="181" fontId="23" fillId="0" borderId="0" xfId="0" applyFont="1" applyBorder="1" applyAlignment="1" applyProtection="1">
      <alignment wrapText="1"/>
    </xf>
    <xf numFmtId="169" fontId="17" fillId="0" borderId="2" xfId="1" applyNumberFormat="1" applyFont="1" applyFill="1" applyBorder="1" applyProtection="1"/>
    <xf numFmtId="168" fontId="17" fillId="0" borderId="11" xfId="7" applyNumberFormat="1" applyFont="1" applyFill="1" applyBorder="1" applyAlignment="1" applyProtection="1"/>
    <xf numFmtId="181" fontId="17" fillId="0" borderId="0" xfId="0" applyFont="1" applyBorder="1" applyAlignment="1" applyProtection="1">
      <alignment wrapText="1"/>
    </xf>
    <xf numFmtId="168" fontId="17" fillId="0" borderId="4" xfId="7" applyNumberFormat="1" applyFont="1" applyFill="1" applyBorder="1" applyAlignment="1" applyProtection="1"/>
    <xf numFmtId="169" fontId="17" fillId="0" borderId="16" xfId="1" applyNumberFormat="1" applyFont="1" applyFill="1" applyBorder="1" applyProtection="1"/>
    <xf numFmtId="168" fontId="35" fillId="0" borderId="0" xfId="0" applyNumberFormat="1" applyFont="1" applyFill="1" applyProtection="1"/>
    <xf numFmtId="176" fontId="17" fillId="0" borderId="0" xfId="0" applyNumberFormat="1" applyFont="1" applyProtection="1"/>
    <xf numFmtId="168" fontId="14" fillId="0" borderId="0" xfId="0" applyNumberFormat="1" applyFont="1" applyBorder="1" applyProtection="1"/>
    <xf numFmtId="168" fontId="19" fillId="0" borderId="0" xfId="0" applyNumberFormat="1" applyFont="1" applyBorder="1" applyProtection="1"/>
    <xf numFmtId="169" fontId="17" fillId="0" borderId="12" xfId="0" applyNumberFormat="1" applyFont="1" applyFill="1" applyBorder="1" applyProtection="1"/>
    <xf numFmtId="168" fontId="17" fillId="0" borderId="14" xfId="0" applyNumberFormat="1" applyFont="1" applyFill="1" applyBorder="1" applyProtection="1"/>
    <xf numFmtId="169" fontId="17" fillId="0" borderId="2" xfId="0" applyNumberFormat="1" applyFont="1" applyFill="1" applyBorder="1" applyProtection="1"/>
    <xf numFmtId="168" fontId="17" fillId="0" borderId="1" xfId="0" applyNumberFormat="1" applyFont="1" applyFill="1" applyBorder="1" applyProtection="1"/>
    <xf numFmtId="166" fontId="0" fillId="0" borderId="0" xfId="1" applyFont="1" applyBorder="1" applyProtection="1"/>
    <xf numFmtId="166" fontId="15" fillId="0" borderId="0" xfId="1" applyFont="1" applyFill="1" applyBorder="1" applyAlignment="1" applyProtection="1">
      <alignment horizontal="left"/>
    </xf>
    <xf numFmtId="171" fontId="17" fillId="0" borderId="0" xfId="7" applyNumberFormat="1" applyFont="1" applyBorder="1" applyProtection="1"/>
    <xf numFmtId="37" fontId="17" fillId="0" borderId="9" xfId="1" applyNumberFormat="1" applyFont="1" applyFill="1" applyBorder="1" applyAlignment="1" applyProtection="1">
      <alignment horizontal="right"/>
    </xf>
    <xf numFmtId="37" fontId="17" fillId="0" borderId="10" xfId="7" applyNumberFormat="1" applyFont="1" applyFill="1" applyBorder="1" applyAlignment="1" applyProtection="1">
      <alignment horizontal="right"/>
    </xf>
    <xf numFmtId="167" fontId="17" fillId="0" borderId="0" xfId="0" applyNumberFormat="1" applyFont="1" applyProtection="1"/>
    <xf numFmtId="37" fontId="17" fillId="0" borderId="8" xfId="1" applyNumberFormat="1" applyFont="1" applyFill="1" applyBorder="1" applyAlignment="1" applyProtection="1">
      <alignment horizontal="right"/>
    </xf>
    <xf numFmtId="37" fontId="17" fillId="0" borderId="3" xfId="1" applyNumberFormat="1" applyFont="1" applyFill="1" applyBorder="1" applyProtection="1"/>
    <xf numFmtId="37" fontId="17" fillId="0" borderId="4" xfId="1" applyNumberFormat="1" applyFont="1" applyFill="1" applyBorder="1" applyProtection="1"/>
    <xf numFmtId="37" fontId="17" fillId="0" borderId="12" xfId="1" applyNumberFormat="1" applyFont="1" applyFill="1" applyBorder="1" applyProtection="1"/>
    <xf numFmtId="169" fontId="17" fillId="0" borderId="13" xfId="1" applyNumberFormat="1" applyFont="1" applyFill="1" applyBorder="1" applyProtection="1"/>
    <xf numFmtId="37" fontId="17" fillId="0" borderId="15" xfId="1" applyNumberFormat="1" applyFont="1" applyFill="1" applyBorder="1" applyAlignment="1" applyProtection="1">
      <alignment horizontal="right"/>
    </xf>
    <xf numFmtId="169" fontId="17" fillId="0" borderId="0" xfId="0" applyNumberFormat="1" applyFont="1" applyBorder="1" applyAlignment="1" applyProtection="1">
      <alignment horizontal="right"/>
    </xf>
    <xf numFmtId="37" fontId="17" fillId="0" borderId="2" xfId="1" applyNumberFormat="1" applyFont="1" applyFill="1" applyBorder="1" applyProtection="1"/>
    <xf numFmtId="179"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right"/>
    </xf>
    <xf numFmtId="179" fontId="17" fillId="0" borderId="13" xfId="1" applyNumberFormat="1" applyFont="1" applyFill="1" applyBorder="1" applyAlignment="1" applyProtection="1">
      <alignment horizontal="right"/>
    </xf>
    <xf numFmtId="179" fontId="17" fillId="0" borderId="10" xfId="1" applyNumberFormat="1" applyFont="1" applyFill="1" applyBorder="1" applyAlignment="1" applyProtection="1">
      <alignment horizontal="right"/>
    </xf>
    <xf numFmtId="37" fontId="17" fillId="0" borderId="11" xfId="1" applyNumberFormat="1" applyFont="1" applyFill="1" applyBorder="1" applyAlignment="1" applyProtection="1">
      <alignment horizontal="right"/>
    </xf>
    <xf numFmtId="37" fontId="17" fillId="0" borderId="0" xfId="1" applyNumberFormat="1" applyFont="1" applyFill="1" applyBorder="1" applyAlignment="1" applyProtection="1">
      <alignment horizontal="right"/>
    </xf>
    <xf numFmtId="37" fontId="17" fillId="0" borderId="4" xfId="1" applyNumberFormat="1" applyFont="1" applyFill="1" applyBorder="1" applyAlignment="1" applyProtection="1">
      <alignment horizontal="right"/>
    </xf>
    <xf numFmtId="179" fontId="17" fillId="0" borderId="14" xfId="1" applyNumberFormat="1" applyFont="1" applyFill="1" applyBorder="1" applyAlignment="1" applyProtection="1">
      <alignment horizontal="right"/>
    </xf>
    <xf numFmtId="179" fontId="17" fillId="0" borderId="12" xfId="1" applyNumberFormat="1" applyFont="1" applyFill="1" applyBorder="1" applyAlignment="1" applyProtection="1">
      <alignment horizontal="right"/>
    </xf>
    <xf numFmtId="37" fontId="17" fillId="0" borderId="10" xfId="1" applyNumberFormat="1" applyFont="1" applyFill="1" applyBorder="1" applyAlignment="1" applyProtection="1">
      <alignment horizontal="right"/>
    </xf>
    <xf numFmtId="179" fontId="17" fillId="0" borderId="15" xfId="1" applyNumberFormat="1" applyFont="1" applyFill="1" applyBorder="1" applyAlignment="1" applyProtection="1">
      <alignment horizontal="right"/>
    </xf>
    <xf numFmtId="169" fontId="17" fillId="0" borderId="19" xfId="1" applyNumberFormat="1" applyFont="1" applyFill="1" applyBorder="1" applyAlignment="1" applyProtection="1">
      <alignment horizontal="right"/>
    </xf>
    <xf numFmtId="181" fontId="26" fillId="0" borderId="10" xfId="0" applyFont="1" applyBorder="1" applyAlignment="1" applyProtection="1">
      <alignment horizontal="right"/>
    </xf>
    <xf numFmtId="37" fontId="17" fillId="0" borderId="3" xfId="1" applyNumberFormat="1" applyFont="1" applyFill="1" applyBorder="1" applyAlignment="1" applyProtection="1">
      <alignment horizontal="right"/>
    </xf>
    <xf numFmtId="179" fontId="17" fillId="0" borderId="3" xfId="1" applyNumberFormat="1" applyFont="1" applyFill="1" applyBorder="1" applyAlignment="1" applyProtection="1">
      <alignment horizontal="right"/>
    </xf>
    <xf numFmtId="179" fontId="17" fillId="0" borderId="2" xfId="1" applyNumberFormat="1" applyFont="1" applyFill="1" applyBorder="1" applyAlignment="1" applyProtection="1">
      <alignment horizontal="right"/>
    </xf>
    <xf numFmtId="179" fontId="17" fillId="0" borderId="11" xfId="1" applyNumberFormat="1" applyFont="1" applyFill="1" applyBorder="1" applyAlignment="1" applyProtection="1">
      <alignment horizontal="right"/>
    </xf>
    <xf numFmtId="181" fontId="17" fillId="0" borderId="9" xfId="0" applyFont="1" applyFill="1" applyBorder="1" applyAlignment="1" applyProtection="1">
      <alignment horizontal="right"/>
    </xf>
    <xf numFmtId="179" fontId="17" fillId="0" borderId="9" xfId="1" applyNumberFormat="1" applyFont="1" applyFill="1" applyBorder="1" applyAlignment="1" applyProtection="1">
      <alignment horizontal="right"/>
    </xf>
    <xf numFmtId="181" fontId="26" fillId="0" borderId="0" xfId="0" applyFont="1" applyBorder="1" applyAlignment="1" applyProtection="1">
      <alignment horizontal="right"/>
    </xf>
    <xf numFmtId="167" fontId="17" fillId="0" borderId="0" xfId="1" applyNumberFormat="1" applyFont="1" applyFill="1" applyBorder="1" applyAlignment="1" applyProtection="1">
      <alignment horizontal="right"/>
    </xf>
    <xf numFmtId="37" fontId="17" fillId="0" borderId="6" xfId="1" applyNumberFormat="1" applyFont="1" applyFill="1" applyBorder="1" applyAlignment="1" applyProtection="1">
      <alignment horizontal="right"/>
    </xf>
    <xf numFmtId="37" fontId="17" fillId="0" borderId="1" xfId="1" applyNumberFormat="1" applyFont="1" applyFill="1" applyBorder="1" applyAlignment="1" applyProtection="1">
      <alignment horizontal="right"/>
    </xf>
    <xf numFmtId="179" fontId="17" fillId="0" borderId="4" xfId="1" applyNumberFormat="1" applyFont="1" applyFill="1" applyBorder="1" applyAlignment="1" applyProtection="1">
      <alignment horizontal="right"/>
    </xf>
    <xf numFmtId="37" fontId="17" fillId="0" borderId="7" xfId="1" applyNumberFormat="1" applyFont="1" applyFill="1" applyBorder="1" applyAlignment="1" applyProtection="1">
      <alignment horizontal="right"/>
    </xf>
    <xf numFmtId="179" fontId="17" fillId="0" borderId="5" xfId="1" applyNumberFormat="1" applyFont="1" applyFill="1" applyBorder="1" applyAlignment="1" applyProtection="1">
      <alignment horizontal="right"/>
    </xf>
    <xf numFmtId="179" fontId="17" fillId="0" borderId="1" xfId="1" applyNumberFormat="1" applyFont="1" applyFill="1" applyBorder="1" applyAlignment="1" applyProtection="1">
      <alignment horizontal="right"/>
    </xf>
    <xf numFmtId="179" fontId="17" fillId="0" borderId="19" xfId="1" applyNumberFormat="1" applyFont="1" applyFill="1" applyBorder="1" applyAlignment="1" applyProtection="1">
      <alignment horizontal="right"/>
    </xf>
    <xf numFmtId="179" fontId="17" fillId="0" borderId="16" xfId="1" applyNumberFormat="1" applyFont="1" applyFill="1" applyBorder="1" applyAlignment="1" applyProtection="1">
      <alignment horizontal="right"/>
    </xf>
    <xf numFmtId="37" fontId="17" fillId="0" borderId="19" xfId="1" applyNumberFormat="1" applyFont="1" applyFill="1" applyBorder="1" applyAlignment="1" applyProtection="1">
      <alignment horizontal="right"/>
    </xf>
    <xf numFmtId="37" fontId="17" fillId="0" borderId="17" xfId="1" applyNumberFormat="1" applyFont="1" applyFill="1" applyBorder="1" applyAlignment="1" applyProtection="1">
      <alignment horizontal="right"/>
    </xf>
    <xf numFmtId="179" fontId="17" fillId="0" borderId="17" xfId="1" applyNumberFormat="1" applyFont="1" applyFill="1" applyBorder="1" applyAlignment="1" applyProtection="1">
      <alignment horizontal="right"/>
    </xf>
    <xf numFmtId="181" fontId="17" fillId="0" borderId="0" xfId="0" applyFont="1" applyBorder="1" applyAlignment="1" applyProtection="1">
      <alignment horizontal="right"/>
    </xf>
    <xf numFmtId="179" fontId="17" fillId="0" borderId="18" xfId="1" applyNumberFormat="1" applyFont="1" applyFill="1" applyBorder="1" applyAlignment="1" applyProtection="1">
      <alignment horizontal="right"/>
    </xf>
    <xf numFmtId="37" fontId="17" fillId="0" borderId="18" xfId="1" applyNumberFormat="1" applyFont="1" applyFill="1" applyBorder="1" applyAlignment="1" applyProtection="1">
      <alignment horizontal="right"/>
    </xf>
    <xf numFmtId="169" fontId="17" fillId="0" borderId="18" xfId="1" applyNumberFormat="1" applyFont="1" applyFill="1" applyBorder="1" applyAlignment="1" applyProtection="1">
      <alignment horizontal="right"/>
    </xf>
    <xf numFmtId="168" fontId="17" fillId="0" borderId="0" xfId="0" applyNumberFormat="1" applyFont="1" applyBorder="1" applyAlignment="1" applyProtection="1">
      <alignment horizontal="right"/>
    </xf>
    <xf numFmtId="166" fontId="17" fillId="0" borderId="0" xfId="1" applyFont="1" applyProtection="1"/>
    <xf numFmtId="181" fontId="17" fillId="0" borderId="6" xfId="0" applyFont="1" applyBorder="1" applyProtection="1"/>
    <xf numFmtId="181" fontId="17" fillId="0" borderId="2" xfId="0" applyFont="1" applyBorder="1" applyProtection="1"/>
    <xf numFmtId="181" fontId="17" fillId="0" borderId="7" xfId="0" applyFont="1" applyBorder="1" applyProtection="1"/>
    <xf numFmtId="179" fontId="17" fillId="0" borderId="3" xfId="1" applyNumberFormat="1" applyFont="1" applyFill="1" applyBorder="1" applyProtection="1"/>
    <xf numFmtId="179" fontId="17" fillId="0" borderId="1" xfId="1" applyNumberFormat="1" applyFont="1" applyBorder="1" applyProtection="1"/>
    <xf numFmtId="37" fontId="17" fillId="0" borderId="8" xfId="0" applyNumberFormat="1" applyFont="1" applyBorder="1" applyProtection="1"/>
    <xf numFmtId="37" fontId="17" fillId="0" borderId="10" xfId="0" applyNumberFormat="1" applyFont="1" applyBorder="1" applyProtection="1"/>
    <xf numFmtId="179" fontId="17" fillId="0" borderId="3" xfId="1" applyNumberFormat="1" applyFont="1" applyBorder="1" applyProtection="1"/>
    <xf numFmtId="37" fontId="17" fillId="0" borderId="13" xfId="0" applyNumberFormat="1" applyFont="1" applyBorder="1" applyProtection="1"/>
    <xf numFmtId="37" fontId="17" fillId="0" borderId="14" xfId="0" applyNumberFormat="1" applyFont="1" applyBorder="1" applyProtection="1"/>
    <xf numFmtId="37" fontId="17" fillId="0" borderId="12" xfId="0" applyNumberFormat="1" applyFont="1" applyBorder="1" applyProtection="1"/>
    <xf numFmtId="179" fontId="17" fillId="0" borderId="13" xfId="0" applyNumberFormat="1" applyFont="1" applyBorder="1" applyProtection="1"/>
    <xf numFmtId="179" fontId="17" fillId="0" borderId="15" xfId="1" applyNumberFormat="1" applyFont="1" applyBorder="1" applyProtection="1"/>
    <xf numFmtId="37" fontId="17" fillId="0" borderId="15" xfId="0" applyNumberFormat="1" applyFont="1" applyBorder="1" applyProtection="1"/>
    <xf numFmtId="37" fontId="17" fillId="0" borderId="3" xfId="0" applyNumberFormat="1" applyFont="1" applyBorder="1" applyProtection="1"/>
    <xf numFmtId="37" fontId="17" fillId="0" borderId="4" xfId="0" applyNumberFormat="1" applyFont="1" applyBorder="1" applyProtection="1"/>
    <xf numFmtId="37" fontId="17" fillId="0" borderId="2" xfId="0" applyNumberFormat="1" applyFont="1" applyBorder="1" applyProtection="1"/>
    <xf numFmtId="179" fontId="17" fillId="0" borderId="7" xfId="1" applyNumberFormat="1" applyFont="1" applyBorder="1" applyProtection="1"/>
    <xf numFmtId="179" fontId="17" fillId="0" borderId="10" xfId="1" applyNumberFormat="1" applyFont="1" applyBorder="1" applyProtection="1"/>
    <xf numFmtId="179" fontId="17" fillId="0" borderId="8" xfId="1" applyNumberFormat="1" applyFont="1" applyFill="1" applyBorder="1" applyAlignment="1" applyProtection="1">
      <alignment horizontal="right"/>
    </xf>
    <xf numFmtId="179" fontId="17" fillId="0" borderId="8" xfId="1" applyNumberFormat="1" applyFont="1" applyBorder="1" applyProtection="1"/>
    <xf numFmtId="179" fontId="17" fillId="0" borderId="0" xfId="0" applyNumberFormat="1" applyFont="1" applyBorder="1" applyProtection="1"/>
    <xf numFmtId="166" fontId="0" fillId="0" borderId="0" xfId="1" applyFont="1" applyFill="1" applyBorder="1" applyAlignment="1" applyProtection="1"/>
    <xf numFmtId="0" fontId="12" fillId="0" borderId="0" xfId="75" applyProtection="1">
      <protection locked="0"/>
    </xf>
    <xf numFmtId="0" fontId="12" fillId="0" borderId="0" xfId="75" applyBorder="1" applyProtection="1">
      <protection locked="0"/>
    </xf>
    <xf numFmtId="0" fontId="15" fillId="0" borderId="0" xfId="75" applyFont="1" applyFill="1" applyBorder="1" applyAlignment="1" applyProtection="1">
      <alignment horizontal="left"/>
      <protection locked="0"/>
    </xf>
    <xf numFmtId="0" fontId="12" fillId="0" borderId="0" xfId="75" applyFill="1" applyBorder="1" applyProtection="1">
      <protection locked="0"/>
    </xf>
    <xf numFmtId="0" fontId="17" fillId="0" borderId="0" xfId="75" applyFont="1" applyFill="1" applyBorder="1" applyProtection="1">
      <protection locked="0"/>
    </xf>
    <xf numFmtId="0" fontId="23" fillId="0" borderId="9" xfId="75" applyFont="1" applyFill="1" applyBorder="1" applyAlignment="1" applyProtection="1">
      <alignment horizontal="center"/>
      <protection locked="0"/>
    </xf>
    <xf numFmtId="0" fontId="12" fillId="0" borderId="3" xfId="75" applyBorder="1" applyProtection="1">
      <protection locked="0"/>
    </xf>
    <xf numFmtId="0" fontId="13" fillId="0" borderId="9" xfId="75" applyFont="1" applyFill="1" applyBorder="1" applyAlignment="1" applyProtection="1">
      <alignment horizontal="center"/>
      <protection locked="0"/>
    </xf>
    <xf numFmtId="0" fontId="74" fillId="0" borderId="9" xfId="75" applyFont="1" applyFill="1" applyBorder="1" applyAlignment="1" applyProtection="1">
      <alignment horizontal="center"/>
      <protection locked="0"/>
    </xf>
    <xf numFmtId="0" fontId="17" fillId="0" borderId="9" xfId="75" applyFont="1" applyBorder="1" applyProtection="1">
      <protection locked="0"/>
    </xf>
    <xf numFmtId="0" fontId="17" fillId="0" borderId="0" xfId="75" applyFont="1" applyBorder="1" applyProtection="1">
      <protection locked="0"/>
    </xf>
    <xf numFmtId="168" fontId="17" fillId="0" borderId="9" xfId="16" applyNumberFormat="1" applyFont="1" applyFill="1" applyBorder="1" applyAlignment="1" applyProtection="1">
      <alignment horizontal="right"/>
      <protection locked="0"/>
    </xf>
    <xf numFmtId="37" fontId="17" fillId="0" borderId="6" xfId="13" applyNumberFormat="1" applyFont="1" applyFill="1" applyBorder="1" applyProtection="1">
      <protection locked="0"/>
    </xf>
    <xf numFmtId="167" fontId="17" fillId="0" borderId="0" xfId="16" applyNumberFormat="1" applyFont="1" applyFill="1" applyBorder="1" applyAlignment="1" applyProtection="1">
      <alignment horizontal="right"/>
      <protection locked="0"/>
    </xf>
    <xf numFmtId="167" fontId="17" fillId="0" borderId="13" xfId="13" applyNumberFormat="1" applyFont="1" applyFill="1" applyBorder="1" applyProtection="1">
      <protection locked="0"/>
    </xf>
    <xf numFmtId="37" fontId="17" fillId="0" borderId="0" xfId="16" applyNumberFormat="1" applyFont="1" applyFill="1" applyBorder="1" applyAlignment="1" applyProtection="1">
      <alignment horizontal="right"/>
      <protection locked="0"/>
    </xf>
    <xf numFmtId="167" fontId="17" fillId="0" borderId="9" xfId="13" applyNumberFormat="1" applyFont="1" applyFill="1" applyBorder="1" applyAlignment="1" applyProtection="1">
      <alignment horizontal="right"/>
      <protection locked="0"/>
    </xf>
    <xf numFmtId="168" fontId="17" fillId="0" borderId="9" xfId="16" applyNumberFormat="1" applyFont="1" applyFill="1" applyBorder="1" applyAlignment="1" applyProtection="1">
      <alignment horizontal="left"/>
      <protection locked="0"/>
    </xf>
    <xf numFmtId="167" fontId="17" fillId="0" borderId="6" xfId="13" applyNumberFormat="1" applyFont="1" applyFill="1" applyBorder="1" applyAlignment="1" applyProtection="1">
      <alignment horizontal="right"/>
      <protection locked="0"/>
    </xf>
    <xf numFmtId="167" fontId="17" fillId="0" borderId="13" xfId="13" applyNumberFormat="1" applyFont="1" applyFill="1" applyBorder="1" applyAlignment="1" applyProtection="1">
      <alignment horizontal="right"/>
      <protection locked="0"/>
    </xf>
    <xf numFmtId="0" fontId="26" fillId="0" borderId="0" xfId="75" applyFont="1" applyBorder="1" applyProtection="1">
      <protection locked="0"/>
    </xf>
    <xf numFmtId="0" fontId="26" fillId="0" borderId="0" xfId="75" applyFont="1" applyProtection="1">
      <protection locked="0"/>
    </xf>
    <xf numFmtId="0" fontId="17" fillId="0" borderId="9" xfId="75" applyFont="1" applyFill="1" applyBorder="1" applyAlignment="1" applyProtection="1">
      <alignment horizontal="center"/>
      <protection locked="0"/>
    </xf>
    <xf numFmtId="167" fontId="17" fillId="0" borderId="19" xfId="13" applyNumberFormat="1" applyFont="1" applyFill="1" applyBorder="1" applyAlignment="1" applyProtection="1">
      <alignment horizontal="right"/>
      <protection locked="0"/>
    </xf>
    <xf numFmtId="168" fontId="17" fillId="0" borderId="0" xfId="16" applyNumberFormat="1" applyFont="1" applyFill="1" applyBorder="1" applyAlignment="1" applyProtection="1">
      <alignment horizontal="right"/>
      <protection locked="0"/>
    </xf>
    <xf numFmtId="168" fontId="17" fillId="0" borderId="0" xfId="75" applyNumberFormat="1" applyFont="1" applyFill="1" applyBorder="1" applyProtection="1">
      <protection locked="0"/>
    </xf>
    <xf numFmtId="37" fontId="17" fillId="0" borderId="0" xfId="75" applyNumberFormat="1" applyFont="1" applyFill="1" applyBorder="1" applyProtection="1">
      <protection locked="0"/>
    </xf>
    <xf numFmtId="37" fontId="17" fillId="0" borderId="0" xfId="13" applyNumberFormat="1" applyFont="1" applyFill="1" applyBorder="1" applyProtection="1">
      <protection locked="0"/>
    </xf>
    <xf numFmtId="168" fontId="17" fillId="0" borderId="9" xfId="75" applyNumberFormat="1" applyFont="1" applyFill="1" applyBorder="1" applyProtection="1">
      <protection locked="0"/>
    </xf>
    <xf numFmtId="0" fontId="17" fillId="0" borderId="9" xfId="75" applyFont="1" applyFill="1" applyBorder="1" applyAlignment="1" applyProtection="1">
      <protection locked="0"/>
    </xf>
    <xf numFmtId="0" fontId="12" fillId="0" borderId="9" xfId="75" applyBorder="1" applyProtection="1">
      <protection locked="0"/>
    </xf>
    <xf numFmtId="0" fontId="12" fillId="0" borderId="0" xfId="75" applyProtection="1"/>
    <xf numFmtId="0" fontId="12" fillId="0" borderId="0" xfId="75" applyBorder="1" applyProtection="1"/>
    <xf numFmtId="0" fontId="14" fillId="0" borderId="0" xfId="75" applyFont="1" applyProtection="1"/>
    <xf numFmtId="0" fontId="15" fillId="0" borderId="0" xfId="75" applyFont="1" applyFill="1" applyBorder="1" applyAlignment="1" applyProtection="1">
      <alignment horizontal="left"/>
    </xf>
    <xf numFmtId="0" fontId="12" fillId="0" borderId="0" xfId="75" applyFill="1" applyBorder="1" applyProtection="1"/>
    <xf numFmtId="0" fontId="16" fillId="0" borderId="0" xfId="75" applyFont="1" applyFill="1" applyBorder="1" applyProtection="1"/>
    <xf numFmtId="0" fontId="17" fillId="0" borderId="0" xfId="75" applyFont="1" applyFill="1" applyBorder="1" applyProtection="1"/>
    <xf numFmtId="0" fontId="74" fillId="0" borderId="10" xfId="75" applyFont="1" applyFill="1" applyBorder="1" applyAlignment="1" applyProtection="1">
      <alignment horizontal="center"/>
    </xf>
    <xf numFmtId="0" fontId="74" fillId="0" borderId="4" xfId="75" applyFont="1" applyFill="1" applyBorder="1" applyAlignment="1" applyProtection="1">
      <alignment horizontal="center"/>
    </xf>
    <xf numFmtId="0" fontId="23" fillId="0" borderId="0" xfId="75" applyFont="1" applyFill="1" applyBorder="1" applyProtection="1"/>
    <xf numFmtId="0" fontId="19" fillId="0" borderId="0" xfId="75" applyFont="1" applyFill="1" applyBorder="1" applyProtection="1"/>
    <xf numFmtId="0" fontId="17" fillId="0" borderId="11" xfId="75" applyFont="1" applyBorder="1" applyProtection="1"/>
    <xf numFmtId="169" fontId="17" fillId="0" borderId="10" xfId="13" applyNumberFormat="1" applyFont="1" applyFill="1" applyBorder="1" applyProtection="1"/>
    <xf numFmtId="169" fontId="17" fillId="0" borderId="12" xfId="13" applyNumberFormat="1" applyFont="1" applyFill="1" applyBorder="1" applyProtection="1"/>
    <xf numFmtId="168" fontId="17" fillId="0" borderId="14" xfId="16" applyNumberFormat="1" applyFont="1" applyFill="1" applyBorder="1" applyAlignment="1" applyProtection="1">
      <alignment horizontal="right"/>
    </xf>
    <xf numFmtId="168" fontId="17" fillId="0" borderId="11" xfId="16" applyNumberFormat="1" applyFont="1" applyFill="1" applyBorder="1" applyAlignment="1" applyProtection="1">
      <alignment horizontal="right"/>
    </xf>
    <xf numFmtId="169" fontId="17" fillId="0" borderId="5" xfId="13" applyNumberFormat="1" applyFont="1" applyFill="1" applyBorder="1" applyProtection="1"/>
    <xf numFmtId="168" fontId="17" fillId="0" borderId="1" xfId="16" applyNumberFormat="1" applyFont="1" applyFill="1" applyBorder="1" applyAlignment="1" applyProtection="1">
      <alignment horizontal="right"/>
    </xf>
    <xf numFmtId="0" fontId="17" fillId="0" borderId="0" xfId="75" applyFont="1" applyFill="1" applyProtection="1"/>
    <xf numFmtId="168" fontId="17" fillId="0" borderId="4" xfId="16" applyNumberFormat="1" applyFont="1" applyFill="1" applyBorder="1" applyAlignment="1" applyProtection="1"/>
    <xf numFmtId="0" fontId="17" fillId="0" borderId="0" xfId="75" applyFont="1" applyBorder="1" applyAlignment="1" applyProtection="1">
      <alignment wrapText="1"/>
    </xf>
    <xf numFmtId="169" fontId="17" fillId="0" borderId="16" xfId="13" applyNumberFormat="1" applyFont="1" applyFill="1" applyBorder="1" applyProtection="1"/>
    <xf numFmtId="168" fontId="17" fillId="0" borderId="17" xfId="16" applyNumberFormat="1" applyFont="1" applyFill="1" applyBorder="1" applyAlignment="1" applyProtection="1">
      <alignment horizontal="right"/>
    </xf>
    <xf numFmtId="169" fontId="17" fillId="0" borderId="0" xfId="13" applyNumberFormat="1" applyFont="1" applyFill="1" applyBorder="1" applyProtection="1"/>
    <xf numFmtId="168" fontId="17" fillId="0" borderId="0" xfId="16" applyNumberFormat="1" applyFont="1" applyFill="1" applyBorder="1" applyAlignment="1" applyProtection="1">
      <alignment horizontal="right"/>
    </xf>
    <xf numFmtId="176" fontId="17" fillId="0" borderId="0" xfId="75" applyNumberFormat="1" applyFont="1" applyFill="1" applyBorder="1" applyAlignment="1" applyProtection="1">
      <alignment horizontal="right"/>
    </xf>
    <xf numFmtId="168" fontId="17" fillId="0" borderId="0" xfId="75" applyNumberFormat="1" applyFont="1" applyProtection="1"/>
    <xf numFmtId="168" fontId="17" fillId="0" borderId="0" xfId="75" applyNumberFormat="1" applyFont="1" applyFill="1" applyProtection="1"/>
    <xf numFmtId="169" fontId="17" fillId="0" borderId="0" xfId="75" applyNumberFormat="1" applyFont="1" applyFill="1" applyBorder="1" applyAlignment="1" applyProtection="1">
      <alignment horizontal="right"/>
    </xf>
    <xf numFmtId="0" fontId="17" fillId="0" borderId="0" xfId="75" applyFont="1" applyBorder="1" applyProtection="1"/>
    <xf numFmtId="168" fontId="14" fillId="0" borderId="0" xfId="77" applyNumberFormat="1" applyFont="1" applyBorder="1" applyProtection="1"/>
    <xf numFmtId="0" fontId="17" fillId="0" borderId="0" xfId="75" applyFont="1" applyProtection="1"/>
    <xf numFmtId="168" fontId="19" fillId="0" borderId="0" xfId="75" applyNumberFormat="1" applyFont="1" applyBorder="1" applyProtection="1"/>
    <xf numFmtId="0" fontId="16" fillId="0" borderId="0" xfId="75" applyFont="1" applyProtection="1"/>
    <xf numFmtId="168" fontId="17" fillId="0" borderId="11" xfId="75" applyNumberFormat="1" applyFont="1" applyFill="1" applyBorder="1" applyAlignment="1" applyProtection="1">
      <alignment horizontal="right"/>
    </xf>
    <xf numFmtId="169" fontId="17" fillId="0" borderId="5" xfId="75" applyNumberFormat="1" applyFont="1" applyFill="1" applyBorder="1" applyProtection="1"/>
    <xf numFmtId="168" fontId="17" fillId="0" borderId="1" xfId="75" applyNumberFormat="1" applyFont="1" applyFill="1" applyBorder="1" applyAlignment="1" applyProtection="1">
      <alignment horizontal="right"/>
    </xf>
    <xf numFmtId="169" fontId="17" fillId="0" borderId="0" xfId="75" applyNumberFormat="1" applyFont="1" applyFill="1" applyBorder="1" applyProtection="1"/>
    <xf numFmtId="168" fontId="17" fillId="0" borderId="0" xfId="75" applyNumberFormat="1" applyFont="1" applyFill="1" applyBorder="1" applyProtection="1"/>
    <xf numFmtId="176" fontId="17" fillId="0" borderId="0" xfId="75" applyNumberFormat="1" applyFont="1" applyProtection="1"/>
    <xf numFmtId="168" fontId="14" fillId="0" borderId="0" xfId="75" applyNumberFormat="1" applyFont="1" applyBorder="1" applyProtection="1"/>
    <xf numFmtId="169" fontId="17" fillId="0" borderId="12" xfId="75" applyNumberFormat="1" applyFont="1" applyFill="1" applyBorder="1" applyProtection="1"/>
    <xf numFmtId="37" fontId="12" fillId="0" borderId="0" xfId="75" applyNumberFormat="1" applyBorder="1" applyProtection="1"/>
    <xf numFmtId="0" fontId="12" fillId="0" borderId="0" xfId="75" applyAlignment="1" applyProtection="1"/>
    <xf numFmtId="0" fontId="12" fillId="0" borderId="3" xfId="75" applyBorder="1" applyProtection="1"/>
    <xf numFmtId="0" fontId="23" fillId="0" borderId="9" xfId="75" applyFont="1" applyFill="1" applyBorder="1" applyAlignment="1" applyProtection="1">
      <alignment horizontal="center"/>
    </xf>
    <xf numFmtId="0" fontId="23" fillId="0" borderId="0" xfId="75" applyFont="1" applyFill="1" applyBorder="1" applyAlignment="1" applyProtection="1">
      <alignment horizontal="center"/>
    </xf>
    <xf numFmtId="0" fontId="23" fillId="0" borderId="7" xfId="75" applyFont="1" applyFill="1" applyBorder="1" applyAlignment="1" applyProtection="1">
      <alignment horizontal="center"/>
    </xf>
    <xf numFmtId="0" fontId="13" fillId="0" borderId="9" xfId="75" applyFont="1" applyFill="1" applyBorder="1" applyAlignment="1" applyProtection="1">
      <alignment horizontal="center"/>
    </xf>
    <xf numFmtId="0" fontId="13" fillId="0" borderId="0" xfId="75" applyFont="1" applyFill="1" applyBorder="1" applyAlignment="1" applyProtection="1">
      <alignment horizontal="center"/>
    </xf>
    <xf numFmtId="0" fontId="16" fillId="0" borderId="4" xfId="75" applyFont="1" applyFill="1" applyBorder="1" applyAlignment="1" applyProtection="1">
      <alignment horizontal="center"/>
    </xf>
    <xf numFmtId="0" fontId="74" fillId="0" borderId="9" xfId="75" applyFont="1" applyFill="1" applyBorder="1" applyAlignment="1" applyProtection="1">
      <alignment horizontal="center"/>
    </xf>
    <xf numFmtId="181" fontId="16" fillId="0" borderId="3" xfId="29" applyFont="1" applyFill="1" applyBorder="1" applyAlignment="1" applyProtection="1">
      <alignment horizontal="center"/>
    </xf>
    <xf numFmtId="0" fontId="74" fillId="0" borderId="0" xfId="75" applyFont="1" applyFill="1" applyBorder="1" applyAlignment="1" applyProtection="1">
      <alignment horizontal="center"/>
    </xf>
    <xf numFmtId="0" fontId="16" fillId="0" borderId="7" xfId="75" applyFont="1" applyFill="1" applyBorder="1" applyAlignment="1" applyProtection="1">
      <alignment horizontal="center"/>
    </xf>
    <xf numFmtId="0" fontId="16" fillId="0" borderId="9" xfId="75" applyFont="1" applyFill="1" applyBorder="1" applyAlignment="1" applyProtection="1">
      <alignment horizontal="center"/>
    </xf>
    <xf numFmtId="0" fontId="17" fillId="0" borderId="9" xfId="75" applyFont="1" applyBorder="1" applyProtection="1"/>
    <xf numFmtId="0" fontId="17" fillId="0" borderId="0" xfId="75" applyFont="1" applyBorder="1" applyAlignment="1" applyProtection="1"/>
    <xf numFmtId="167" fontId="17" fillId="0" borderId="6" xfId="13" applyNumberFormat="1" applyFont="1" applyFill="1" applyBorder="1" applyProtection="1"/>
    <xf numFmtId="167" fontId="17" fillId="0" borderId="11" xfId="13" applyNumberFormat="1" applyFont="1" applyFill="1" applyBorder="1" applyProtection="1"/>
    <xf numFmtId="37" fontId="17" fillId="0" borderId="6" xfId="13" applyNumberFormat="1" applyFont="1" applyFill="1" applyBorder="1" applyProtection="1"/>
    <xf numFmtId="167" fontId="17" fillId="0" borderId="0" xfId="16" applyNumberFormat="1" applyFont="1" applyFill="1" applyBorder="1" applyAlignment="1" applyProtection="1">
      <alignment horizontal="right"/>
    </xf>
    <xf numFmtId="169" fontId="17" fillId="0" borderId="0" xfId="13" applyNumberFormat="1" applyFont="1" applyFill="1" applyBorder="1" applyAlignment="1" applyProtection="1"/>
    <xf numFmtId="37" fontId="17" fillId="0" borderId="9" xfId="13" applyNumberFormat="1" applyFont="1" applyFill="1" applyBorder="1" applyAlignment="1" applyProtection="1">
      <alignment horizontal="right"/>
    </xf>
    <xf numFmtId="167" fontId="17" fillId="0" borderId="14" xfId="13" applyNumberFormat="1" applyFont="1" applyFill="1" applyBorder="1" applyProtection="1"/>
    <xf numFmtId="167" fontId="17" fillId="0" borderId="13" xfId="13" applyNumberFormat="1" applyFont="1" applyFill="1" applyBorder="1" applyProtection="1"/>
    <xf numFmtId="167" fontId="17" fillId="0" borderId="12" xfId="13" applyNumberFormat="1" applyFont="1" applyFill="1" applyBorder="1" applyProtection="1"/>
    <xf numFmtId="169" fontId="17" fillId="0" borderId="13" xfId="13" applyNumberFormat="1" applyFont="1" applyFill="1" applyBorder="1" applyAlignment="1" applyProtection="1"/>
    <xf numFmtId="37" fontId="17" fillId="0" borderId="15" xfId="13" applyNumberFormat="1" applyFont="1" applyFill="1" applyBorder="1" applyAlignment="1" applyProtection="1">
      <alignment horizontal="right"/>
    </xf>
    <xf numFmtId="37" fontId="17" fillId="0" borderId="0" xfId="16" applyNumberFormat="1" applyFont="1" applyFill="1" applyBorder="1" applyAlignment="1" applyProtection="1">
      <alignment horizontal="right"/>
    </xf>
    <xf numFmtId="167" fontId="17" fillId="0" borderId="3" xfId="16" applyNumberFormat="1" applyFont="1" applyFill="1" applyBorder="1" applyAlignment="1" applyProtection="1">
      <alignment horizontal="right"/>
    </xf>
    <xf numFmtId="167" fontId="17" fillId="0" borderId="4" xfId="13" applyNumberFormat="1" applyFont="1" applyFill="1" applyBorder="1" applyProtection="1"/>
    <xf numFmtId="167" fontId="17" fillId="0" borderId="0" xfId="13" applyNumberFormat="1" applyFont="1" applyFill="1" applyBorder="1" applyProtection="1"/>
    <xf numFmtId="0" fontId="17" fillId="0" borderId="9" xfId="75" applyFont="1" applyBorder="1" applyAlignment="1" applyProtection="1">
      <alignment horizontal="right"/>
    </xf>
    <xf numFmtId="167" fontId="17" fillId="0" borderId="1" xfId="13" applyNumberFormat="1" applyFont="1" applyFill="1" applyBorder="1" applyProtection="1"/>
    <xf numFmtId="37" fontId="17" fillId="0" borderId="6" xfId="16" applyNumberFormat="1" applyFont="1" applyFill="1" applyBorder="1" applyAlignment="1" applyProtection="1">
      <alignment horizontal="right"/>
    </xf>
    <xf numFmtId="169" fontId="17" fillId="0" borderId="6" xfId="13" applyNumberFormat="1" applyFont="1" applyFill="1" applyBorder="1" applyAlignment="1" applyProtection="1"/>
    <xf numFmtId="167" fontId="17" fillId="0" borderId="0" xfId="13" applyNumberFormat="1" applyFont="1" applyFill="1" applyBorder="1" applyAlignment="1" applyProtection="1"/>
    <xf numFmtId="167" fontId="17" fillId="0" borderId="0" xfId="13" applyNumberFormat="1" applyFont="1" applyFill="1" applyBorder="1" applyAlignment="1" applyProtection="1">
      <alignment horizontal="right"/>
    </xf>
    <xf numFmtId="167" fontId="17" fillId="0" borderId="11" xfId="13" applyNumberFormat="1" applyFont="1" applyFill="1" applyBorder="1" applyAlignment="1" applyProtection="1">
      <alignment horizontal="right"/>
    </xf>
    <xf numFmtId="167" fontId="17" fillId="0" borderId="9" xfId="13" applyNumberFormat="1" applyFont="1" applyFill="1" applyBorder="1" applyProtection="1"/>
    <xf numFmtId="167" fontId="17" fillId="0" borderId="9" xfId="75" applyNumberFormat="1" applyFont="1" applyFill="1" applyBorder="1" applyProtection="1"/>
    <xf numFmtId="179" fontId="17" fillId="0" borderId="9" xfId="1" applyNumberFormat="1" applyFont="1" applyBorder="1" applyAlignment="1" applyProtection="1">
      <alignment horizontal="right"/>
    </xf>
    <xf numFmtId="167" fontId="17" fillId="0" borderId="9" xfId="75" applyNumberFormat="1" applyFont="1" applyFill="1" applyBorder="1" applyAlignment="1" applyProtection="1">
      <alignment horizontal="right"/>
    </xf>
    <xf numFmtId="166" fontId="17" fillId="0" borderId="9" xfId="13" applyFont="1" applyFill="1" applyBorder="1" applyProtection="1"/>
    <xf numFmtId="167" fontId="17" fillId="0" borderId="0" xfId="75" applyNumberFormat="1" applyFont="1" applyFill="1" applyBorder="1" applyAlignment="1" applyProtection="1">
      <alignment horizontal="right"/>
    </xf>
    <xf numFmtId="167" fontId="17" fillId="0" borderId="11" xfId="75" applyNumberFormat="1" applyFont="1" applyFill="1" applyBorder="1" applyAlignment="1" applyProtection="1">
      <alignment horizontal="right"/>
    </xf>
    <xf numFmtId="169" fontId="17" fillId="0" borderId="0" xfId="13" applyNumberFormat="1" applyFont="1" applyFill="1" applyBorder="1" applyAlignment="1" applyProtection="1">
      <alignment horizontal="right"/>
    </xf>
    <xf numFmtId="167" fontId="17" fillId="0" borderId="6" xfId="13" applyNumberFormat="1" applyFont="1" applyFill="1" applyBorder="1" applyAlignment="1" applyProtection="1">
      <alignment horizontal="right"/>
    </xf>
    <xf numFmtId="0" fontId="17" fillId="0" borderId="9" xfId="75" applyFont="1" applyFill="1" applyBorder="1" applyProtection="1"/>
    <xf numFmtId="179" fontId="17" fillId="0" borderId="3" xfId="1" applyNumberFormat="1" applyFont="1" applyFill="1" applyBorder="1" applyAlignment="1" applyProtection="1"/>
    <xf numFmtId="168" fontId="17" fillId="0" borderId="4" xfId="16" applyNumberFormat="1" applyFont="1" applyFill="1" applyBorder="1" applyAlignment="1" applyProtection="1">
      <alignment horizontal="right"/>
    </xf>
    <xf numFmtId="37" fontId="17" fillId="0" borderId="7" xfId="13" applyNumberFormat="1" applyFont="1" applyFill="1" applyBorder="1" applyAlignment="1" applyProtection="1">
      <alignment horizontal="right"/>
    </xf>
    <xf numFmtId="167" fontId="17" fillId="0" borderId="13" xfId="13" applyNumberFormat="1" applyFont="1" applyFill="1" applyBorder="1" applyAlignment="1" applyProtection="1">
      <alignment horizontal="right"/>
    </xf>
    <xf numFmtId="167" fontId="17" fillId="0" borderId="14" xfId="13" applyNumberFormat="1" applyFont="1" applyFill="1" applyBorder="1" applyAlignment="1" applyProtection="1">
      <alignment horizontal="right"/>
    </xf>
    <xf numFmtId="0" fontId="17" fillId="0" borderId="9" xfId="75" applyFont="1" applyFill="1" applyBorder="1" applyAlignment="1" applyProtection="1">
      <alignment horizontal="center"/>
    </xf>
    <xf numFmtId="0" fontId="17" fillId="0" borderId="0" xfId="75" applyFont="1" applyBorder="1" applyAlignment="1" applyProtection="1">
      <alignment horizontal="center"/>
    </xf>
    <xf numFmtId="37" fontId="17" fillId="0" borderId="8" xfId="13" applyNumberFormat="1" applyFont="1" applyFill="1" applyBorder="1" applyAlignment="1" applyProtection="1">
      <alignment horizontal="right"/>
    </xf>
    <xf numFmtId="169" fontId="17" fillId="0" borderId="9" xfId="13" applyNumberFormat="1" applyFont="1" applyFill="1" applyBorder="1" applyAlignment="1" applyProtection="1">
      <alignment horizontal="right"/>
    </xf>
    <xf numFmtId="167" fontId="17" fillId="0" borderId="19" xfId="13" applyNumberFormat="1" applyFont="1" applyFill="1" applyBorder="1" applyAlignment="1" applyProtection="1">
      <alignment horizontal="right"/>
    </xf>
    <xf numFmtId="167" fontId="17" fillId="0" borderId="17" xfId="13" applyNumberFormat="1" applyFont="1" applyFill="1" applyBorder="1" applyAlignment="1" applyProtection="1">
      <alignment horizontal="right"/>
    </xf>
    <xf numFmtId="37" fontId="17" fillId="0" borderId="18" xfId="13" applyNumberFormat="1" applyFont="1" applyFill="1" applyBorder="1" applyAlignment="1" applyProtection="1">
      <alignment horizontal="right"/>
    </xf>
    <xf numFmtId="0" fontId="17" fillId="0" borderId="0" xfId="16" applyNumberFormat="1" applyFont="1" applyFill="1" applyBorder="1" applyAlignment="1" applyProtection="1">
      <alignment horizontal="right"/>
    </xf>
    <xf numFmtId="168" fontId="17" fillId="0" borderId="0" xfId="75" applyNumberFormat="1" applyFont="1" applyBorder="1" applyProtection="1"/>
    <xf numFmtId="168" fontId="17" fillId="0" borderId="0" xfId="16" applyNumberFormat="1" applyFont="1" applyFill="1" applyBorder="1" applyProtection="1"/>
    <xf numFmtId="0" fontId="17" fillId="0" borderId="0" xfId="75" applyFont="1" applyFill="1" applyBorder="1" applyAlignment="1" applyProtection="1">
      <alignment horizontal="right"/>
    </xf>
    <xf numFmtId="0" fontId="17" fillId="0" borderId="0" xfId="75" applyFont="1" applyBorder="1" applyAlignment="1" applyProtection="1">
      <alignment horizontal="right"/>
    </xf>
    <xf numFmtId="0" fontId="17" fillId="0" borderId="6" xfId="75" applyFont="1" applyBorder="1" applyProtection="1"/>
    <xf numFmtId="0" fontId="17" fillId="0" borderId="2" xfId="75" applyFont="1" applyBorder="1" applyProtection="1"/>
    <xf numFmtId="0" fontId="17" fillId="0" borderId="0" xfId="75" applyFont="1" applyFill="1" applyBorder="1" applyAlignment="1" applyProtection="1">
      <alignment horizontal="center"/>
    </xf>
    <xf numFmtId="37" fontId="17" fillId="0" borderId="0" xfId="75" applyNumberFormat="1" applyFont="1" applyFill="1" applyBorder="1" applyProtection="1"/>
    <xf numFmtId="37" fontId="17" fillId="0" borderId="11" xfId="75" applyNumberFormat="1" applyFont="1" applyBorder="1" applyProtection="1"/>
    <xf numFmtId="37" fontId="17" fillId="0" borderId="0" xfId="13" applyNumberFormat="1" applyFont="1" applyFill="1" applyBorder="1" applyProtection="1"/>
    <xf numFmtId="37" fontId="17" fillId="0" borderId="2" xfId="13" applyNumberFormat="1" applyFont="1" applyFill="1" applyBorder="1" applyProtection="1"/>
    <xf numFmtId="37" fontId="17" fillId="0" borderId="11" xfId="13" applyNumberFormat="1" applyFont="1" applyFill="1" applyBorder="1" applyProtection="1"/>
    <xf numFmtId="37" fontId="17" fillId="0" borderId="4" xfId="13" applyNumberFormat="1" applyFont="1" applyFill="1" applyBorder="1" applyProtection="1"/>
    <xf numFmtId="168" fontId="17" fillId="0" borderId="4" xfId="75" applyNumberFormat="1" applyFont="1" applyFill="1" applyBorder="1" applyAlignment="1" applyProtection="1"/>
    <xf numFmtId="37" fontId="17" fillId="0" borderId="9" xfId="75" applyNumberFormat="1" applyFont="1" applyBorder="1" applyProtection="1"/>
    <xf numFmtId="37" fontId="17" fillId="0" borderId="10" xfId="13" applyNumberFormat="1" applyFont="1" applyFill="1" applyBorder="1" applyProtection="1"/>
    <xf numFmtId="169" fontId="17" fillId="0" borderId="0" xfId="16" applyNumberFormat="1" applyFont="1" applyFill="1" applyBorder="1" applyAlignment="1" applyProtection="1">
      <alignment horizontal="right"/>
    </xf>
    <xf numFmtId="179" fontId="17" fillId="0" borderId="0" xfId="1" applyNumberFormat="1" applyFont="1" applyFill="1" applyBorder="1" applyAlignment="1" applyProtection="1"/>
    <xf numFmtId="168" fontId="17" fillId="0" borderId="11" xfId="75" applyNumberFormat="1" applyFont="1" applyFill="1" applyBorder="1" applyAlignment="1" applyProtection="1"/>
    <xf numFmtId="37" fontId="17" fillId="0" borderId="5" xfId="13" applyNumberFormat="1" applyFont="1" applyFill="1" applyBorder="1" applyProtection="1"/>
    <xf numFmtId="37" fontId="17" fillId="0" borderId="8" xfId="13" applyNumberFormat="1" applyFont="1" applyFill="1" applyBorder="1" applyProtection="1"/>
    <xf numFmtId="37" fontId="17" fillId="0" borderId="6" xfId="75" applyNumberFormat="1" applyFont="1" applyFill="1" applyBorder="1" applyProtection="1"/>
    <xf numFmtId="37" fontId="17" fillId="0" borderId="1" xfId="75" applyNumberFormat="1" applyFont="1" applyBorder="1" applyProtection="1"/>
    <xf numFmtId="37" fontId="17" fillId="0" borderId="1" xfId="13" applyNumberFormat="1" applyFont="1" applyFill="1" applyBorder="1" applyProtection="1"/>
    <xf numFmtId="37" fontId="17" fillId="0" borderId="8" xfId="75" applyNumberFormat="1" applyFont="1" applyBorder="1" applyProtection="1"/>
    <xf numFmtId="169" fontId="17" fillId="0" borderId="0" xfId="75" applyNumberFormat="1" applyFont="1" applyFill="1" applyBorder="1" applyAlignment="1" applyProtection="1"/>
    <xf numFmtId="168" fontId="17" fillId="0" borderId="0" xfId="75" applyNumberFormat="1" applyFont="1" applyFill="1" applyBorder="1" applyAlignment="1" applyProtection="1"/>
    <xf numFmtId="37" fontId="17" fillId="0" borderId="11" xfId="75" applyNumberFormat="1" applyFont="1" applyFill="1" applyBorder="1" applyProtection="1"/>
    <xf numFmtId="37" fontId="17" fillId="0" borderId="10" xfId="75" applyNumberFormat="1" applyFont="1" applyFill="1" applyBorder="1" applyProtection="1"/>
    <xf numFmtId="179" fontId="17" fillId="0" borderId="3" xfId="13" applyNumberFormat="1" applyFont="1" applyFill="1" applyBorder="1" applyAlignment="1" applyProtection="1"/>
    <xf numFmtId="179" fontId="17" fillId="0" borderId="0" xfId="13" applyNumberFormat="1" applyFont="1" applyFill="1" applyBorder="1" applyAlignment="1" applyProtection="1"/>
    <xf numFmtId="37" fontId="17" fillId="0" borderId="9" xfId="75" applyNumberFormat="1" applyFont="1" applyFill="1" applyBorder="1" applyProtection="1"/>
    <xf numFmtId="179" fontId="17" fillId="0" borderId="0" xfId="13" applyNumberFormat="1" applyFont="1" applyBorder="1" applyAlignment="1" applyProtection="1"/>
    <xf numFmtId="179" fontId="17" fillId="0" borderId="0" xfId="13" applyNumberFormat="1" applyFont="1" applyFill="1" applyBorder="1" applyProtection="1"/>
    <xf numFmtId="166" fontId="17" fillId="0" borderId="0" xfId="13" applyFont="1" applyFill="1" applyBorder="1" applyProtection="1"/>
    <xf numFmtId="179" fontId="17" fillId="0" borderId="0" xfId="1" applyNumberFormat="1" applyFont="1" applyBorder="1" applyAlignment="1" applyProtection="1"/>
    <xf numFmtId="37" fontId="17" fillId="0" borderId="1" xfId="75" applyNumberFormat="1" applyFont="1" applyFill="1" applyBorder="1" applyProtection="1"/>
    <xf numFmtId="37" fontId="17" fillId="0" borderId="8" xfId="75" applyNumberFormat="1" applyFont="1" applyFill="1" applyBorder="1" applyProtection="1"/>
    <xf numFmtId="37" fontId="17" fillId="0" borderId="13" xfId="75" applyNumberFormat="1" applyFont="1" applyBorder="1" applyProtection="1"/>
    <xf numFmtId="37" fontId="17" fillId="0" borderId="14" xfId="75" applyNumberFormat="1" applyFont="1" applyBorder="1" applyProtection="1"/>
    <xf numFmtId="0" fontId="12" fillId="0" borderId="9" xfId="75" applyBorder="1" applyProtection="1"/>
    <xf numFmtId="179" fontId="17" fillId="0" borderId="13" xfId="13" applyNumberFormat="1" applyFont="1" applyBorder="1" applyAlignment="1" applyProtection="1"/>
    <xf numFmtId="168" fontId="17" fillId="0" borderId="14" xfId="75" applyNumberFormat="1" applyFont="1" applyFill="1" applyBorder="1" applyAlignment="1" applyProtection="1"/>
    <xf numFmtId="169" fontId="17" fillId="0" borderId="15" xfId="75" applyNumberFormat="1" applyFont="1" applyBorder="1" applyProtection="1"/>
    <xf numFmtId="37" fontId="17" fillId="0" borderId="6" xfId="75" applyNumberFormat="1" applyFont="1" applyBorder="1" applyProtection="1"/>
    <xf numFmtId="37" fontId="17" fillId="0" borderId="0" xfId="75" applyNumberFormat="1" applyFont="1" applyBorder="1" applyProtection="1"/>
    <xf numFmtId="168" fontId="17" fillId="0" borderId="1" xfId="75" applyNumberFormat="1" applyFont="1" applyFill="1" applyBorder="1" applyAlignment="1" applyProtection="1"/>
    <xf numFmtId="169" fontId="17" fillId="0" borderId="8" xfId="75" applyNumberFormat="1" applyFont="1" applyBorder="1" applyProtection="1"/>
    <xf numFmtId="37" fontId="12" fillId="0" borderId="0" xfId="75" applyNumberFormat="1" applyBorder="1" applyAlignment="1" applyProtection="1"/>
    <xf numFmtId="0" fontId="17" fillId="0" borderId="3" xfId="75" applyFont="1" applyBorder="1" applyProtection="1">
      <protection locked="0"/>
    </xf>
    <xf numFmtId="37" fontId="17" fillId="0" borderId="13" xfId="13" applyNumberFormat="1" applyFont="1" applyFill="1" applyBorder="1" applyProtection="1">
      <protection locked="0"/>
    </xf>
    <xf numFmtId="169" fontId="17" fillId="0" borderId="13" xfId="13" applyNumberFormat="1" applyFont="1" applyFill="1" applyBorder="1" applyAlignment="1" applyProtection="1">
      <alignment horizontal="right"/>
      <protection locked="0"/>
    </xf>
    <xf numFmtId="181" fontId="73" fillId="0" borderId="9" xfId="157" applyNumberFormat="1" applyBorder="1" applyProtection="1">
      <protection locked="0"/>
    </xf>
    <xf numFmtId="181" fontId="14" fillId="0" borderId="0" xfId="77" applyFont="1" applyProtection="1"/>
    <xf numFmtId="0" fontId="17" fillId="0" borderId="3" xfId="75" applyFont="1" applyBorder="1" applyProtection="1"/>
    <xf numFmtId="0" fontId="17" fillId="0" borderId="4" xfId="75" applyFont="1" applyBorder="1" applyProtection="1"/>
    <xf numFmtId="37" fontId="17" fillId="0" borderId="13" xfId="13" applyNumberFormat="1" applyFont="1" applyFill="1" applyBorder="1" applyProtection="1"/>
    <xf numFmtId="37" fontId="17" fillId="0" borderId="14" xfId="13" applyNumberFormat="1" applyFont="1" applyFill="1" applyBorder="1" applyProtection="1"/>
    <xf numFmtId="37" fontId="17" fillId="0" borderId="12" xfId="13" applyNumberFormat="1" applyFont="1" applyFill="1" applyBorder="1" applyProtection="1"/>
    <xf numFmtId="37" fontId="17" fillId="0" borderId="3" xfId="16" applyNumberFormat="1" applyFont="1" applyFill="1" applyBorder="1" applyAlignment="1" applyProtection="1">
      <alignment horizontal="right"/>
    </xf>
    <xf numFmtId="0" fontId="17" fillId="0" borderId="9" xfId="75" applyFont="1" applyFill="1" applyBorder="1" applyAlignment="1" applyProtection="1">
      <alignment horizontal="right"/>
    </xf>
    <xf numFmtId="169" fontId="17" fillId="0" borderId="11" xfId="13" applyNumberFormat="1" applyFont="1" applyFill="1" applyBorder="1" applyAlignment="1" applyProtection="1">
      <alignment horizontal="right"/>
    </xf>
    <xf numFmtId="169" fontId="17" fillId="0" borderId="9" xfId="75" applyNumberFormat="1" applyFont="1" applyFill="1" applyBorder="1" applyAlignment="1" applyProtection="1">
      <alignment horizontal="right"/>
    </xf>
    <xf numFmtId="166" fontId="17" fillId="0" borderId="0" xfId="13" applyFont="1" applyFill="1" applyProtection="1"/>
    <xf numFmtId="37" fontId="17" fillId="0" borderId="3" xfId="13" applyNumberFormat="1" applyFont="1" applyFill="1" applyBorder="1" applyProtection="1"/>
    <xf numFmtId="169" fontId="17" fillId="0" borderId="10" xfId="1" applyNumberFormat="1" applyFont="1" applyFill="1" applyBorder="1" applyAlignment="1" applyProtection="1">
      <alignment horizontal="right"/>
    </xf>
    <xf numFmtId="169" fontId="17" fillId="0" borderId="13" xfId="13" applyNumberFormat="1" applyFont="1" applyFill="1" applyBorder="1" applyAlignment="1" applyProtection="1">
      <alignment horizontal="right"/>
    </xf>
    <xf numFmtId="169" fontId="17" fillId="0" borderId="13" xfId="1" applyNumberFormat="1" applyFont="1" applyFill="1" applyBorder="1" applyAlignment="1" applyProtection="1">
      <alignment horizontal="right"/>
    </xf>
    <xf numFmtId="179" fontId="17" fillId="0" borderId="9" xfId="1" applyNumberFormat="1" applyFont="1" applyFill="1" applyBorder="1" applyAlignment="1" applyProtection="1">
      <alignment horizontal="center"/>
    </xf>
    <xf numFmtId="169" fontId="17" fillId="0" borderId="15" xfId="13" applyNumberFormat="1" applyFont="1" applyFill="1" applyBorder="1" applyAlignment="1" applyProtection="1">
      <alignment horizontal="right"/>
    </xf>
    <xf numFmtId="179" fontId="17" fillId="0" borderId="10" xfId="1" applyNumberFormat="1" applyFont="1" applyBorder="1" applyAlignment="1" applyProtection="1"/>
    <xf numFmtId="179" fontId="17" fillId="0" borderId="6" xfId="1" applyNumberFormat="1" applyFont="1" applyBorder="1" applyAlignment="1" applyProtection="1"/>
    <xf numFmtId="169" fontId="17" fillId="0" borderId="13" xfId="157" applyNumberFormat="1" applyFont="1" applyBorder="1" applyProtection="1"/>
    <xf numFmtId="169" fontId="17" fillId="0" borderId="6" xfId="157" applyNumberFormat="1" applyFont="1" applyBorder="1" applyProtection="1"/>
    <xf numFmtId="169" fontId="73" fillId="0" borderId="9" xfId="157" applyNumberFormat="1" applyBorder="1" applyAlignment="1" applyProtection="1">
      <alignment horizontal="center"/>
    </xf>
    <xf numFmtId="168" fontId="17" fillId="0" borderId="1" xfId="157" applyNumberFormat="1" applyFont="1" applyFill="1" applyBorder="1" applyAlignment="1" applyProtection="1">
      <alignment horizontal="right"/>
    </xf>
    <xf numFmtId="181" fontId="73" fillId="0" borderId="0" xfId="157" applyNumberFormat="1" applyAlignment="1" applyProtection="1">
      <alignment horizontal="center"/>
    </xf>
    <xf numFmtId="0" fontId="12" fillId="0" borderId="0" xfId="75" applyFont="1" applyProtection="1">
      <protection locked="0"/>
    </xf>
    <xf numFmtId="37" fontId="17" fillId="0" borderId="11" xfId="16" applyNumberFormat="1" applyFont="1" applyFill="1" applyBorder="1" applyAlignment="1" applyProtection="1">
      <alignment horizontal="right"/>
    </xf>
    <xf numFmtId="169" fontId="17" fillId="0" borderId="9" xfId="75" applyNumberFormat="1" applyFont="1" applyBorder="1" applyProtection="1"/>
    <xf numFmtId="166" fontId="17" fillId="0" borderId="9" xfId="1" applyFont="1" applyBorder="1" applyProtection="1"/>
    <xf numFmtId="0" fontId="12" fillId="0" borderId="0" xfId="75" applyFill="1" applyProtection="1"/>
    <xf numFmtId="0" fontId="17" fillId="0" borderId="6" xfId="75" applyFont="1" applyFill="1" applyBorder="1" applyProtection="1"/>
    <xf numFmtId="179" fontId="17" fillId="0" borderId="4" xfId="1" applyNumberFormat="1" applyFont="1" applyFill="1" applyBorder="1" applyProtection="1"/>
    <xf numFmtId="179" fontId="17" fillId="0" borderId="14" xfId="1" applyNumberFormat="1" applyFont="1" applyBorder="1" applyProtection="1"/>
    <xf numFmtId="179" fontId="17" fillId="0" borderId="12" xfId="1" applyNumberFormat="1" applyFont="1" applyBorder="1" applyProtection="1"/>
    <xf numFmtId="179" fontId="12" fillId="0" borderId="0" xfId="1" applyNumberFormat="1" applyFill="1" applyBorder="1" applyProtection="1"/>
    <xf numFmtId="179" fontId="12" fillId="0" borderId="9" xfId="1" applyNumberFormat="1" applyBorder="1" applyProtection="1"/>
    <xf numFmtId="179" fontId="17" fillId="0" borderId="13" xfId="1" applyNumberFormat="1" applyFont="1" applyBorder="1" applyAlignment="1" applyProtection="1"/>
    <xf numFmtId="179" fontId="17" fillId="0" borderId="13" xfId="1" applyNumberFormat="1" applyFont="1" applyBorder="1" applyAlignment="1" applyProtection="1">
      <alignment horizontal="right"/>
    </xf>
    <xf numFmtId="179" fontId="17" fillId="0" borderId="12" xfId="1" applyNumberFormat="1" applyFont="1" applyBorder="1" applyAlignment="1" applyProtection="1">
      <alignment horizontal="right"/>
    </xf>
    <xf numFmtId="179" fontId="17" fillId="0" borderId="14" xfId="1" applyNumberFormat="1" applyFont="1" applyBorder="1" applyAlignment="1" applyProtection="1">
      <alignment horizontal="right"/>
    </xf>
    <xf numFmtId="179" fontId="17" fillId="0" borderId="6" xfId="1" applyNumberFormat="1" applyFont="1" applyBorder="1" applyAlignment="1" applyProtection="1">
      <alignment horizontal="right"/>
    </xf>
    <xf numFmtId="179" fontId="0" fillId="0" borderId="9" xfId="1" applyNumberFormat="1" applyFont="1" applyBorder="1" applyAlignment="1" applyProtection="1">
      <alignment horizontal="center"/>
    </xf>
    <xf numFmtId="181" fontId="0" fillId="0" borderId="0" xfId="0" applyAlignment="1" applyProtection="1">
      <alignment horizontal="center"/>
    </xf>
    <xf numFmtId="169" fontId="17" fillId="0" borderId="8" xfId="1" applyNumberFormat="1" applyFont="1" applyBorder="1" applyAlignment="1" applyProtection="1">
      <alignment horizontal="right"/>
    </xf>
    <xf numFmtId="179" fontId="12" fillId="0" borderId="0" xfId="1" applyNumberFormat="1" applyBorder="1" applyAlignment="1" applyProtection="1"/>
    <xf numFmtId="181" fontId="13" fillId="0" borderId="9" xfId="0" applyFont="1" applyFill="1" applyBorder="1" applyAlignment="1" applyProtection="1">
      <alignment horizontal="center"/>
      <protection locked="0"/>
    </xf>
    <xf numFmtId="181" fontId="12" fillId="0" borderId="0" xfId="0" applyFont="1" applyBorder="1" applyProtection="1">
      <protection locked="0"/>
    </xf>
    <xf numFmtId="181" fontId="13" fillId="0" borderId="4" xfId="0" applyFont="1" applyFill="1" applyBorder="1" applyAlignment="1" applyProtection="1">
      <alignment horizontal="center"/>
    </xf>
    <xf numFmtId="169" fontId="17" fillId="0" borderId="2" xfId="13" applyNumberFormat="1" applyFont="1" applyFill="1" applyBorder="1" applyProtection="1"/>
    <xf numFmtId="176" fontId="17" fillId="0" borderId="0" xfId="7" applyNumberFormat="1" applyFont="1" applyFill="1" applyProtection="1"/>
    <xf numFmtId="181" fontId="35" fillId="0" borderId="0" xfId="0" applyFont="1" applyFill="1" applyBorder="1" applyProtection="1"/>
    <xf numFmtId="181" fontId="17" fillId="0" borderId="0" xfId="0" applyFont="1" applyFill="1" applyBorder="1" applyAlignment="1" applyProtection="1">
      <alignment horizontal="right"/>
    </xf>
    <xf numFmtId="181" fontId="23" fillId="0" borderId="10" xfId="0" applyFont="1" applyFill="1" applyBorder="1" applyAlignment="1" applyProtection="1">
      <alignment horizontal="center"/>
    </xf>
    <xf numFmtId="181" fontId="17" fillId="0" borderId="0" xfId="0" applyFont="1" applyBorder="1" applyAlignment="1" applyProtection="1"/>
    <xf numFmtId="179" fontId="17" fillId="0" borderId="0" xfId="1" applyNumberFormat="1" applyFont="1" applyBorder="1" applyAlignment="1" applyProtection="1">
      <alignment horizontal="right"/>
    </xf>
    <xf numFmtId="37" fontId="17" fillId="0" borderId="15" xfId="75" applyNumberFormat="1" applyFont="1" applyBorder="1" applyProtection="1"/>
    <xf numFmtId="169" fontId="17" fillId="0" borderId="0" xfId="75" applyNumberFormat="1" applyFont="1" applyBorder="1" applyAlignment="1" applyProtection="1">
      <alignment horizontal="center"/>
    </xf>
    <xf numFmtId="37" fontId="17" fillId="0" borderId="0" xfId="0" applyNumberFormat="1" applyFont="1" applyBorder="1" applyAlignment="1" applyProtection="1">
      <alignment horizontal="right"/>
    </xf>
    <xf numFmtId="169" fontId="17" fillId="0" borderId="3" xfId="1" applyNumberFormat="1" applyFont="1" applyFill="1" applyBorder="1" applyAlignment="1" applyProtection="1">
      <alignment horizontal="right"/>
    </xf>
    <xf numFmtId="168" fontId="17" fillId="0" borderId="0" xfId="0" applyNumberFormat="1" applyFont="1" applyFill="1" applyBorder="1" applyAlignment="1" applyProtection="1"/>
    <xf numFmtId="181" fontId="0" fillId="0" borderId="11" xfId="0" applyBorder="1" applyProtection="1">
      <protection locked="0"/>
    </xf>
    <xf numFmtId="166" fontId="26" fillId="0" borderId="0" xfId="1" applyFont="1" applyBorder="1" applyProtection="1">
      <protection locked="0"/>
    </xf>
    <xf numFmtId="181" fontId="13" fillId="0" borderId="11" xfId="0" applyFont="1" applyFill="1" applyBorder="1" applyAlignment="1" applyProtection="1">
      <alignment horizontal="center"/>
    </xf>
    <xf numFmtId="2" fontId="0" fillId="0" borderId="0" xfId="0" applyNumberFormat="1" applyProtection="1"/>
    <xf numFmtId="2" fontId="0" fillId="0" borderId="0" xfId="1" applyNumberFormat="1" applyFont="1" applyProtection="1"/>
    <xf numFmtId="179" fontId="0" fillId="0" borderId="0" xfId="0" applyNumberFormat="1" applyProtection="1"/>
    <xf numFmtId="169" fontId="17" fillId="0" borderId="13" xfId="7" applyNumberFormat="1" applyFont="1" applyFill="1" applyBorder="1" applyAlignment="1" applyProtection="1">
      <alignment horizontal="right"/>
    </xf>
    <xf numFmtId="179" fontId="17" fillId="0" borderId="8" xfId="1" applyNumberFormat="1" applyFont="1" applyBorder="1" applyAlignment="1" applyProtection="1"/>
    <xf numFmtId="169" fontId="17" fillId="0" borderId="1" xfId="0" applyNumberFormat="1" applyFont="1" applyFill="1" applyBorder="1" applyProtection="1"/>
    <xf numFmtId="168" fontId="17" fillId="0" borderId="13" xfId="7" applyNumberFormat="1" applyFont="1" applyFill="1" applyBorder="1" applyAlignment="1" applyProtection="1">
      <alignment horizontal="right"/>
    </xf>
    <xf numFmtId="181" fontId="17" fillId="0" borderId="9" xfId="0" applyFont="1" applyFill="1" applyBorder="1" applyAlignment="1" applyProtection="1">
      <alignment horizontal="center"/>
    </xf>
    <xf numFmtId="169" fontId="17" fillId="0" borderId="0" xfId="1" applyNumberFormat="1" applyFont="1" applyBorder="1" applyProtection="1"/>
    <xf numFmtId="168" fontId="17" fillId="0" borderId="33" xfId="7" applyNumberFormat="1" applyFont="1" applyFill="1" applyBorder="1" applyAlignment="1" applyProtection="1">
      <alignment horizontal="right"/>
    </xf>
    <xf numFmtId="181" fontId="35" fillId="0" borderId="0" xfId="0" applyFont="1" applyFill="1" applyProtection="1"/>
    <xf numFmtId="179" fontId="17" fillId="0" borderId="9" xfId="1" applyNumberFormat="1" applyFont="1" applyBorder="1" applyAlignment="1" applyProtection="1"/>
    <xf numFmtId="167" fontId="17" fillId="0" borderId="15" xfId="1" applyNumberFormat="1" applyFont="1" applyFill="1" applyBorder="1" applyAlignment="1" applyProtection="1">
      <alignment horizontal="right"/>
    </xf>
    <xf numFmtId="37" fontId="17" fillId="0" borderId="46" xfId="1" applyNumberFormat="1" applyFont="1" applyFill="1" applyBorder="1" applyAlignment="1" applyProtection="1">
      <alignment horizontal="right"/>
    </xf>
    <xf numFmtId="169" fontId="17" fillId="0" borderId="3" xfId="1" applyNumberFormat="1" applyFont="1" applyFill="1" applyBorder="1" applyProtection="1"/>
    <xf numFmtId="169" fontId="17" fillId="0" borderId="7" xfId="0" applyNumberFormat="1" applyFont="1" applyBorder="1" applyProtection="1"/>
    <xf numFmtId="167" fontId="17" fillId="0" borderId="7" xfId="0" applyNumberFormat="1" applyFont="1" applyBorder="1" applyProtection="1"/>
    <xf numFmtId="187" fontId="17" fillId="0" borderId="0" xfId="1" applyNumberFormat="1" applyFont="1" applyProtection="1"/>
    <xf numFmtId="168" fontId="17" fillId="0" borderId="0" xfId="0" applyNumberFormat="1" applyFont="1" applyFill="1" applyBorder="1" applyAlignment="1" applyProtection="1">
      <alignment horizontal="right"/>
    </xf>
    <xf numFmtId="37" fontId="23" fillId="0" borderId="9" xfId="1" applyNumberFormat="1" applyFont="1" applyFill="1" applyBorder="1" applyAlignment="1" applyProtection="1">
      <alignment horizontal="right"/>
      <protection locked="0"/>
    </xf>
    <xf numFmtId="37" fontId="23" fillId="0" borderId="19"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left"/>
      <protection locked="0"/>
    </xf>
    <xf numFmtId="181" fontId="19" fillId="0" borderId="0" xfId="0" applyFont="1" applyProtection="1"/>
    <xf numFmtId="168" fontId="23" fillId="0" borderId="17" xfId="7" applyNumberFormat="1" applyFont="1" applyFill="1" applyBorder="1" applyAlignment="1" applyProtection="1">
      <alignment horizontal="right"/>
    </xf>
    <xf numFmtId="9" fontId="17" fillId="0" borderId="0" xfId="7" applyFont="1" applyProtection="1"/>
    <xf numFmtId="181" fontId="24" fillId="0" borderId="9" xfId="0" applyFont="1" applyFill="1" applyBorder="1" applyAlignment="1" applyProtection="1">
      <alignment horizontal="center"/>
    </xf>
    <xf numFmtId="170" fontId="17" fillId="0" borderId="11" xfId="1" applyNumberFormat="1" applyFont="1" applyFill="1" applyBorder="1" applyProtection="1"/>
    <xf numFmtId="37" fontId="23" fillId="0" borderId="19" xfId="1" applyNumberFormat="1" applyFont="1" applyFill="1" applyBorder="1" applyAlignment="1" applyProtection="1">
      <alignment horizontal="right"/>
    </xf>
    <xf numFmtId="37" fontId="23" fillId="0" borderId="17" xfId="1" applyNumberFormat="1" applyFont="1" applyFill="1" applyBorder="1" applyAlignment="1" applyProtection="1">
      <alignment horizontal="right"/>
    </xf>
    <xf numFmtId="37" fontId="23" fillId="0" borderId="18"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69" fontId="23" fillId="0" borderId="18" xfId="1" applyNumberFormat="1" applyFont="1" applyFill="1" applyBorder="1" applyAlignment="1" applyProtection="1">
      <alignment horizontal="right"/>
    </xf>
    <xf numFmtId="181" fontId="26" fillId="0" borderId="0" xfId="0" applyFont="1" applyBorder="1" applyProtection="1"/>
    <xf numFmtId="37" fontId="17" fillId="0" borderId="0" xfId="0" applyNumberFormat="1" applyFont="1" applyProtection="1"/>
    <xf numFmtId="37" fontId="17" fillId="0" borderId="0" xfId="7" applyNumberFormat="1" applyFont="1" applyFill="1" applyBorder="1" applyProtection="1">
      <protection locked="0"/>
    </xf>
    <xf numFmtId="181" fontId="14" fillId="0" borderId="0" xfId="0" applyFont="1" applyFill="1" applyAlignment="1" applyProtection="1">
      <alignment horizontal="left"/>
    </xf>
    <xf numFmtId="181" fontId="16" fillId="0" borderId="0" xfId="0" applyFont="1" applyFill="1" applyProtection="1"/>
    <xf numFmtId="181" fontId="19" fillId="0" borderId="0" xfId="0" applyFont="1" applyFill="1" applyProtection="1"/>
    <xf numFmtId="181" fontId="19" fillId="0" borderId="0" xfId="14" applyFont="1" applyFill="1" applyProtection="1"/>
    <xf numFmtId="181" fontId="17" fillId="0" borderId="0" xfId="14" applyFont="1" applyFill="1" applyProtection="1"/>
    <xf numFmtId="181" fontId="0" fillId="0" borderId="0" xfId="0" applyFill="1" applyAlignment="1" applyProtection="1">
      <alignment horizontal="left"/>
    </xf>
    <xf numFmtId="37" fontId="17" fillId="0" borderId="0" xfId="7" applyNumberFormat="1" applyFont="1" applyFill="1" applyBorder="1" applyProtection="1"/>
    <xf numFmtId="169" fontId="17" fillId="0" borderId="0" xfId="7" applyNumberFormat="1" applyFont="1" applyFill="1" applyBorder="1" applyProtection="1"/>
    <xf numFmtId="37" fontId="17" fillId="0" borderId="9" xfId="7" applyNumberFormat="1" applyFont="1" applyFill="1" applyBorder="1" applyProtection="1"/>
    <xf numFmtId="37" fontId="17" fillId="0" borderId="11" xfId="7" applyNumberFormat="1" applyFont="1" applyFill="1" applyBorder="1" applyProtection="1"/>
    <xf numFmtId="166" fontId="17" fillId="0" borderId="10" xfId="1" applyFont="1" applyFill="1" applyBorder="1" applyProtection="1"/>
    <xf numFmtId="166" fontId="17" fillId="0" borderId="0" xfId="1" applyFont="1" applyFill="1" applyBorder="1" applyAlignment="1" applyProtection="1"/>
    <xf numFmtId="166" fontId="17" fillId="0" borderId="10" xfId="1" applyFont="1" applyFill="1" applyBorder="1" applyAlignment="1" applyProtection="1">
      <alignment horizontal="right"/>
    </xf>
    <xf numFmtId="166" fontId="17" fillId="0" borderId="9" xfId="1" applyFont="1" applyFill="1" applyBorder="1" applyAlignment="1" applyProtection="1">
      <alignment horizontal="right"/>
    </xf>
    <xf numFmtId="166" fontId="12" fillId="0" borderId="0" xfId="1" applyFont="1" applyProtection="1">
      <protection locked="0"/>
    </xf>
    <xf numFmtId="166" fontId="0" fillId="0" borderId="0" xfId="1" applyFont="1" applyProtection="1"/>
    <xf numFmtId="169" fontId="17" fillId="0" borderId="13" xfId="76" applyNumberFormat="1" applyFont="1" applyFill="1" applyBorder="1" applyProtection="1"/>
    <xf numFmtId="166" fontId="17" fillId="0" borderId="0" xfId="1" applyFont="1" applyBorder="1" applyProtection="1"/>
    <xf numFmtId="170" fontId="17" fillId="0" borderId="0" xfId="0" applyNumberFormat="1" applyFont="1" applyFill="1" applyBorder="1" applyAlignment="1" applyProtection="1">
      <protection locked="0"/>
    </xf>
    <xf numFmtId="168" fontId="17" fillId="0" borderId="0" xfId="7" applyNumberFormat="1" applyFont="1" applyFill="1" applyBorder="1" applyAlignment="1" applyProtection="1">
      <protection locked="0"/>
    </xf>
    <xf numFmtId="168" fontId="17" fillId="0" borderId="0" xfId="7" applyNumberFormat="1" applyFont="1" applyFill="1" applyBorder="1" applyAlignment="1" applyProtection="1"/>
    <xf numFmtId="181" fontId="17" fillId="0" borderId="6" xfId="0" applyFont="1" applyFill="1" applyBorder="1" applyAlignment="1" applyProtection="1">
      <protection locked="0"/>
    </xf>
    <xf numFmtId="166" fontId="17" fillId="0" borderId="0" xfId="1" applyFont="1" applyFill="1" applyBorder="1" applyProtection="1">
      <protection locked="0"/>
    </xf>
    <xf numFmtId="166" fontId="22" fillId="0" borderId="10" xfId="1" applyFont="1" applyFill="1" applyBorder="1" applyProtection="1">
      <protection locked="0"/>
    </xf>
    <xf numFmtId="37" fontId="17" fillId="0" borderId="9" xfId="7" applyNumberFormat="1" applyFont="1" applyFill="1" applyBorder="1" applyAlignment="1" applyProtection="1">
      <alignment horizontal="right"/>
    </xf>
    <xf numFmtId="167" fontId="17" fillId="0" borderId="15" xfId="13" applyNumberFormat="1" applyFont="1" applyFill="1" applyBorder="1" applyProtection="1"/>
    <xf numFmtId="167" fontId="17" fillId="0" borderId="15" xfId="13" applyNumberFormat="1" applyFont="1" applyFill="1" applyBorder="1" applyAlignment="1" applyProtection="1">
      <alignment horizontal="right"/>
    </xf>
    <xf numFmtId="167" fontId="17" fillId="0" borderId="18" xfId="13" applyNumberFormat="1" applyFont="1" applyFill="1" applyBorder="1" applyAlignment="1" applyProtection="1">
      <alignment horizontal="right"/>
    </xf>
    <xf numFmtId="167" fontId="17" fillId="0" borderId="8" xfId="13" applyNumberFormat="1" applyFont="1" applyFill="1" applyBorder="1" applyProtection="1"/>
    <xf numFmtId="167" fontId="17" fillId="0" borderId="9" xfId="16" applyNumberFormat="1" applyFont="1" applyFill="1" applyBorder="1" applyAlignment="1" applyProtection="1">
      <alignment horizontal="right"/>
    </xf>
    <xf numFmtId="37" fontId="17" fillId="0" borderId="9" xfId="16" applyNumberFormat="1" applyFont="1" applyFill="1" applyBorder="1" applyAlignment="1" applyProtection="1">
      <alignment horizontal="right"/>
    </xf>
    <xf numFmtId="37" fontId="17" fillId="0" borderId="15" xfId="13" applyNumberFormat="1" applyFont="1" applyFill="1" applyBorder="1" applyProtection="1"/>
    <xf numFmtId="37" fontId="17" fillId="0" borderId="7" xfId="75" applyNumberFormat="1" applyFont="1" applyBorder="1" applyProtection="1"/>
    <xf numFmtId="181" fontId="17" fillId="0" borderId="10" xfId="0" applyFont="1" applyBorder="1" applyAlignment="1" applyProtection="1">
      <alignment horizontal="center"/>
    </xf>
    <xf numFmtId="169" fontId="17" fillId="0" borderId="12" xfId="7" applyNumberFormat="1" applyFont="1" applyFill="1" applyBorder="1" applyAlignment="1" applyProtection="1">
      <alignment horizontal="right"/>
    </xf>
    <xf numFmtId="169" fontId="17" fillId="0" borderId="16" xfId="1" applyNumberFormat="1" applyFont="1" applyFill="1" applyBorder="1" applyAlignment="1" applyProtection="1">
      <alignment horizontal="right"/>
    </xf>
    <xf numFmtId="37" fontId="17" fillId="0" borderId="15" xfId="7" applyNumberFormat="1" applyFont="1" applyFill="1" applyBorder="1" applyAlignment="1" applyProtection="1">
      <alignment horizontal="right"/>
    </xf>
    <xf numFmtId="2" fontId="22" fillId="0" borderId="0" xfId="0" applyNumberFormat="1" applyFont="1" applyFill="1" applyBorder="1" applyProtection="1">
      <protection locked="0"/>
    </xf>
    <xf numFmtId="171" fontId="0" fillId="0" borderId="0" xfId="7" applyNumberFormat="1" applyFont="1" applyFill="1" applyProtection="1"/>
    <xf numFmtId="166" fontId="13" fillId="0" borderId="10" xfId="1" applyFont="1" applyFill="1" applyBorder="1" applyAlignment="1" applyProtection="1">
      <alignment horizontal="right"/>
    </xf>
    <xf numFmtId="181" fontId="23" fillId="0" borderId="5" xfId="0" applyFont="1" applyFill="1" applyBorder="1" applyAlignment="1" applyProtection="1">
      <alignment horizontal="center"/>
      <protection locked="0"/>
    </xf>
    <xf numFmtId="179" fontId="22" fillId="0" borderId="0" xfId="1" applyNumberFormat="1" applyFont="1" applyFill="1" applyBorder="1" applyProtection="1">
      <protection locked="0"/>
    </xf>
    <xf numFmtId="166" fontId="17" fillId="0" borderId="0" xfId="1" applyFont="1" applyFill="1" applyBorder="1" applyAlignment="1" applyProtection="1">
      <alignment horizontal="right"/>
      <protection locked="0"/>
    </xf>
    <xf numFmtId="0" fontId="17" fillId="0" borderId="0" xfId="16" applyNumberFormat="1" applyFont="1" applyFill="1" applyBorder="1" applyAlignment="1" applyProtection="1">
      <alignment horizontal="right"/>
      <protection locked="0"/>
    </xf>
    <xf numFmtId="0" fontId="17" fillId="0" borderId="6" xfId="75" applyFont="1" applyFill="1" applyBorder="1" applyProtection="1">
      <protection locked="0"/>
    </xf>
    <xf numFmtId="166" fontId="13" fillId="0" borderId="0" xfId="1" applyFont="1" applyFill="1" applyBorder="1" applyAlignment="1" applyProtection="1">
      <alignment horizontal="right"/>
      <protection locked="0"/>
    </xf>
    <xf numFmtId="169" fontId="22" fillId="0" borderId="0" xfId="1" applyNumberFormat="1" applyFont="1" applyFill="1" applyBorder="1" applyAlignment="1" applyProtection="1">
      <alignment horizontal="right"/>
      <protection locked="0"/>
    </xf>
    <xf numFmtId="2" fontId="22" fillId="0" borderId="10" xfId="0" applyNumberFormat="1" applyFont="1" applyFill="1" applyBorder="1" applyProtection="1"/>
    <xf numFmtId="179" fontId="17" fillId="0" borderId="10" xfId="1" applyNumberFormat="1" applyFont="1" applyFill="1" applyBorder="1" applyAlignment="1" applyProtection="1">
      <alignment horizontal="center"/>
    </xf>
    <xf numFmtId="168" fontId="17" fillId="0" borderId="10" xfId="7" applyNumberFormat="1" applyFont="1" applyFill="1" applyBorder="1" applyAlignment="1" applyProtection="1"/>
    <xf numFmtId="181" fontId="17" fillId="0" borderId="6" xfId="0" applyFont="1" applyFill="1" applyBorder="1" applyAlignment="1" applyProtection="1"/>
    <xf numFmtId="166" fontId="0" fillId="0" borderId="10" xfId="1" applyFont="1" applyBorder="1" applyProtection="1">
      <protection locked="0"/>
    </xf>
    <xf numFmtId="181" fontId="24" fillId="0" borderId="11" xfId="0" applyFont="1" applyFill="1" applyBorder="1" applyAlignment="1" applyProtection="1">
      <alignment horizontal="center"/>
    </xf>
    <xf numFmtId="181" fontId="23" fillId="0" borderId="0" xfId="0" applyFont="1" applyAlignment="1" applyProtection="1">
      <alignment wrapText="1"/>
    </xf>
    <xf numFmtId="181" fontId="24" fillId="0" borderId="10" xfId="0" applyFont="1" applyFill="1" applyBorder="1" applyAlignment="1" applyProtection="1">
      <alignment horizontal="center"/>
    </xf>
    <xf numFmtId="2" fontId="115" fillId="0" borderId="0" xfId="0" applyNumberFormat="1" applyFont="1" applyFill="1" applyBorder="1" applyProtection="1"/>
    <xf numFmtId="181" fontId="17" fillId="0" borderId="10" xfId="0" applyFont="1" applyBorder="1" applyProtection="1">
      <protection locked="0"/>
    </xf>
    <xf numFmtId="181" fontId="26" fillId="0" borderId="10" xfId="0" applyFont="1" applyBorder="1" applyProtection="1">
      <protection locked="0"/>
    </xf>
    <xf numFmtId="166" fontId="17" fillId="0" borderId="11" xfId="1" applyFont="1" applyFill="1" applyBorder="1" applyProtection="1"/>
    <xf numFmtId="179" fontId="17" fillId="0" borderId="10" xfId="1" applyNumberFormat="1" applyFont="1" applyFill="1" applyBorder="1" applyAlignment="1" applyProtection="1">
      <alignment horizontal="right"/>
      <protection locked="0"/>
    </xf>
    <xf numFmtId="37" fontId="12" fillId="0" borderId="0" xfId="75" applyNumberFormat="1" applyBorder="1" applyProtection="1">
      <protection locked="0"/>
    </xf>
    <xf numFmtId="0" fontId="12" fillId="0" borderId="0" xfId="75" applyFill="1" applyProtection="1">
      <protection locked="0"/>
    </xf>
    <xf numFmtId="0" fontId="12" fillId="0" borderId="10" xfId="75" applyBorder="1" applyProtection="1">
      <protection locked="0"/>
    </xf>
    <xf numFmtId="0" fontId="42" fillId="0" borderId="10" xfId="75" applyFont="1" applyBorder="1" applyProtection="1">
      <protection locked="0"/>
    </xf>
    <xf numFmtId="0" fontId="26" fillId="0" borderId="10" xfId="75" applyFont="1" applyBorder="1" applyProtection="1">
      <protection locked="0"/>
    </xf>
    <xf numFmtId="181" fontId="73" fillId="0" borderId="0" xfId="157" applyNumberFormat="1" applyProtection="1">
      <protection locked="0"/>
    </xf>
    <xf numFmtId="169" fontId="17" fillId="0" borderId="1" xfId="157" applyNumberFormat="1" applyFont="1" applyFill="1" applyBorder="1" applyProtection="1"/>
    <xf numFmtId="0" fontId="12" fillId="0" borderId="10" xfId="75" applyFill="1" applyBorder="1" applyProtection="1">
      <protection locked="0"/>
    </xf>
    <xf numFmtId="0" fontId="12" fillId="0" borderId="10" xfId="75" applyFont="1" applyFill="1" applyBorder="1" applyProtection="1">
      <protection locked="0"/>
    </xf>
    <xf numFmtId="0" fontId="12" fillId="0" borderId="0" xfId="75" applyFont="1" applyFill="1" applyBorder="1" applyProtection="1">
      <protection locked="0"/>
    </xf>
    <xf numFmtId="166" fontId="22" fillId="0" borderId="0" xfId="1" applyFont="1" applyFill="1" applyBorder="1" applyProtection="1"/>
    <xf numFmtId="166" fontId="17" fillId="0" borderId="5" xfId="1" applyFont="1" applyFill="1" applyBorder="1" applyProtection="1"/>
    <xf numFmtId="167" fontId="17" fillId="0" borderId="12" xfId="13" applyNumberFormat="1" applyFont="1" applyFill="1" applyBorder="1" applyAlignment="1" applyProtection="1">
      <alignment horizontal="right"/>
      <protection locked="0"/>
    </xf>
    <xf numFmtId="179" fontId="17" fillId="0" borderId="16" xfId="1" applyNumberFormat="1" applyFont="1" applyFill="1" applyBorder="1" applyAlignment="1" applyProtection="1">
      <alignment horizontal="right"/>
      <protection locked="0"/>
    </xf>
    <xf numFmtId="0" fontId="23" fillId="0" borderId="0" xfId="75" applyFont="1" applyAlignment="1" applyProtection="1">
      <alignment wrapText="1"/>
    </xf>
    <xf numFmtId="181" fontId="12" fillId="0" borderId="10" xfId="0" applyFont="1" applyBorder="1" applyAlignment="1">
      <alignment horizontal="left" indent="2"/>
    </xf>
    <xf numFmtId="37" fontId="17" fillId="0" borderId="10" xfId="16" applyNumberFormat="1" applyFont="1" applyFill="1" applyBorder="1" applyAlignment="1" applyProtection="1">
      <alignment horizontal="right"/>
    </xf>
    <xf numFmtId="37" fontId="17" fillId="0" borderId="5" xfId="16" applyNumberFormat="1" applyFont="1" applyFill="1" applyBorder="1" applyAlignment="1" applyProtection="1">
      <alignment horizontal="right"/>
    </xf>
    <xf numFmtId="179" fontId="12" fillId="0" borderId="0" xfId="1" applyNumberFormat="1" applyBorder="1" applyProtection="1"/>
    <xf numFmtId="181" fontId="12" fillId="0" borderId="0" xfId="0" applyFont="1" applyBorder="1" applyProtection="1"/>
    <xf numFmtId="166" fontId="17" fillId="0" borderId="6" xfId="1" applyFont="1" applyFill="1" applyBorder="1" applyProtection="1"/>
    <xf numFmtId="168" fontId="17" fillId="0" borderId="11" xfId="16" applyNumberFormat="1" applyFont="1" applyFill="1" applyBorder="1" applyAlignment="1" applyProtection="1">
      <alignment horizontal="right"/>
      <protection locked="0"/>
    </xf>
    <xf numFmtId="181" fontId="14" fillId="0" borderId="0" xfId="77" applyFont="1" applyFill="1" applyProtection="1"/>
    <xf numFmtId="179" fontId="17" fillId="0" borderId="5" xfId="1" applyNumberFormat="1" applyFont="1" applyFill="1" applyBorder="1" applyProtection="1">
      <protection locked="0"/>
    </xf>
    <xf numFmtId="174" fontId="17" fillId="0" borderId="0" xfId="0" applyNumberFormat="1" applyFont="1" applyFill="1" applyBorder="1" applyProtection="1"/>
    <xf numFmtId="174" fontId="17" fillId="0" borderId="11" xfId="0" applyNumberFormat="1" applyFont="1" applyFill="1" applyBorder="1" applyProtection="1"/>
    <xf numFmtId="174" fontId="17" fillId="0" borderId="0" xfId="0" applyNumberFormat="1" applyFont="1" applyProtection="1"/>
    <xf numFmtId="174" fontId="17" fillId="0" borderId="9" xfId="1" applyNumberFormat="1" applyFont="1" applyFill="1" applyBorder="1" applyAlignment="1" applyProtection="1">
      <alignment horizontal="right"/>
    </xf>
    <xf numFmtId="166" fontId="17" fillId="0" borderId="3" xfId="1" applyFont="1" applyFill="1" applyBorder="1" applyAlignment="1" applyProtection="1">
      <alignment horizontal="right"/>
      <protection locked="0"/>
    </xf>
    <xf numFmtId="181" fontId="14" fillId="0" borderId="0" xfId="0" applyFont="1" applyFill="1" applyProtection="1"/>
    <xf numFmtId="181" fontId="17" fillId="0" borderId="5" xfId="0" applyFont="1" applyFill="1" applyBorder="1" applyProtection="1"/>
    <xf numFmtId="181" fontId="17" fillId="0" borderId="1" xfId="0" applyFont="1" applyFill="1" applyBorder="1" applyProtection="1"/>
    <xf numFmtId="0" fontId="17" fillId="0" borderId="0" xfId="75" applyFont="1" applyFill="1" applyBorder="1" applyAlignment="1" applyProtection="1"/>
    <xf numFmtId="37" fontId="17" fillId="0" borderId="5" xfId="0" applyNumberFormat="1" applyFont="1" applyBorder="1" applyProtection="1"/>
    <xf numFmtId="179" fontId="17" fillId="0" borderId="10" xfId="1" applyNumberFormat="1" applyFont="1" applyFill="1" applyBorder="1" applyAlignment="1" applyProtection="1"/>
    <xf numFmtId="0" fontId="17" fillId="0" borderId="0" xfId="75" applyFont="1" applyFill="1" applyBorder="1" applyAlignment="1" applyProtection="1">
      <alignment wrapText="1"/>
    </xf>
    <xf numFmtId="181" fontId="12" fillId="0" borderId="10" xfId="0" applyFont="1" applyFill="1" applyBorder="1" applyAlignment="1">
      <alignment horizontal="left" indent="2"/>
    </xf>
    <xf numFmtId="185" fontId="36" fillId="0" borderId="0" xfId="0" applyNumberFormat="1" applyFont="1" applyFill="1" applyAlignment="1">
      <alignment horizontal="center" vertical="center"/>
    </xf>
    <xf numFmtId="181" fontId="37" fillId="0" borderId="0" xfId="0" applyFont="1" applyFill="1"/>
    <xf numFmtId="181" fontId="113" fillId="0" borderId="0" xfId="0" applyFont="1" applyFill="1" applyAlignment="1"/>
    <xf numFmtId="181" fontId="112" fillId="0" borderId="0" xfId="0" applyFont="1" applyFill="1" applyAlignment="1"/>
    <xf numFmtId="181" fontId="14" fillId="0" borderId="0" xfId="0" applyFont="1" applyFill="1"/>
    <xf numFmtId="181" fontId="23" fillId="0" borderId="0" xfId="0" applyFont="1" applyAlignment="1" applyProtection="1">
      <alignment wrapText="1"/>
    </xf>
    <xf numFmtId="179" fontId="17" fillId="0" borderId="8" xfId="1" applyNumberFormat="1" applyFont="1" applyFill="1" applyBorder="1" applyAlignment="1" applyProtection="1">
      <alignment horizontal="center"/>
    </xf>
    <xf numFmtId="181" fontId="23" fillId="0" borderId="11" xfId="0" applyFont="1" applyBorder="1" applyProtection="1"/>
    <xf numFmtId="179" fontId="17" fillId="0" borderId="12" xfId="1" applyNumberFormat="1" applyFont="1" applyFill="1" applyBorder="1" applyProtection="1">
      <protection locked="0"/>
    </xf>
    <xf numFmtId="166" fontId="117" fillId="0" borderId="0" xfId="1" applyFont="1" applyAlignment="1">
      <alignment vertical="center"/>
    </xf>
    <xf numFmtId="166" fontId="48" fillId="0" borderId="29" xfId="1" applyFont="1" applyBorder="1" applyAlignment="1">
      <alignment horizontal="center" vertical="center"/>
    </xf>
    <xf numFmtId="166" fontId="49" fillId="0" borderId="22" xfId="1" applyFont="1" applyBorder="1" applyAlignment="1">
      <alignment vertical="center"/>
    </xf>
    <xf numFmtId="166" fontId="49" fillId="0" borderId="20" xfId="1" applyFont="1" applyBorder="1" applyAlignment="1">
      <alignment vertical="center"/>
    </xf>
    <xf numFmtId="166" fontId="119" fillId="0" borderId="20" xfId="1" applyFont="1" applyBorder="1" applyAlignment="1">
      <alignment vertical="center" wrapText="1"/>
    </xf>
    <xf numFmtId="166" fontId="49" fillId="0" borderId="20" xfId="1" applyFont="1" applyBorder="1" applyAlignment="1">
      <alignment horizontal="left" vertical="center" indent="1"/>
    </xf>
    <xf numFmtId="166" fontId="119" fillId="0" borderId="20" xfId="1" applyFont="1" applyBorder="1" applyAlignment="1">
      <alignment horizontal="left" vertical="center" indent="1"/>
    </xf>
    <xf numFmtId="166" fontId="49" fillId="0" borderId="20" xfId="1" applyFont="1" applyBorder="1" applyAlignment="1">
      <alignment horizontal="left" vertical="center" indent="3"/>
    </xf>
    <xf numFmtId="166" fontId="121" fillId="0" borderId="0" xfId="1" applyFont="1" applyAlignment="1">
      <alignment vertical="center"/>
    </xf>
    <xf numFmtId="179" fontId="48" fillId="0" borderId="24" xfId="1" applyNumberFormat="1" applyFont="1" applyBorder="1" applyAlignment="1">
      <alignment horizontal="right" vertical="center"/>
    </xf>
    <xf numFmtId="179" fontId="49" fillId="0" borderId="24" xfId="1" applyNumberFormat="1" applyFont="1" applyBorder="1" applyAlignment="1">
      <alignment horizontal="right" vertical="center"/>
    </xf>
    <xf numFmtId="166" fontId="122" fillId="0" borderId="0" xfId="1" applyFont="1" applyAlignment="1">
      <alignment vertical="center"/>
    </xf>
    <xf numFmtId="168" fontId="125" fillId="0" borderId="57" xfId="7" applyNumberFormat="1" applyFont="1" applyBorder="1" applyAlignment="1">
      <alignment horizontal="right" vertical="center" wrapText="1"/>
    </xf>
    <xf numFmtId="179" fontId="48" fillId="0" borderId="0" xfId="1" applyNumberFormat="1" applyFont="1" applyBorder="1" applyAlignment="1">
      <alignment horizontal="right" vertical="center"/>
    </xf>
    <xf numFmtId="168" fontId="125" fillId="0" borderId="0" xfId="7" applyNumberFormat="1" applyFont="1" applyBorder="1" applyAlignment="1">
      <alignment horizontal="right" vertical="center" wrapText="1"/>
    </xf>
    <xf numFmtId="166" fontId="49" fillId="0" borderId="0" xfId="1" applyFont="1" applyBorder="1" applyAlignment="1">
      <alignment horizontal="right" vertical="center"/>
    </xf>
    <xf numFmtId="168" fontId="125" fillId="0" borderId="24" xfId="7" applyNumberFormat="1" applyFont="1" applyBorder="1" applyAlignment="1">
      <alignment horizontal="right" vertical="center" wrapText="1"/>
    </xf>
    <xf numFmtId="166" fontId="49" fillId="0" borderId="29" xfId="1" applyFont="1" applyBorder="1" applyAlignment="1">
      <alignment vertical="center"/>
    </xf>
    <xf numFmtId="179" fontId="48" fillId="0" borderId="27" xfId="1" applyNumberFormat="1" applyFont="1" applyBorder="1" applyAlignment="1">
      <alignment horizontal="right" vertical="center"/>
    </xf>
    <xf numFmtId="9" fontId="48" fillId="0" borderId="24" xfId="7" applyFont="1" applyBorder="1" applyAlignment="1">
      <alignment horizontal="right" vertical="center" wrapText="1"/>
    </xf>
    <xf numFmtId="9" fontId="49" fillId="0" borderId="24" xfId="7" applyFont="1" applyBorder="1" applyAlignment="1">
      <alignment horizontal="right" vertical="center" wrapText="1"/>
    </xf>
    <xf numFmtId="171" fontId="48" fillId="0" borderId="0" xfId="7" applyNumberFormat="1" applyFont="1" applyAlignment="1">
      <alignment horizontal="right" vertical="center" wrapText="1"/>
    </xf>
    <xf numFmtId="171" fontId="48" fillId="0" borderId="24" xfId="7" applyNumberFormat="1" applyFont="1" applyBorder="1" applyAlignment="1">
      <alignment horizontal="right" vertical="center" wrapText="1"/>
    </xf>
    <xf numFmtId="166" fontId="49" fillId="0" borderId="63" xfId="1" applyFont="1" applyBorder="1" applyAlignment="1">
      <alignment vertical="center"/>
    </xf>
    <xf numFmtId="166" fontId="12" fillId="0" borderId="0" xfId="1" applyFont="1"/>
    <xf numFmtId="191" fontId="49" fillId="0" borderId="0" xfId="1" applyNumberFormat="1" applyFont="1"/>
    <xf numFmtId="171" fontId="48" fillId="0" borderId="0" xfId="7" applyNumberFormat="1" applyFont="1" applyAlignment="1">
      <alignment horizontal="right" vertical="center"/>
    </xf>
    <xf numFmtId="49" fontId="48" fillId="0" borderId="27" xfId="1" applyNumberFormat="1" applyFont="1" applyBorder="1" applyAlignment="1">
      <alignment horizontal="center" vertical="center"/>
    </xf>
    <xf numFmtId="49" fontId="0" fillId="0" borderId="27" xfId="1" applyNumberFormat="1" applyFont="1" applyBorder="1"/>
    <xf numFmtId="49" fontId="0" fillId="0" borderId="0" xfId="1" applyNumberFormat="1" applyFont="1"/>
    <xf numFmtId="179" fontId="48" fillId="0" borderId="0" xfId="1" applyNumberFormat="1" applyFont="1" applyAlignment="1">
      <alignment horizontal="right" vertical="center"/>
    </xf>
    <xf numFmtId="179" fontId="49" fillId="0" borderId="0" xfId="1" applyNumberFormat="1" applyFont="1" applyAlignment="1">
      <alignment horizontal="right" vertical="center" wrapText="1"/>
    </xf>
    <xf numFmtId="179" fontId="48" fillId="0" borderId="57" xfId="1" applyNumberFormat="1" applyFont="1" applyBorder="1" applyAlignment="1">
      <alignment horizontal="right" vertical="center"/>
    </xf>
    <xf numFmtId="179" fontId="49" fillId="0" borderId="57" xfId="1" applyNumberFormat="1" applyFont="1" applyBorder="1" applyAlignment="1">
      <alignment horizontal="right" vertical="center"/>
    </xf>
    <xf numFmtId="166" fontId="49" fillId="0" borderId="68" xfId="1" applyFont="1" applyBorder="1" applyAlignment="1">
      <alignment vertical="center"/>
    </xf>
    <xf numFmtId="179" fontId="49" fillId="0" borderId="0" xfId="1" applyNumberFormat="1" applyFont="1" applyAlignment="1">
      <alignment horizontal="right" vertical="center"/>
    </xf>
    <xf numFmtId="179" fontId="48" fillId="0" borderId="0" xfId="1" applyNumberFormat="1" applyFont="1" applyAlignment="1">
      <alignment horizontal="right" vertical="center" wrapText="1"/>
    </xf>
    <xf numFmtId="168" fontId="125" fillId="0" borderId="27" xfId="7" applyNumberFormat="1" applyFont="1" applyBorder="1" applyAlignment="1">
      <alignment horizontal="right" vertical="center" wrapText="1"/>
    </xf>
    <xf numFmtId="10" fontId="48" fillId="0" borderId="24" xfId="7" applyNumberFormat="1" applyFont="1" applyBorder="1" applyAlignment="1">
      <alignment horizontal="right" vertical="center" wrapText="1"/>
    </xf>
    <xf numFmtId="191" fontId="49" fillId="0" borderId="24" xfId="1" applyNumberFormat="1" applyFont="1" applyBorder="1"/>
    <xf numFmtId="168" fontId="22" fillId="0" borderId="11" xfId="7" applyNumberFormat="1" applyFont="1" applyFill="1" applyBorder="1" applyAlignment="1" applyProtection="1">
      <alignment horizontal="center"/>
    </xf>
    <xf numFmtId="168" fontId="121" fillId="0" borderId="0" xfId="7" applyNumberFormat="1" applyFont="1" applyAlignment="1">
      <alignment horizontal="right" vertical="center" wrapText="1"/>
    </xf>
    <xf numFmtId="168" fontId="49" fillId="0" borderId="0" xfId="7" applyNumberFormat="1" applyFont="1" applyAlignment="1">
      <alignment horizontal="right" vertical="center"/>
    </xf>
    <xf numFmtId="168" fontId="49" fillId="0" borderId="27" xfId="7" applyNumberFormat="1" applyFont="1" applyBorder="1" applyAlignment="1">
      <alignment horizontal="right" vertical="center"/>
    </xf>
    <xf numFmtId="168" fontId="49" fillId="0" borderId="0" xfId="7" applyNumberFormat="1" applyFont="1" applyAlignment="1">
      <alignment horizontal="right" vertical="center" wrapText="1"/>
    </xf>
    <xf numFmtId="168" fontId="49" fillId="0" borderId="24" xfId="7" applyNumberFormat="1" applyFont="1" applyBorder="1" applyAlignment="1">
      <alignment horizontal="right" vertical="center" wrapText="1"/>
    </xf>
    <xf numFmtId="168" fontId="49" fillId="0" borderId="24" xfId="7" applyNumberFormat="1" applyFont="1" applyBorder="1" applyAlignment="1">
      <alignment horizontal="right" vertical="center"/>
    </xf>
    <xf numFmtId="166" fontId="119" fillId="0" borderId="20" xfId="1" applyFont="1" applyBorder="1" applyAlignment="1">
      <alignment horizontal="left" vertical="center" wrapText="1" indent="1"/>
    </xf>
    <xf numFmtId="191" fontId="49" fillId="0" borderId="0" xfId="1" applyNumberFormat="1" applyFont="1" applyAlignment="1">
      <alignment horizontal="right"/>
    </xf>
    <xf numFmtId="191" fontId="49" fillId="0" borderId="24" xfId="1" applyNumberFormat="1" applyFont="1" applyBorder="1" applyAlignment="1">
      <alignment horizontal="right"/>
    </xf>
    <xf numFmtId="179" fontId="48" fillId="0" borderId="24" xfId="1" applyNumberFormat="1" applyFont="1" applyBorder="1" applyAlignment="1">
      <alignment horizontal="right" vertical="center" wrapText="1"/>
    </xf>
    <xf numFmtId="168" fontId="121" fillId="0" borderId="24" xfId="7" applyNumberFormat="1" applyFont="1" applyBorder="1" applyAlignment="1">
      <alignment horizontal="right" vertical="center" wrapText="1"/>
    </xf>
    <xf numFmtId="168" fontId="121" fillId="0" borderId="0" xfId="7" applyNumberFormat="1" applyFont="1" applyBorder="1" applyAlignment="1">
      <alignment horizontal="right" vertical="center" wrapText="1"/>
    </xf>
    <xf numFmtId="179" fontId="17" fillId="0" borderId="0" xfId="16" applyNumberFormat="1" applyFont="1" applyFill="1" applyBorder="1" applyAlignment="1" applyProtection="1">
      <alignment horizontal="right"/>
    </xf>
    <xf numFmtId="166" fontId="26" fillId="0" borderId="0" xfId="1" applyFont="1" applyProtection="1">
      <protection locked="0"/>
    </xf>
    <xf numFmtId="181" fontId="23" fillId="0" borderId="7" xfId="0" applyFont="1" applyFill="1" applyBorder="1" applyAlignment="1" applyProtection="1">
      <alignment horizontal="left"/>
    </xf>
    <xf numFmtId="181" fontId="23" fillId="0" borderId="7" xfId="0" applyFont="1" applyFill="1" applyBorder="1" applyAlignment="1" applyProtection="1">
      <alignment horizontal="centerContinuous"/>
    </xf>
    <xf numFmtId="37" fontId="17" fillId="0" borderId="9" xfId="13" applyNumberFormat="1" applyFont="1" applyFill="1" applyBorder="1" applyProtection="1"/>
    <xf numFmtId="166" fontId="15" fillId="0" borderId="0" xfId="1" applyFont="1" applyFill="1" applyBorder="1" applyAlignment="1" applyProtection="1">
      <alignment horizontal="left"/>
      <protection locked="0"/>
    </xf>
    <xf numFmtId="192" fontId="17" fillId="0" borderId="0" xfId="0" applyNumberFormat="1" applyFont="1" applyFill="1" applyBorder="1" applyProtection="1">
      <protection locked="0"/>
    </xf>
    <xf numFmtId="166" fontId="0" fillId="0" borderId="0" xfId="1" applyNumberFormat="1" applyFont="1"/>
    <xf numFmtId="168" fontId="17" fillId="0" borderId="9" xfId="7" applyNumberFormat="1" applyFont="1" applyFill="1" applyBorder="1" applyAlignment="1" applyProtection="1">
      <alignment horizontal="right"/>
    </xf>
    <xf numFmtId="170" fontId="22" fillId="0" borderId="10" xfId="0" applyNumberFormat="1" applyFont="1" applyFill="1" applyBorder="1" applyAlignment="1" applyProtection="1">
      <alignment horizontal="right"/>
    </xf>
    <xf numFmtId="179" fontId="17" fillId="0" borderId="10" xfId="1" applyNumberFormat="1" applyFont="1" applyFill="1" applyBorder="1" applyProtection="1">
      <protection locked="0"/>
    </xf>
    <xf numFmtId="179" fontId="17" fillId="0" borderId="12" xfId="1" applyNumberFormat="1" applyFont="1" applyFill="1" applyBorder="1" applyAlignment="1" applyProtection="1">
      <alignment horizontal="right"/>
      <protection locked="0"/>
    </xf>
    <xf numFmtId="166" fontId="124" fillId="0" borderId="29" xfId="1" applyFont="1" applyFill="1" applyBorder="1" applyAlignment="1">
      <alignment horizontal="center" vertical="center"/>
    </xf>
    <xf numFmtId="166" fontId="125" fillId="0" borderId="22" xfId="1" applyFont="1" applyFill="1" applyBorder="1" applyAlignment="1">
      <alignment vertical="center" wrapText="1"/>
    </xf>
    <xf numFmtId="49" fontId="48" fillId="0" borderId="24" xfId="1" applyNumberFormat="1" applyFont="1" applyFill="1" applyBorder="1" applyAlignment="1">
      <alignment horizontal="right" vertical="center"/>
    </xf>
    <xf numFmtId="49" fontId="48" fillId="0" borderId="57" xfId="1" applyNumberFormat="1" applyFont="1" applyFill="1" applyBorder="1" applyAlignment="1">
      <alignment horizontal="right" vertical="center"/>
    </xf>
    <xf numFmtId="166" fontId="48" fillId="0" borderId="20" xfId="1" applyFont="1" applyFill="1" applyBorder="1" applyAlignment="1">
      <alignment vertical="center"/>
    </xf>
    <xf numFmtId="166" fontId="49" fillId="0" borderId="0" xfId="1" applyFont="1" applyFill="1" applyAlignment="1">
      <alignment horizontal="right" vertical="center"/>
    </xf>
    <xf numFmtId="9" fontId="0" fillId="0" borderId="0" xfId="7" applyFont="1"/>
    <xf numFmtId="166" fontId="49" fillId="0" borderId="20" xfId="1" applyFont="1" applyFill="1" applyBorder="1" applyAlignment="1">
      <alignment vertical="center"/>
    </xf>
    <xf numFmtId="179" fontId="126" fillId="0" borderId="0" xfId="1" applyNumberFormat="1" applyFont="1" applyFill="1" applyAlignment="1">
      <alignment horizontal="right" vertical="center" wrapText="1"/>
    </xf>
    <xf numFmtId="179" fontId="125" fillId="0" borderId="0" xfId="1" applyNumberFormat="1" applyFont="1" applyFill="1" applyAlignment="1">
      <alignment horizontal="right" vertical="center"/>
    </xf>
    <xf numFmtId="168" fontId="125" fillId="0" borderId="0" xfId="7" applyNumberFormat="1" applyFont="1" applyFill="1" applyAlignment="1">
      <alignment horizontal="right" vertical="center" wrapText="1"/>
    </xf>
    <xf numFmtId="166" fontId="49" fillId="0" borderId="20" xfId="1" applyFont="1" applyFill="1" applyBorder="1" applyAlignment="1">
      <alignment vertical="center" wrapText="1"/>
    </xf>
    <xf numFmtId="179" fontId="125" fillId="0" borderId="0" xfId="1" applyNumberFormat="1" applyFont="1" applyFill="1" applyAlignment="1">
      <alignment horizontal="right" vertical="center" wrapText="1"/>
    </xf>
    <xf numFmtId="179" fontId="126" fillId="0" borderId="0" xfId="1" applyNumberFormat="1" applyFont="1" applyFill="1" applyBorder="1" applyAlignment="1">
      <alignment horizontal="right" vertical="center" wrapText="1"/>
    </xf>
    <xf numFmtId="179" fontId="125" fillId="0" borderId="0" xfId="1" applyNumberFormat="1" applyFont="1" applyFill="1" applyBorder="1" applyAlignment="1">
      <alignment horizontal="right" vertical="center"/>
    </xf>
    <xf numFmtId="179" fontId="125" fillId="0" borderId="0" xfId="1" applyNumberFormat="1" applyFont="1" applyFill="1" applyBorder="1" applyAlignment="1">
      <alignment horizontal="right" vertical="center" wrapText="1"/>
    </xf>
    <xf numFmtId="168" fontId="125" fillId="0" borderId="0" xfId="7" applyNumberFormat="1" applyFont="1" applyFill="1" applyBorder="1" applyAlignment="1">
      <alignment horizontal="right" vertical="center" wrapText="1"/>
    </xf>
    <xf numFmtId="166" fontId="49" fillId="0" borderId="63" xfId="1" applyFont="1" applyFill="1" applyBorder="1" applyAlignment="1">
      <alignment vertical="center"/>
    </xf>
    <xf numFmtId="179" fontId="126" fillId="0" borderId="62" xfId="1" applyNumberFormat="1" applyFont="1" applyFill="1" applyBorder="1" applyAlignment="1">
      <alignment horizontal="right" vertical="center" wrapText="1"/>
    </xf>
    <xf numFmtId="179" fontId="125" fillId="0" borderId="62" xfId="1" applyNumberFormat="1" applyFont="1" applyFill="1" applyBorder="1" applyAlignment="1">
      <alignment horizontal="right" vertical="center" wrapText="1"/>
    </xf>
    <xf numFmtId="168" fontId="125" fillId="0" borderId="62" xfId="7" applyNumberFormat="1" applyFont="1" applyFill="1" applyBorder="1" applyAlignment="1">
      <alignment horizontal="right" vertical="center" wrapText="1"/>
    </xf>
    <xf numFmtId="179" fontId="126" fillId="0" borderId="0" xfId="1" applyNumberFormat="1" applyFont="1" applyFill="1" applyAlignment="1">
      <alignment horizontal="right" vertical="center"/>
    </xf>
    <xf numFmtId="166" fontId="49" fillId="0" borderId="20" xfId="1" applyFont="1" applyFill="1" applyBorder="1" applyAlignment="1">
      <alignment horizontal="left" vertical="center"/>
    </xf>
    <xf numFmtId="166" fontId="125" fillId="0" borderId="0" xfId="1" applyNumberFormat="1" applyFont="1" applyFill="1" applyAlignment="1">
      <alignment horizontal="right" vertical="center" wrapText="1"/>
    </xf>
    <xf numFmtId="166" fontId="126" fillId="0" borderId="0" xfId="1" applyNumberFormat="1" applyFont="1" applyFill="1" applyAlignment="1">
      <alignment horizontal="right" vertical="center" wrapText="1"/>
    </xf>
    <xf numFmtId="179" fontId="126" fillId="0" borderId="56" xfId="1" applyNumberFormat="1" applyFont="1" applyFill="1" applyBorder="1" applyAlignment="1">
      <alignment horizontal="right" vertical="center" wrapText="1"/>
    </xf>
    <xf numFmtId="179" fontId="125" fillId="0" borderId="56" xfId="1" applyNumberFormat="1" applyFont="1" applyFill="1" applyBorder="1" applyAlignment="1">
      <alignment horizontal="right" vertical="center" wrapText="1"/>
    </xf>
    <xf numFmtId="166" fontId="125" fillId="0" borderId="0" xfId="1" applyFont="1" applyFill="1" applyAlignment="1">
      <alignment horizontal="right" vertical="center" wrapText="1"/>
    </xf>
    <xf numFmtId="166" fontId="49" fillId="0" borderId="22" xfId="1" applyFont="1" applyFill="1" applyBorder="1" applyAlignment="1">
      <alignment vertical="center"/>
    </xf>
    <xf numFmtId="179" fontId="126" fillId="0" borderId="24" xfId="1" applyNumberFormat="1" applyFont="1" applyFill="1" applyBorder="1" applyAlignment="1">
      <alignment horizontal="right" vertical="center" wrapText="1"/>
    </xf>
    <xf numFmtId="179" fontId="125" fillId="0" borderId="24" xfId="1" applyNumberFormat="1" applyFont="1" applyFill="1" applyBorder="1" applyAlignment="1">
      <alignment horizontal="right" vertical="center" wrapText="1"/>
    </xf>
    <xf numFmtId="166" fontId="126" fillId="0" borderId="24" xfId="1" applyFont="1" applyFill="1" applyBorder="1" applyAlignment="1">
      <alignment horizontal="right" vertical="center" wrapText="1"/>
    </xf>
    <xf numFmtId="166" fontId="125" fillId="0" borderId="24" xfId="1" applyFont="1" applyFill="1" applyBorder="1" applyAlignment="1">
      <alignment horizontal="right" vertical="center" wrapText="1"/>
    </xf>
    <xf numFmtId="168" fontId="125" fillId="0" borderId="57" xfId="7" applyNumberFormat="1" applyFont="1" applyFill="1" applyBorder="1" applyAlignment="1">
      <alignment horizontal="right" vertical="center" wrapText="1"/>
    </xf>
    <xf numFmtId="181" fontId="12" fillId="0" borderId="0" xfId="412"/>
    <xf numFmtId="49" fontId="49" fillId="0" borderId="24" xfId="1" applyNumberFormat="1" applyFont="1" applyFill="1" applyBorder="1" applyAlignment="1">
      <alignment horizontal="right" vertical="center"/>
    </xf>
    <xf numFmtId="179" fontId="48" fillId="0" borderId="27" xfId="1" applyNumberFormat="1" applyFont="1" applyFill="1" applyBorder="1" applyAlignment="1">
      <alignment horizontal="right" vertical="center"/>
    </xf>
    <xf numFmtId="179" fontId="48" fillId="0" borderId="24" xfId="1" applyNumberFormat="1" applyFont="1" applyFill="1" applyBorder="1" applyAlignment="1">
      <alignment horizontal="right" vertical="center"/>
    </xf>
    <xf numFmtId="179" fontId="48" fillId="0" borderId="0" xfId="1" applyNumberFormat="1" applyFont="1" applyFill="1" applyBorder="1" applyAlignment="1">
      <alignment horizontal="right" vertical="center"/>
    </xf>
    <xf numFmtId="179" fontId="49" fillId="0" borderId="0" xfId="1" applyNumberFormat="1" applyFont="1" applyFill="1" applyBorder="1" applyAlignment="1">
      <alignment horizontal="right" vertical="center" wrapText="1"/>
    </xf>
    <xf numFmtId="179" fontId="48" fillId="0" borderId="0" xfId="1" applyNumberFormat="1" applyFont="1" applyFill="1" applyBorder="1" applyAlignment="1">
      <alignment vertical="center" wrapText="1"/>
    </xf>
    <xf numFmtId="179" fontId="49" fillId="0" borderId="0" xfId="1" applyNumberFormat="1" applyFont="1" applyFill="1" applyBorder="1" applyAlignment="1">
      <alignment horizontal="right" vertical="center"/>
    </xf>
    <xf numFmtId="179" fontId="48" fillId="0" borderId="66" xfId="1" applyNumberFormat="1" applyFont="1" applyFill="1" applyBorder="1" applyAlignment="1">
      <alignment horizontal="right" vertical="center"/>
    </xf>
    <xf numFmtId="179" fontId="48" fillId="0" borderId="61" xfId="1" applyNumberFormat="1" applyFont="1" applyFill="1" applyBorder="1" applyAlignment="1">
      <alignment horizontal="right" vertical="center"/>
    </xf>
    <xf numFmtId="179" fontId="49" fillId="0" borderId="61" xfId="1" applyNumberFormat="1" applyFont="1" applyFill="1" applyBorder="1" applyAlignment="1">
      <alignment horizontal="right" vertical="center"/>
    </xf>
    <xf numFmtId="166" fontId="48" fillId="0" borderId="0" xfId="1" applyFont="1" applyFill="1" applyBorder="1" applyAlignment="1">
      <alignment horizontal="right" vertical="center"/>
    </xf>
    <xf numFmtId="166" fontId="49" fillId="0" borderId="0" xfId="1" applyFont="1" applyFill="1" applyBorder="1" applyAlignment="1">
      <alignment horizontal="right" vertical="center"/>
    </xf>
    <xf numFmtId="166" fontId="48" fillId="0" borderId="24" xfId="1" applyFont="1" applyFill="1" applyBorder="1" applyAlignment="1">
      <alignment horizontal="right" vertical="center"/>
    </xf>
    <xf numFmtId="166" fontId="49" fillId="0" borderId="24" xfId="1" applyFont="1" applyFill="1" applyBorder="1" applyAlignment="1">
      <alignment horizontal="right" vertical="center"/>
    </xf>
    <xf numFmtId="2" fontId="122" fillId="0" borderId="0" xfId="412" applyNumberFormat="1" applyFont="1" applyAlignment="1">
      <alignment vertical="center"/>
    </xf>
    <xf numFmtId="2" fontId="12" fillId="0" borderId="0" xfId="412" applyNumberFormat="1"/>
    <xf numFmtId="2" fontId="126" fillId="0" borderId="22" xfId="412" applyNumberFormat="1" applyFont="1" applyBorder="1" applyAlignment="1">
      <alignment vertical="center"/>
    </xf>
    <xf numFmtId="1" fontId="48" fillId="0" borderId="24" xfId="412" applyNumberFormat="1" applyFont="1" applyBorder="1" applyAlignment="1">
      <alignment horizontal="right" vertical="center"/>
    </xf>
    <xf numFmtId="2" fontId="49" fillId="0" borderId="20" xfId="412" applyNumberFormat="1" applyFont="1" applyBorder="1" applyAlignment="1">
      <alignment vertical="center"/>
    </xf>
    <xf numFmtId="2" fontId="49" fillId="0" borderId="22" xfId="412" applyNumberFormat="1" applyFont="1" applyBorder="1" applyAlignment="1">
      <alignment vertical="center"/>
    </xf>
    <xf numFmtId="181" fontId="117" fillId="0" borderId="0" xfId="412" applyFont="1" applyAlignment="1">
      <alignment vertical="center"/>
    </xf>
    <xf numFmtId="181" fontId="49" fillId="0" borderId="20" xfId="412" applyFont="1" applyBorder="1" applyAlignment="1">
      <alignment vertical="center"/>
    </xf>
    <xf numFmtId="181" fontId="49" fillId="0" borderId="64" xfId="412" applyFont="1" applyBorder="1" applyAlignment="1">
      <alignment vertical="center"/>
    </xf>
    <xf numFmtId="181" fontId="130" fillId="0" borderId="0" xfId="412" applyFont="1" applyAlignment="1">
      <alignment vertical="center"/>
    </xf>
    <xf numFmtId="181" fontId="125" fillId="0" borderId="22" xfId="412" applyFont="1" applyBorder="1" applyAlignment="1">
      <alignment vertical="center" wrapText="1"/>
    </xf>
    <xf numFmtId="181" fontId="49" fillId="0" borderId="20" xfId="412" applyFont="1" applyBorder="1" applyAlignment="1">
      <alignment vertical="center" wrapText="1"/>
    </xf>
    <xf numFmtId="181" fontId="49" fillId="0" borderId="29" xfId="412" applyFont="1" applyBorder="1" applyAlignment="1">
      <alignment vertical="center"/>
    </xf>
    <xf numFmtId="181" fontId="49" fillId="0" borderId="22" xfId="412" applyFont="1" applyBorder="1" applyAlignment="1">
      <alignment vertical="center"/>
    </xf>
    <xf numFmtId="181" fontId="122" fillId="0" borderId="0" xfId="412" applyFont="1" applyAlignment="1">
      <alignment vertical="center"/>
    </xf>
    <xf numFmtId="181" fontId="126" fillId="0" borderId="22" xfId="412" applyFont="1" applyBorder="1" applyAlignment="1">
      <alignment vertical="center"/>
    </xf>
    <xf numFmtId="181" fontId="49" fillId="0" borderId="0" xfId="412" applyFont="1" applyAlignment="1">
      <alignment horizontal="right" vertical="center" wrapText="1"/>
    </xf>
    <xf numFmtId="181" fontId="49" fillId="0" borderId="20" xfId="412" applyFont="1" applyBorder="1" applyAlignment="1">
      <alignment horizontal="left" vertical="center" indent="1"/>
    </xf>
    <xf numFmtId="181" fontId="49" fillId="0" borderId="22" xfId="412" applyFont="1" applyBorder="1" applyAlignment="1">
      <alignment horizontal="left" vertical="center" indent="1"/>
    </xf>
    <xf numFmtId="181" fontId="133" fillId="0" borderId="0" xfId="412" applyFont="1" applyAlignment="1">
      <alignment vertical="center"/>
    </xf>
    <xf numFmtId="181" fontId="134" fillId="0" borderId="0" xfId="412" applyFont="1" applyAlignment="1">
      <alignment vertical="center"/>
    </xf>
    <xf numFmtId="181" fontId="49" fillId="0" borderId="29" xfId="412" applyFont="1" applyBorder="1" applyAlignment="1">
      <alignment vertical="center" wrapText="1"/>
    </xf>
    <xf numFmtId="181" fontId="12" fillId="0" borderId="0" xfId="0" applyFont="1" applyFill="1" applyBorder="1" applyProtection="1"/>
    <xf numFmtId="181" fontId="26" fillId="0" borderId="10" xfId="0" applyFont="1" applyBorder="1" applyProtection="1"/>
    <xf numFmtId="181" fontId="12" fillId="0" borderId="10" xfId="0" applyFont="1" applyFill="1" applyBorder="1" applyProtection="1"/>
    <xf numFmtId="181" fontId="48" fillId="0" borderId="20" xfId="412" applyFont="1" applyBorder="1" applyAlignment="1">
      <alignment vertical="center"/>
    </xf>
    <xf numFmtId="49" fontId="48" fillId="0" borderId="24" xfId="1" applyNumberFormat="1" applyFont="1" applyBorder="1" applyAlignment="1">
      <alignment horizontal="right" vertical="center"/>
    </xf>
    <xf numFmtId="181" fontId="125" fillId="0" borderId="22" xfId="412" applyFont="1" applyBorder="1" applyAlignment="1">
      <alignment vertical="center"/>
    </xf>
    <xf numFmtId="179" fontId="135" fillId="0" borderId="70" xfId="1" applyNumberFormat="1" applyFont="1" applyBorder="1" applyAlignment="1">
      <alignment horizontal="right" vertical="center" wrapText="1"/>
    </xf>
    <xf numFmtId="179" fontId="49" fillId="0" borderId="66" xfId="1" applyNumberFormat="1" applyFont="1" applyFill="1" applyBorder="1" applyAlignment="1">
      <alignment horizontal="right" vertical="center"/>
    </xf>
    <xf numFmtId="0" fontId="48" fillId="0" borderId="24" xfId="1" applyNumberFormat="1" applyFont="1" applyBorder="1" applyAlignment="1">
      <alignment horizontal="right" vertical="center"/>
    </xf>
    <xf numFmtId="1" fontId="48" fillId="0" borderId="24" xfId="1" applyNumberFormat="1" applyFont="1" applyBorder="1" applyAlignment="1">
      <alignment horizontal="right" vertical="center"/>
    </xf>
    <xf numFmtId="0" fontId="48" fillId="0" borderId="27" xfId="1" applyNumberFormat="1" applyFont="1" applyBorder="1" applyAlignment="1">
      <alignment horizontal="center" vertical="center"/>
    </xf>
    <xf numFmtId="0" fontId="48" fillId="0" borderId="27" xfId="412" applyNumberFormat="1" applyFont="1" applyBorder="1" applyAlignment="1">
      <alignment horizontal="center" vertical="center"/>
    </xf>
    <xf numFmtId="0" fontId="12" fillId="0" borderId="27" xfId="412" applyNumberFormat="1" applyBorder="1"/>
    <xf numFmtId="0" fontId="48" fillId="0" borderId="24" xfId="412" applyNumberFormat="1" applyFont="1" applyBorder="1" applyAlignment="1">
      <alignment horizontal="right" vertical="center"/>
    </xf>
    <xf numFmtId="179" fontId="49" fillId="0" borderId="27" xfId="1" applyNumberFormat="1" applyFont="1" applyBorder="1" applyAlignment="1">
      <alignment horizontal="right" vertical="center"/>
    </xf>
    <xf numFmtId="0" fontId="48" fillId="0" borderId="27" xfId="412" applyNumberFormat="1" applyFont="1" applyBorder="1" applyAlignment="1">
      <alignment horizontal="center" vertical="center" wrapText="1"/>
    </xf>
    <xf numFmtId="0" fontId="12" fillId="0" borderId="27" xfId="412" applyNumberFormat="1" applyBorder="1" applyAlignment="1">
      <alignment wrapText="1"/>
    </xf>
    <xf numFmtId="0" fontId="48" fillId="0" borderId="24" xfId="412" applyNumberFormat="1" applyFont="1" applyBorder="1" applyAlignment="1">
      <alignment horizontal="right" vertical="center" wrapText="1"/>
    </xf>
    <xf numFmtId="0" fontId="0" fillId="0" borderId="27" xfId="1" applyNumberFormat="1" applyFont="1" applyBorder="1"/>
    <xf numFmtId="179" fontId="48" fillId="0" borderId="0" xfId="1" applyNumberFormat="1" applyFont="1" applyBorder="1" applyAlignment="1">
      <alignment horizontal="right" vertical="center" wrapText="1"/>
    </xf>
    <xf numFmtId="168" fontId="49" fillId="0" borderId="0" xfId="7" applyNumberFormat="1" applyFont="1" applyBorder="1" applyAlignment="1">
      <alignment horizontal="right" vertical="center"/>
    </xf>
    <xf numFmtId="179" fontId="49" fillId="0" borderId="0" xfId="1" applyNumberFormat="1" applyFont="1" applyFill="1" applyBorder="1" applyAlignment="1">
      <alignment vertical="center" wrapText="1"/>
    </xf>
    <xf numFmtId="181" fontId="13" fillId="0" borderId="10" xfId="0" applyFont="1" applyFill="1" applyBorder="1" applyAlignment="1" applyProtection="1">
      <alignment horizontal="center"/>
    </xf>
    <xf numFmtId="169" fontId="17" fillId="0" borderId="15" xfId="7" applyNumberFormat="1" applyFont="1" applyFill="1" applyBorder="1" applyAlignment="1" applyProtection="1">
      <alignment horizontal="right"/>
    </xf>
    <xf numFmtId="169" fontId="17" fillId="0" borderId="7" xfId="1" applyNumberFormat="1" applyFont="1" applyFill="1" applyBorder="1" applyAlignment="1" applyProtection="1">
      <alignment horizontal="right"/>
    </xf>
    <xf numFmtId="171" fontId="49" fillId="0" borderId="0" xfId="7" applyNumberFormat="1" applyFont="1" applyAlignment="1">
      <alignment horizontal="right" vertical="center" wrapText="1"/>
    </xf>
    <xf numFmtId="10" fontId="49" fillId="0" borderId="24" xfId="7" applyNumberFormat="1" applyFont="1" applyBorder="1" applyAlignment="1">
      <alignment horizontal="right" vertical="center" wrapText="1"/>
    </xf>
    <xf numFmtId="171" fontId="49" fillId="0" borderId="24" xfId="7" applyNumberFormat="1" applyFont="1" applyBorder="1" applyAlignment="1">
      <alignment horizontal="right" vertical="center" wrapText="1"/>
    </xf>
    <xf numFmtId="171" fontId="49" fillId="0" borderId="0" xfId="7" applyNumberFormat="1" applyFont="1" applyAlignment="1">
      <alignment horizontal="right" vertical="center"/>
    </xf>
    <xf numFmtId="171" fontId="17" fillId="0" borderId="0" xfId="1" applyNumberFormat="1" applyFont="1" applyFill="1" applyBorder="1" applyAlignment="1" applyProtection="1">
      <alignment horizontal="right"/>
    </xf>
    <xf numFmtId="0" fontId="26" fillId="0" borderId="0" xfId="75" applyFont="1" applyFill="1" applyBorder="1" applyProtection="1">
      <protection locked="0"/>
    </xf>
    <xf numFmtId="0" fontId="12" fillId="0" borderId="3" xfId="75" applyFill="1" applyBorder="1" applyProtection="1">
      <protection locked="0"/>
    </xf>
    <xf numFmtId="37" fontId="17" fillId="0" borderId="13" xfId="75" applyNumberFormat="1" applyFont="1" applyFill="1" applyBorder="1" applyProtection="1">
      <protection locked="0"/>
    </xf>
    <xf numFmtId="168" fontId="17" fillId="0" borderId="1" xfId="76" applyNumberFormat="1" applyFont="1" applyFill="1" applyBorder="1" applyAlignment="1" applyProtection="1">
      <alignment horizontal="right"/>
    </xf>
    <xf numFmtId="171" fontId="0" fillId="0" borderId="0" xfId="7" applyNumberFormat="1" applyFont="1" applyFill="1" applyBorder="1" applyAlignment="1" applyProtection="1"/>
    <xf numFmtId="181" fontId="17" fillId="0" borderId="10" xfId="0" applyFont="1" applyFill="1" applyBorder="1" applyProtection="1"/>
    <xf numFmtId="0" fontId="12" fillId="0" borderId="0" xfId="75" applyFill="1" applyAlignment="1" applyProtection="1"/>
    <xf numFmtId="0" fontId="12" fillId="0" borderId="0" xfId="75" applyFill="1" applyBorder="1" applyAlignment="1" applyProtection="1"/>
    <xf numFmtId="0" fontId="12" fillId="0" borderId="4" xfId="75" applyFill="1" applyBorder="1" applyProtection="1"/>
    <xf numFmtId="0" fontId="12" fillId="0" borderId="3" xfId="75" applyFill="1" applyBorder="1" applyProtection="1"/>
    <xf numFmtId="0" fontId="12" fillId="0" borderId="2" xfId="75" applyFill="1" applyBorder="1" applyProtection="1"/>
    <xf numFmtId="0" fontId="12" fillId="0" borderId="2" xfId="75" applyFill="1" applyBorder="1" applyProtection="1">
      <protection locked="0"/>
    </xf>
    <xf numFmtId="181" fontId="12" fillId="0" borderId="3" xfId="29" applyFill="1" applyBorder="1" applyProtection="1"/>
    <xf numFmtId="181" fontId="12" fillId="0" borderId="4" xfId="29" applyFill="1" applyBorder="1" applyProtection="1"/>
    <xf numFmtId="0" fontId="42" fillId="0" borderId="10" xfId="75" applyFont="1" applyFill="1" applyBorder="1" applyProtection="1">
      <protection locked="0"/>
    </xf>
    <xf numFmtId="0" fontId="17" fillId="0" borderId="10" xfId="75" applyFont="1" applyFill="1" applyBorder="1" applyProtection="1"/>
    <xf numFmtId="0" fontId="17" fillId="0" borderId="11" xfId="75" applyFont="1" applyFill="1" applyBorder="1" applyProtection="1"/>
    <xf numFmtId="0" fontId="17" fillId="0" borderId="9" xfId="75" applyFont="1" applyFill="1" applyBorder="1" applyProtection="1">
      <protection locked="0"/>
    </xf>
    <xf numFmtId="0" fontId="17" fillId="0" borderId="11" xfId="75" applyFont="1" applyFill="1" applyBorder="1" applyAlignment="1" applyProtection="1"/>
    <xf numFmtId="0" fontId="17" fillId="0" borderId="10" xfId="75" applyFont="1" applyFill="1" applyBorder="1" applyProtection="1">
      <protection locked="0"/>
    </xf>
    <xf numFmtId="167" fontId="17" fillId="0" borderId="0" xfId="75" applyNumberFormat="1" applyFont="1" applyFill="1" applyProtection="1"/>
    <xf numFmtId="167" fontId="17" fillId="0" borderId="0" xfId="13" applyNumberFormat="1" applyFont="1" applyFill="1" applyProtection="1"/>
    <xf numFmtId="181" fontId="17" fillId="0" borderId="0" xfId="0" applyFont="1" applyFill="1" applyBorder="1" applyAlignment="1" applyProtection="1">
      <alignment horizontal="left" wrapText="1" indent="1"/>
    </xf>
    <xf numFmtId="168" fontId="14" fillId="0" borderId="0" xfId="77" applyNumberFormat="1" applyFont="1" applyFill="1" applyBorder="1" applyProtection="1"/>
    <xf numFmtId="168" fontId="19" fillId="0" borderId="0" xfId="75" applyNumberFormat="1" applyFont="1" applyFill="1" applyBorder="1" applyProtection="1"/>
    <xf numFmtId="0" fontId="17" fillId="0" borderId="2" xfId="75" applyFont="1" applyFill="1" applyBorder="1" applyProtection="1">
      <protection locked="0"/>
    </xf>
    <xf numFmtId="0" fontId="16" fillId="0" borderId="0" xfId="75" applyFont="1" applyFill="1" applyProtection="1"/>
    <xf numFmtId="176" fontId="17" fillId="0" borderId="0" xfId="75" applyNumberFormat="1" applyFont="1" applyFill="1" applyProtection="1"/>
    <xf numFmtId="168" fontId="14" fillId="0" borderId="0" xfId="75" applyNumberFormat="1" applyFont="1" applyFill="1" applyBorder="1" applyProtection="1"/>
    <xf numFmtId="0" fontId="12" fillId="0" borderId="9" xfId="75" applyFill="1" applyBorder="1" applyProtection="1">
      <protection locked="0"/>
    </xf>
    <xf numFmtId="37" fontId="17" fillId="0" borderId="14" xfId="75" applyNumberFormat="1" applyFont="1" applyFill="1" applyBorder="1" applyProtection="1"/>
    <xf numFmtId="37" fontId="17" fillId="0" borderId="13" xfId="75" applyNumberFormat="1" applyFont="1" applyFill="1" applyBorder="1" applyProtection="1"/>
    <xf numFmtId="37" fontId="17" fillId="0" borderId="12" xfId="75" applyNumberFormat="1" applyFont="1" applyFill="1" applyBorder="1" applyProtection="1"/>
    <xf numFmtId="0" fontId="12" fillId="0" borderId="9" xfId="75" applyFill="1" applyBorder="1" applyProtection="1"/>
    <xf numFmtId="37" fontId="17" fillId="0" borderId="15" xfId="75" applyNumberFormat="1" applyFont="1" applyFill="1" applyBorder="1" applyProtection="1"/>
    <xf numFmtId="169" fontId="17" fillId="0" borderId="15" xfId="75" applyNumberFormat="1" applyFont="1" applyFill="1" applyBorder="1" applyProtection="1"/>
    <xf numFmtId="37" fontId="17" fillId="0" borderId="5" xfId="75" applyNumberFormat="1" applyFont="1" applyFill="1" applyBorder="1" applyProtection="1"/>
    <xf numFmtId="169" fontId="17" fillId="0" borderId="8" xfId="75" applyNumberFormat="1" applyFont="1" applyFill="1" applyBorder="1" applyProtection="1"/>
    <xf numFmtId="181" fontId="73" fillId="0" borderId="9" xfId="76" applyNumberFormat="1" applyFill="1" applyBorder="1" applyProtection="1">
      <protection locked="0"/>
    </xf>
    <xf numFmtId="181" fontId="73" fillId="0" borderId="9" xfId="76" applyNumberFormat="1" applyFill="1" applyBorder="1" applyAlignment="1" applyProtection="1">
      <alignment horizontal="center"/>
    </xf>
    <xf numFmtId="181" fontId="73" fillId="0" borderId="0" xfId="76" applyNumberFormat="1" applyFill="1" applyAlignment="1" applyProtection="1">
      <alignment horizontal="center"/>
    </xf>
    <xf numFmtId="181" fontId="73" fillId="0" borderId="0" xfId="76" applyNumberFormat="1" applyFill="1" applyProtection="1">
      <protection locked="0"/>
    </xf>
    <xf numFmtId="0" fontId="17" fillId="0" borderId="4" xfId="75" applyFont="1" applyFill="1" applyBorder="1" applyProtection="1"/>
    <xf numFmtId="0" fontId="17" fillId="0" borderId="3" xfId="75" applyFont="1" applyFill="1" applyBorder="1" applyProtection="1"/>
    <xf numFmtId="0" fontId="17" fillId="0" borderId="2" xfId="75" applyFont="1" applyFill="1" applyBorder="1" applyProtection="1"/>
    <xf numFmtId="169" fontId="12" fillId="0" borderId="0" xfId="75" applyNumberFormat="1" applyFill="1" applyAlignment="1" applyProtection="1"/>
    <xf numFmtId="0" fontId="17" fillId="0" borderId="4" xfId="75" applyFont="1" applyFill="1" applyBorder="1" applyAlignment="1" applyProtection="1"/>
    <xf numFmtId="169" fontId="17" fillId="0" borderId="0" xfId="75" applyNumberFormat="1" applyFont="1" applyFill="1" applyBorder="1" applyAlignment="1" applyProtection="1">
      <alignment horizontal="center"/>
    </xf>
    <xf numFmtId="181" fontId="17" fillId="0" borderId="0" xfId="0" applyFont="1" applyFill="1" applyBorder="1" applyAlignment="1" applyProtection="1"/>
    <xf numFmtId="166" fontId="49" fillId="0" borderId="20" xfId="1" applyFont="1" applyFill="1" applyBorder="1" applyAlignment="1">
      <alignment horizontal="left" vertical="center" indent="1"/>
    </xf>
    <xf numFmtId="168" fontId="17" fillId="0" borderId="0" xfId="1" applyNumberFormat="1" applyFont="1" applyFill="1" applyBorder="1" applyProtection="1"/>
    <xf numFmtId="181" fontId="16" fillId="0" borderId="7" xfId="29" applyFont="1" applyFill="1" applyBorder="1" applyAlignment="1" applyProtection="1">
      <alignment horizontal="center"/>
    </xf>
    <xf numFmtId="169" fontId="17" fillId="0" borderId="9" xfId="16" applyNumberFormat="1" applyFont="1" applyFill="1" applyBorder="1" applyAlignment="1" applyProtection="1">
      <alignment horizontal="right"/>
    </xf>
    <xf numFmtId="169" fontId="17" fillId="0" borderId="8" xfId="16" applyNumberFormat="1" applyFont="1" applyFill="1" applyBorder="1" applyAlignment="1" applyProtection="1">
      <alignment horizontal="right"/>
    </xf>
    <xf numFmtId="0" fontId="17" fillId="0" borderId="7" xfId="75" applyFont="1" applyFill="1" applyBorder="1" applyProtection="1"/>
    <xf numFmtId="17" fontId="12" fillId="0" borderId="0" xfId="1" applyNumberFormat="1" applyFont="1"/>
    <xf numFmtId="169" fontId="17" fillId="0" borderId="8" xfId="0" applyNumberFormat="1" applyFont="1" applyFill="1" applyBorder="1" applyProtection="1"/>
    <xf numFmtId="179" fontId="17" fillId="0" borderId="8" xfId="1" applyNumberFormat="1" applyFont="1" applyFill="1" applyBorder="1" applyAlignment="1" applyProtection="1"/>
    <xf numFmtId="179" fontId="17" fillId="0" borderId="12" xfId="1" applyNumberFormat="1" applyFont="1" applyFill="1" applyBorder="1" applyAlignment="1" applyProtection="1"/>
    <xf numFmtId="181" fontId="23" fillId="0" borderId="0" xfId="0" applyFont="1" applyFill="1" applyAlignment="1" applyProtection="1">
      <alignment wrapText="1"/>
    </xf>
    <xf numFmtId="181" fontId="17" fillId="0" borderId="0" xfId="0" applyFont="1" applyFill="1" applyBorder="1" applyAlignment="1" applyProtection="1">
      <alignment wrapText="1"/>
    </xf>
    <xf numFmtId="179" fontId="17" fillId="0" borderId="9" xfId="1" applyNumberFormat="1" applyFont="1" applyFill="1" applyBorder="1" applyAlignment="1" applyProtection="1"/>
    <xf numFmtId="181" fontId="23" fillId="0" borderId="0" xfId="0" applyFont="1" applyFill="1" applyProtection="1"/>
    <xf numFmtId="181" fontId="17" fillId="0" borderId="11" xfId="0" applyFont="1" applyFill="1" applyBorder="1" applyProtection="1">
      <protection locked="0"/>
    </xf>
    <xf numFmtId="181" fontId="17" fillId="0" borderId="11" xfId="0" applyFont="1" applyFill="1" applyBorder="1" applyAlignment="1" applyProtection="1">
      <alignment horizontal="right"/>
    </xf>
    <xf numFmtId="179" fontId="17" fillId="0" borderId="15" xfId="1" applyNumberFormat="1" applyFont="1" applyFill="1" applyBorder="1" applyAlignment="1" applyProtection="1"/>
    <xf numFmtId="179" fontId="17" fillId="0" borderId="13" xfId="1" applyNumberFormat="1" applyFont="1" applyFill="1" applyBorder="1" applyAlignment="1" applyProtection="1"/>
    <xf numFmtId="169" fontId="17" fillId="0" borderId="7" xfId="0" applyNumberFormat="1" applyFont="1" applyFill="1" applyBorder="1" applyProtection="1"/>
    <xf numFmtId="181" fontId="23" fillId="0" borderId="11" xfId="0" applyFont="1" applyFill="1" applyBorder="1" applyProtection="1"/>
    <xf numFmtId="0" fontId="23" fillId="0" borderId="0" xfId="75" applyFont="1" applyFill="1" applyAlignment="1" applyProtection="1">
      <alignment wrapText="1"/>
    </xf>
    <xf numFmtId="181" fontId="23" fillId="0" borderId="0" xfId="0" applyFont="1" applyFill="1" applyAlignment="1" applyProtection="1">
      <alignment wrapText="1"/>
    </xf>
    <xf numFmtId="179" fontId="22" fillId="0" borderId="10" xfId="1" applyNumberFormat="1" applyFont="1" applyFill="1" applyBorder="1" applyProtection="1"/>
    <xf numFmtId="179" fontId="22" fillId="0" borderId="10" xfId="1" applyNumberFormat="1" applyFont="1" applyFill="1" applyBorder="1" applyProtection="1">
      <protection locked="0"/>
    </xf>
    <xf numFmtId="179" fontId="22" fillId="0" borderId="11" xfId="1" applyNumberFormat="1" applyFont="1" applyFill="1" applyBorder="1" applyAlignment="1" applyProtection="1">
      <alignment horizontal="right"/>
    </xf>
    <xf numFmtId="179" fontId="22" fillId="0" borderId="9" xfId="1" applyNumberFormat="1" applyFont="1" applyFill="1" applyBorder="1" applyProtection="1"/>
    <xf numFmtId="179" fontId="22" fillId="0" borderId="9" xfId="1" applyNumberFormat="1" applyFont="1" applyFill="1" applyBorder="1" applyAlignment="1" applyProtection="1">
      <alignment horizontal="right"/>
    </xf>
    <xf numFmtId="167" fontId="17" fillId="0" borderId="0" xfId="0" applyNumberFormat="1" applyFont="1" applyFill="1" applyAlignment="1" applyProtection="1">
      <alignment wrapText="1"/>
    </xf>
    <xf numFmtId="181" fontId="24" fillId="0" borderId="11" xfId="0" applyFont="1" applyFill="1" applyBorder="1" applyAlignment="1" applyProtection="1">
      <alignment horizontal="center"/>
      <protection locked="0"/>
    </xf>
    <xf numFmtId="37" fontId="17" fillId="0" borderId="0" xfId="7" applyNumberFormat="1" applyFont="1" applyFill="1" applyBorder="1" applyAlignment="1" applyProtection="1"/>
    <xf numFmtId="37" fontId="17" fillId="0" borderId="0" xfId="0" applyNumberFormat="1" applyFont="1" applyFill="1" applyBorder="1" applyAlignment="1" applyProtection="1"/>
    <xf numFmtId="179" fontId="17" fillId="0" borderId="7" xfId="1" applyNumberFormat="1" applyFont="1" applyFill="1" applyBorder="1" applyProtection="1"/>
    <xf numFmtId="181" fontId="23" fillId="0" borderId="11" xfId="0" applyFont="1" applyFill="1" applyBorder="1" applyAlignment="1" applyProtection="1">
      <alignment horizontal="center"/>
      <protection locked="0"/>
    </xf>
    <xf numFmtId="168" fontId="17" fillId="0" borderId="11" xfId="7" applyNumberFormat="1" applyFont="1" applyFill="1" applyBorder="1" applyAlignment="1" applyProtection="1">
      <alignment horizontal="left"/>
      <protection locked="0"/>
    </xf>
    <xf numFmtId="181" fontId="17" fillId="0" borderId="11" xfId="0" applyFont="1" applyFill="1" applyBorder="1" applyAlignment="1" applyProtection="1">
      <alignment horizontal="center"/>
      <protection locked="0"/>
    </xf>
    <xf numFmtId="168" fontId="17" fillId="0" borderId="11" xfId="0" applyNumberFormat="1" applyFont="1" applyFill="1" applyBorder="1" applyProtection="1">
      <protection locked="0"/>
    </xf>
    <xf numFmtId="0" fontId="23" fillId="0" borderId="0" xfId="75" applyFont="1" applyFill="1" applyBorder="1" applyAlignment="1" applyProtection="1">
      <alignment wrapText="1"/>
    </xf>
    <xf numFmtId="181" fontId="16" fillId="0" borderId="0" xfId="0" applyFont="1" applyBorder="1" applyProtection="1"/>
    <xf numFmtId="181" fontId="23" fillId="0" borderId="14" xfId="0" applyFont="1" applyFill="1" applyBorder="1" applyAlignment="1" applyProtection="1">
      <alignment horizontal="center" wrapText="1"/>
    </xf>
    <xf numFmtId="166" fontId="0" fillId="0" borderId="0" xfId="1" applyFont="1" applyFill="1" applyBorder="1" applyProtection="1">
      <protection locked="0"/>
    </xf>
    <xf numFmtId="171" fontId="17" fillId="0" borderId="11" xfId="1" applyNumberFormat="1" applyFont="1" applyFill="1" applyBorder="1" applyAlignment="1" applyProtection="1">
      <alignment horizontal="right"/>
    </xf>
    <xf numFmtId="181" fontId="26" fillId="0" borderId="15" xfId="0" applyFont="1" applyFill="1" applyBorder="1" applyAlignment="1" applyProtection="1">
      <alignment horizontal="center" wrapText="1"/>
    </xf>
    <xf numFmtId="181" fontId="12" fillId="0" borderId="0" xfId="0" applyFont="1" applyFill="1" applyAlignment="1" applyProtection="1">
      <alignment horizontal="left" wrapText="1"/>
      <protection locked="0"/>
    </xf>
    <xf numFmtId="181" fontId="34" fillId="0" borderId="0" xfId="0" applyFont="1" applyFill="1" applyAlignment="1"/>
    <xf numFmtId="181" fontId="14" fillId="0" borderId="11" xfId="0" applyFont="1" applyBorder="1" applyProtection="1"/>
    <xf numFmtId="181" fontId="23" fillId="0" borderId="6" xfId="0" applyFont="1" applyFill="1" applyBorder="1" applyAlignment="1" applyProtection="1">
      <alignment horizontal="center" wrapText="1"/>
    </xf>
    <xf numFmtId="181" fontId="23" fillId="0" borderId="1" xfId="0" applyFont="1" applyFill="1" applyBorder="1" applyAlignment="1" applyProtection="1">
      <alignment horizontal="center" wrapText="1"/>
    </xf>
    <xf numFmtId="179" fontId="135" fillId="0" borderId="0" xfId="1" applyNumberFormat="1" applyFont="1" applyAlignment="1">
      <alignment horizontal="right" vertical="center" wrapText="1"/>
    </xf>
    <xf numFmtId="166" fontId="0" fillId="4" borderId="32" xfId="1" applyFont="1" applyFill="1" applyBorder="1"/>
    <xf numFmtId="181" fontId="23" fillId="4" borderId="32" xfId="0" applyFont="1" applyFill="1" applyBorder="1" applyAlignment="1" applyProtection="1">
      <alignment horizontal="centerContinuous"/>
    </xf>
    <xf numFmtId="166" fontId="51" fillId="0" borderId="0" xfId="1" applyFont="1"/>
    <xf numFmtId="181" fontId="136" fillId="0" borderId="0" xfId="412" applyFont="1" applyAlignment="1">
      <alignment vertical="center"/>
    </xf>
    <xf numFmtId="181" fontId="137" fillId="0" borderId="0" xfId="412" applyFont="1" applyAlignment="1">
      <alignment vertical="center"/>
    </xf>
    <xf numFmtId="181" fontId="139" fillId="0" borderId="0" xfId="0" applyFont="1" applyAlignment="1">
      <alignment vertical="center"/>
    </xf>
    <xf numFmtId="15" fontId="140" fillId="0" borderId="57" xfId="0" applyNumberFormat="1" applyFont="1" applyBorder="1" applyAlignment="1">
      <alignment vertical="center" wrapText="1"/>
    </xf>
    <xf numFmtId="181" fontId="141" fillId="0" borderId="0" xfId="0" applyFont="1" applyAlignment="1">
      <alignment vertical="center" wrapText="1"/>
    </xf>
    <xf numFmtId="15" fontId="135" fillId="0" borderId="57" xfId="0" applyNumberFormat="1" applyFont="1" applyBorder="1" applyAlignment="1">
      <alignment vertical="center" wrapText="1"/>
    </xf>
    <xf numFmtId="181" fontId="135" fillId="0" borderId="0" xfId="0" applyFont="1" applyAlignment="1">
      <alignment horizontal="center" vertical="center" wrapText="1"/>
    </xf>
    <xf numFmtId="181" fontId="135" fillId="0" borderId="0" xfId="0" applyFont="1" applyAlignment="1">
      <alignment horizontal="justify" vertical="center" wrapText="1"/>
    </xf>
    <xf numFmtId="181" fontId="135" fillId="0" borderId="0" xfId="0" applyFont="1" applyAlignment="1">
      <alignment vertical="center" wrapText="1"/>
    </xf>
    <xf numFmtId="181" fontId="139" fillId="0" borderId="0" xfId="0" applyFont="1" applyAlignment="1">
      <alignment vertical="top" wrapText="1"/>
    </xf>
    <xf numFmtId="181" fontId="141" fillId="0" borderId="0" xfId="0" applyFont="1" applyAlignment="1">
      <alignment vertical="top" wrapText="1"/>
    </xf>
    <xf numFmtId="181" fontId="135" fillId="0" borderId="24" xfId="0" applyFont="1" applyBorder="1" applyAlignment="1">
      <alignment horizontal="justify" vertical="center"/>
    </xf>
    <xf numFmtId="181" fontId="95" fillId="0" borderId="24" xfId="0" applyFont="1" applyBorder="1" applyAlignment="1">
      <alignment horizontal="center" vertical="center" wrapText="1"/>
    </xf>
    <xf numFmtId="181" fontId="142" fillId="0" borderId="24" xfId="0" applyFont="1" applyBorder="1" applyAlignment="1">
      <alignment horizontal="center" vertical="center" wrapText="1"/>
    </xf>
    <xf numFmtId="181" fontId="140" fillId="0" borderId="0" xfId="0" applyFont="1" applyAlignment="1">
      <alignment horizontal="justify" vertical="center" wrapText="1"/>
    </xf>
    <xf numFmtId="181" fontId="143" fillId="0" borderId="0" xfId="0" applyFont="1" applyAlignment="1">
      <alignment vertical="center" wrapText="1"/>
    </xf>
    <xf numFmtId="3" fontId="135" fillId="0" borderId="0" xfId="0" applyNumberFormat="1" applyFont="1" applyAlignment="1">
      <alignment horizontal="right" vertical="center" wrapText="1"/>
    </xf>
    <xf numFmtId="3" fontId="142" fillId="0" borderId="0" xfId="0" applyNumberFormat="1" applyFont="1" applyAlignment="1">
      <alignment horizontal="right" vertical="center" wrapText="1"/>
    </xf>
    <xf numFmtId="3" fontId="95" fillId="0" borderId="0" xfId="0" applyNumberFormat="1" applyFont="1" applyAlignment="1">
      <alignment horizontal="right" vertical="center" wrapText="1"/>
    </xf>
    <xf numFmtId="15" fontId="140" fillId="0" borderId="0" xfId="0" applyNumberFormat="1" applyFont="1" applyAlignment="1">
      <alignment horizontal="right" vertical="center" wrapText="1"/>
    </xf>
    <xf numFmtId="15" fontId="140" fillId="0" borderId="0" xfId="0" quotePrefix="1" applyNumberFormat="1" applyFont="1" applyAlignment="1">
      <alignment horizontal="center" vertical="center" wrapText="1"/>
    </xf>
    <xf numFmtId="15" fontId="140" fillId="0" borderId="0" xfId="0" applyNumberFormat="1" applyFont="1" applyAlignment="1">
      <alignment horizontal="center" vertical="center" wrapText="1"/>
    </xf>
    <xf numFmtId="181" fontId="140" fillId="0" borderId="0" xfId="0" applyFont="1" applyAlignment="1">
      <alignment horizontal="center" vertical="center" wrapText="1"/>
    </xf>
    <xf numFmtId="181" fontId="111" fillId="0" borderId="0" xfId="0" applyFont="1" applyAlignment="1">
      <alignment horizontal="left" vertical="center" wrapText="1" indent="1"/>
    </xf>
    <xf numFmtId="3" fontId="95" fillId="0" borderId="0" xfId="0" applyNumberFormat="1" applyFont="1" applyAlignment="1">
      <alignment vertical="center" wrapText="1"/>
    </xf>
    <xf numFmtId="3" fontId="95" fillId="0" borderId="70" xfId="0" applyNumberFormat="1" applyFont="1" applyBorder="1" applyAlignment="1">
      <alignment horizontal="right" vertical="center" wrapText="1"/>
    </xf>
    <xf numFmtId="181" fontId="95" fillId="0" borderId="24" xfId="0" applyFont="1" applyBorder="1" applyAlignment="1">
      <alignment vertical="center"/>
    </xf>
    <xf numFmtId="3" fontId="135" fillId="0" borderId="24" xfId="0" applyNumberFormat="1" applyFont="1" applyBorder="1" applyAlignment="1">
      <alignment horizontal="right" vertical="center" wrapText="1"/>
    </xf>
    <xf numFmtId="181" fontId="95" fillId="0" borderId="70" xfId="0" applyFont="1" applyBorder="1" applyAlignment="1">
      <alignment vertical="center"/>
    </xf>
    <xf numFmtId="3" fontId="135" fillId="0" borderId="70" xfId="0" applyNumberFormat="1" applyFont="1" applyBorder="1" applyAlignment="1">
      <alignment horizontal="right" vertical="center" wrapText="1"/>
    </xf>
    <xf numFmtId="181" fontId="135" fillId="0" borderId="70" xfId="0" applyFont="1" applyBorder="1" applyAlignment="1">
      <alignment horizontal="right" vertical="center" wrapText="1"/>
    </xf>
    <xf numFmtId="181" fontId="143" fillId="0" borderId="70" xfId="0" applyFont="1" applyBorder="1" applyAlignment="1">
      <alignment horizontal="right" vertical="center" wrapText="1"/>
    </xf>
    <xf numFmtId="3" fontId="135" fillId="0" borderId="70" xfId="0" applyNumberFormat="1" applyFont="1" applyFill="1" applyBorder="1" applyAlignment="1">
      <alignment horizontal="right" vertical="center" wrapText="1"/>
    </xf>
    <xf numFmtId="3" fontId="0" fillId="0" borderId="0" xfId="0" applyNumberFormat="1"/>
    <xf numFmtId="181" fontId="144" fillId="0" borderId="0" xfId="0" applyFont="1"/>
    <xf numFmtId="3" fontId="107" fillId="4" borderId="0" xfId="0" applyNumberFormat="1" applyFont="1" applyFill="1"/>
    <xf numFmtId="181" fontId="146" fillId="0" borderId="0" xfId="0" applyFont="1" applyAlignment="1">
      <alignment horizontal="center" vertical="center" wrapText="1"/>
    </xf>
    <xf numFmtId="181" fontId="145" fillId="0" borderId="0" xfId="0" applyFont="1" applyAlignment="1">
      <alignment vertical="center" wrapText="1"/>
    </xf>
    <xf numFmtId="181" fontId="140" fillId="0" borderId="27" xfId="0" applyFont="1" applyBorder="1" applyAlignment="1">
      <alignment horizontal="center" vertical="center" wrapText="1"/>
    </xf>
    <xf numFmtId="181" fontId="140" fillId="0" borderId="27" xfId="0" applyFont="1" applyBorder="1" applyAlignment="1">
      <alignment vertical="center" wrapText="1"/>
    </xf>
    <xf numFmtId="181" fontId="140" fillId="0" borderId="0" xfId="0" applyFont="1" applyAlignment="1">
      <alignment vertical="center" wrapText="1"/>
    </xf>
    <xf numFmtId="181" fontId="140" fillId="0" borderId="0" xfId="0" applyFont="1" applyFill="1" applyBorder="1" applyAlignment="1">
      <alignment horizontal="justify" vertical="center" wrapText="1"/>
    </xf>
    <xf numFmtId="181" fontId="140" fillId="0" borderId="0" xfId="0" applyFont="1" applyFill="1" applyBorder="1" applyAlignment="1">
      <alignment horizontal="center" vertical="center" wrapText="1"/>
    </xf>
    <xf numFmtId="15" fontId="140" fillId="0" borderId="0" xfId="0" applyNumberFormat="1" applyFont="1" applyFill="1" applyBorder="1" applyAlignment="1">
      <alignment horizontal="center" vertical="center" wrapText="1"/>
    </xf>
    <xf numFmtId="181" fontId="140" fillId="0" borderId="24" xfId="0" applyFont="1" applyBorder="1" applyAlignment="1">
      <alignment horizontal="justify" vertical="center" wrapText="1"/>
    </xf>
    <xf numFmtId="181" fontId="111" fillId="0" borderId="24" xfId="0" applyFont="1" applyBorder="1" applyAlignment="1">
      <alignment horizontal="center" vertical="center" wrapText="1"/>
    </xf>
    <xf numFmtId="181" fontId="111" fillId="0" borderId="24" xfId="0" applyFont="1" applyBorder="1" applyAlignment="1">
      <alignment vertical="center" wrapText="1"/>
    </xf>
    <xf numFmtId="181" fontId="111" fillId="0" borderId="0" xfId="0" applyFont="1" applyAlignment="1">
      <alignment horizontal="justify" vertical="center" wrapText="1"/>
    </xf>
    <xf numFmtId="181" fontId="142" fillId="0" borderId="0" xfId="0" applyFont="1" applyAlignment="1">
      <alignment horizontal="justify" vertical="center" wrapText="1"/>
    </xf>
    <xf numFmtId="181" fontId="111" fillId="0" borderId="27" xfId="0" applyFont="1" applyBorder="1" applyAlignment="1">
      <alignment vertical="center" wrapText="1"/>
    </xf>
    <xf numFmtId="181" fontId="111" fillId="0" borderId="0" xfId="0" applyFont="1" applyFill="1" applyBorder="1" applyAlignment="1">
      <alignment horizontal="justify" vertical="center" wrapText="1"/>
    </xf>
    <xf numFmtId="179" fontId="140" fillId="0" borderId="0" xfId="1" applyNumberFormat="1" applyFont="1" applyFill="1" applyBorder="1" applyAlignment="1">
      <alignment horizontal="right" vertical="center" wrapText="1"/>
    </xf>
    <xf numFmtId="164" fontId="111" fillId="0" borderId="0" xfId="0" applyNumberFormat="1" applyFont="1" applyFill="1" applyBorder="1" applyAlignment="1">
      <alignment horizontal="right" vertical="center" wrapText="1"/>
    </xf>
    <xf numFmtId="181" fontId="111" fillId="0" borderId="0" xfId="0" applyFont="1" applyFill="1" applyBorder="1" applyAlignment="1">
      <alignment horizontal="left" vertical="center" wrapText="1" indent="1"/>
    </xf>
    <xf numFmtId="179" fontId="135" fillId="0" borderId="0" xfId="1" applyNumberFormat="1" applyFont="1" applyFill="1" applyBorder="1" applyAlignment="1">
      <alignment horizontal="right" vertical="center" wrapText="1"/>
    </xf>
    <xf numFmtId="3" fontId="95" fillId="0" borderId="0" xfId="0" applyNumberFormat="1" applyFont="1" applyFill="1" applyBorder="1" applyAlignment="1">
      <alignment horizontal="right" vertical="center" wrapText="1"/>
    </xf>
    <xf numFmtId="181" fontId="111" fillId="0" borderId="70" xfId="0" applyFont="1" applyBorder="1" applyAlignment="1">
      <alignment vertical="center" wrapText="1"/>
    </xf>
    <xf numFmtId="181" fontId="111" fillId="0" borderId="26" xfId="0" applyFont="1" applyBorder="1" applyAlignment="1">
      <alignment horizontal="left" vertical="center" wrapText="1"/>
    </xf>
    <xf numFmtId="181" fontId="111" fillId="0" borderId="70" xfId="0" applyFont="1" applyBorder="1" applyAlignment="1">
      <alignment horizontal="left" vertical="center" wrapText="1"/>
    </xf>
    <xf numFmtId="181" fontId="143" fillId="0" borderId="70" xfId="0" applyFont="1" applyBorder="1" applyAlignment="1">
      <alignment vertical="center" wrapText="1"/>
    </xf>
    <xf numFmtId="166" fontId="148" fillId="0" borderId="20" xfId="1" applyFont="1" applyFill="1" applyBorder="1" applyAlignment="1">
      <alignment vertical="center"/>
    </xf>
    <xf numFmtId="166" fontId="149" fillId="0" borderId="0" xfId="1" applyNumberFormat="1" applyFont="1" applyFill="1" applyAlignment="1">
      <alignment vertical="center" wrapText="1"/>
    </xf>
    <xf numFmtId="166" fontId="150" fillId="0" borderId="0" xfId="1" applyNumberFormat="1" applyFont="1" applyFill="1" applyAlignment="1">
      <alignment vertical="center" wrapText="1"/>
    </xf>
    <xf numFmtId="168" fontId="150" fillId="0" borderId="0" xfId="7" applyNumberFormat="1" applyFont="1" applyFill="1" applyAlignment="1">
      <alignment horizontal="right" vertical="center" wrapText="1"/>
    </xf>
    <xf numFmtId="171" fontId="149" fillId="0" borderId="0" xfId="7" applyNumberFormat="1" applyFont="1" applyFill="1" applyAlignment="1">
      <alignment horizontal="right" vertical="center" wrapText="1"/>
    </xf>
    <xf numFmtId="191" fontId="148" fillId="0" borderId="0" xfId="1" applyNumberFormat="1" applyFont="1" applyFill="1"/>
    <xf numFmtId="166" fontId="150" fillId="0" borderId="0" xfId="1" applyNumberFormat="1" applyFont="1" applyFill="1" applyAlignment="1">
      <alignment horizontal="right" vertical="center" wrapText="1"/>
    </xf>
    <xf numFmtId="2" fontId="48" fillId="0" borderId="24" xfId="1" applyNumberFormat="1" applyFont="1" applyFill="1" applyBorder="1" applyAlignment="1">
      <alignment horizontal="right" vertical="center"/>
    </xf>
    <xf numFmtId="166" fontId="48" fillId="0" borderId="27" xfId="1" applyFont="1" applyFill="1" applyBorder="1" applyAlignment="1">
      <alignment horizontal="center" vertical="center"/>
    </xf>
    <xf numFmtId="166" fontId="49" fillId="0" borderId="21" xfId="1" applyFont="1" applyFill="1" applyBorder="1" applyAlignment="1">
      <alignment horizontal="right" vertical="center"/>
    </xf>
    <xf numFmtId="168" fontId="125" fillId="0" borderId="21" xfId="7" applyNumberFormat="1" applyFont="1" applyFill="1" applyBorder="1" applyAlignment="1">
      <alignment horizontal="right" vertical="center" wrapText="1"/>
    </xf>
    <xf numFmtId="168" fontId="125" fillId="0" borderId="60" xfId="7" applyNumberFormat="1" applyFont="1" applyFill="1" applyBorder="1" applyAlignment="1">
      <alignment horizontal="right" vertical="center" wrapText="1"/>
    </xf>
    <xf numFmtId="166" fontId="0" fillId="0" borderId="0" xfId="1" applyFont="1" applyFill="1"/>
    <xf numFmtId="166" fontId="148" fillId="0" borderId="0" xfId="1" applyNumberFormat="1" applyFont="1" applyFill="1" applyBorder="1" applyAlignment="1">
      <alignment horizontal="right" vertical="center" wrapText="1"/>
    </xf>
    <xf numFmtId="168" fontId="150" fillId="0" borderId="21" xfId="7" applyNumberFormat="1" applyFont="1" applyFill="1" applyBorder="1" applyAlignment="1">
      <alignment horizontal="right" vertical="center" wrapText="1"/>
    </xf>
    <xf numFmtId="171" fontId="149" fillId="0" borderId="0" xfId="7" applyNumberFormat="1" applyFont="1" applyFill="1" applyAlignment="1">
      <alignment vertical="center" wrapText="1"/>
    </xf>
    <xf numFmtId="166" fontId="125" fillId="0" borderId="0" xfId="1" applyNumberFormat="1" applyFont="1" applyFill="1" applyBorder="1" applyAlignment="1">
      <alignment horizontal="right" vertical="center" wrapText="1"/>
    </xf>
    <xf numFmtId="166" fontId="125" fillId="0" borderId="56" xfId="1" applyFont="1" applyFill="1" applyBorder="1" applyAlignment="1">
      <alignment horizontal="right" vertical="center" wrapText="1"/>
    </xf>
    <xf numFmtId="166" fontId="125" fillId="0" borderId="21" xfId="1" applyFont="1" applyFill="1" applyBorder="1" applyAlignment="1">
      <alignment horizontal="right" vertical="center" wrapText="1"/>
    </xf>
    <xf numFmtId="166" fontId="0" fillId="0" borderId="0" xfId="1" applyFont="1" applyFill="1" applyBorder="1"/>
    <xf numFmtId="179" fontId="126" fillId="0" borderId="0" xfId="1" applyNumberFormat="1" applyFont="1" applyFill="1" applyBorder="1" applyAlignment="1">
      <alignment horizontal="right" vertical="center"/>
    </xf>
    <xf numFmtId="166" fontId="126" fillId="0" borderId="57" xfId="1" applyFont="1" applyFill="1" applyBorder="1" applyAlignment="1">
      <alignment horizontal="right" vertical="center"/>
    </xf>
    <xf numFmtId="166" fontId="125" fillId="0" borderId="57" xfId="1" applyFont="1" applyFill="1" applyBorder="1" applyAlignment="1">
      <alignment horizontal="right" vertical="center" wrapText="1"/>
    </xf>
    <xf numFmtId="168" fontId="125" fillId="0" borderId="34" xfId="7" applyNumberFormat="1" applyFont="1" applyFill="1" applyBorder="1" applyAlignment="1">
      <alignment horizontal="right" vertical="center" wrapText="1"/>
    </xf>
    <xf numFmtId="179" fontId="49" fillId="0" borderId="27" xfId="1" applyNumberFormat="1" applyFont="1" applyFill="1" applyBorder="1" applyAlignment="1">
      <alignment horizontal="right" vertical="center"/>
    </xf>
    <xf numFmtId="168" fontId="125" fillId="0" borderId="28" xfId="7" applyNumberFormat="1" applyFont="1" applyFill="1" applyBorder="1" applyAlignment="1">
      <alignment horizontal="right" vertical="center" wrapText="1"/>
    </xf>
    <xf numFmtId="179" fontId="49" fillId="0" borderId="24" xfId="1" applyNumberFormat="1" applyFont="1" applyFill="1" applyBorder="1" applyAlignment="1">
      <alignment horizontal="right" vertical="center"/>
    </xf>
    <xf numFmtId="168" fontId="125" fillId="0" borderId="23" xfId="7" applyNumberFormat="1" applyFont="1" applyFill="1" applyBorder="1" applyAlignment="1">
      <alignment horizontal="right" vertical="center" wrapText="1"/>
    </xf>
    <xf numFmtId="179" fontId="48" fillId="0" borderId="62" xfId="1" applyNumberFormat="1" applyFont="1" applyFill="1" applyBorder="1" applyAlignment="1">
      <alignment horizontal="right" vertical="center"/>
    </xf>
    <xf numFmtId="179" fontId="49" fillId="0" borderId="62" xfId="1" applyNumberFormat="1" applyFont="1" applyFill="1" applyBorder="1" applyAlignment="1">
      <alignment horizontal="right" vertical="center"/>
    </xf>
    <xf numFmtId="191" fontId="0" fillId="0" borderId="0" xfId="1" applyNumberFormat="1" applyFont="1" applyFill="1"/>
    <xf numFmtId="2" fontId="12" fillId="0" borderId="0" xfId="412" applyNumberFormat="1" applyFill="1"/>
    <xf numFmtId="2" fontId="48" fillId="0" borderId="27" xfId="412" applyNumberFormat="1" applyFont="1" applyFill="1" applyBorder="1" applyAlignment="1">
      <alignment horizontal="center" vertical="center"/>
    </xf>
    <xf numFmtId="1" fontId="48" fillId="0" borderId="24" xfId="412" applyNumberFormat="1" applyFont="1" applyFill="1" applyBorder="1" applyAlignment="1">
      <alignment horizontal="right" vertical="center"/>
    </xf>
    <xf numFmtId="171" fontId="48" fillId="0" borderId="0" xfId="7" applyNumberFormat="1" applyFont="1" applyFill="1" applyAlignment="1">
      <alignment horizontal="right" vertical="center" wrapText="1"/>
    </xf>
    <xf numFmtId="171" fontId="49" fillId="0" borderId="0" xfId="7" applyNumberFormat="1" applyFont="1" applyFill="1" applyAlignment="1">
      <alignment horizontal="right" vertical="center" wrapText="1"/>
    </xf>
    <xf numFmtId="191" fontId="49" fillId="0" borderId="21" xfId="1" applyNumberFormat="1" applyFont="1" applyFill="1" applyBorder="1"/>
    <xf numFmtId="171" fontId="48" fillId="0" borderId="57" xfId="7" applyNumberFormat="1" applyFont="1" applyFill="1" applyBorder="1" applyAlignment="1">
      <alignment horizontal="right" vertical="center" wrapText="1"/>
    </xf>
    <xf numFmtId="171" fontId="49" fillId="0" borderId="57" xfId="7" applyNumberFormat="1" applyFont="1" applyFill="1" applyBorder="1" applyAlignment="1">
      <alignment horizontal="right" vertical="center" wrapText="1"/>
    </xf>
    <xf numFmtId="181" fontId="12" fillId="0" borderId="0" xfId="412" applyFill="1"/>
    <xf numFmtId="2" fontId="48" fillId="0" borderId="27" xfId="1" applyNumberFormat="1" applyFont="1" applyFill="1" applyBorder="1" applyAlignment="1">
      <alignment horizontal="center" vertical="center"/>
    </xf>
    <xf numFmtId="49" fontId="0" fillId="0" borderId="27" xfId="1" applyNumberFormat="1" applyFont="1" applyFill="1" applyBorder="1"/>
    <xf numFmtId="1" fontId="48" fillId="0" borderId="24" xfId="1" applyNumberFormat="1" applyFont="1" applyFill="1" applyBorder="1" applyAlignment="1">
      <alignment horizontal="right" vertical="center"/>
    </xf>
    <xf numFmtId="179" fontId="48" fillId="0" borderId="0" xfId="1" applyNumberFormat="1" applyFont="1" applyFill="1" applyAlignment="1">
      <alignment horizontal="right" vertical="center"/>
    </xf>
    <xf numFmtId="179" fontId="49" fillId="0" borderId="0" xfId="1" applyNumberFormat="1" applyFont="1" applyFill="1" applyAlignment="1">
      <alignment horizontal="right" vertical="center"/>
    </xf>
    <xf numFmtId="179" fontId="48" fillId="0" borderId="57" xfId="1" applyNumberFormat="1" applyFont="1" applyFill="1" applyBorder="1" applyAlignment="1">
      <alignment horizontal="right" vertical="center"/>
    </xf>
    <xf numFmtId="179" fontId="49" fillId="0" borderId="57" xfId="1" applyNumberFormat="1" applyFont="1" applyFill="1" applyBorder="1" applyAlignment="1">
      <alignment horizontal="right" vertical="center"/>
    </xf>
    <xf numFmtId="0" fontId="12" fillId="0" borderId="27" xfId="412" applyNumberFormat="1" applyFill="1" applyBorder="1"/>
    <xf numFmtId="0" fontId="48" fillId="0" borderId="28" xfId="412" applyNumberFormat="1" applyFont="1" applyFill="1" applyBorder="1" applyAlignment="1">
      <alignment vertical="center" wrapText="1"/>
    </xf>
    <xf numFmtId="0" fontId="48" fillId="0" borderId="21" xfId="412" applyNumberFormat="1" applyFont="1" applyFill="1" applyBorder="1" applyAlignment="1">
      <alignment vertical="center" wrapText="1"/>
    </xf>
    <xf numFmtId="0" fontId="48" fillId="0" borderId="24" xfId="412" applyNumberFormat="1" applyFont="1" applyFill="1" applyBorder="1" applyAlignment="1">
      <alignment horizontal="right" vertical="center"/>
    </xf>
    <xf numFmtId="0" fontId="48" fillId="0" borderId="23" xfId="412" applyNumberFormat="1" applyFont="1" applyFill="1" applyBorder="1" applyAlignment="1">
      <alignment vertical="center" wrapText="1"/>
    </xf>
    <xf numFmtId="179" fontId="48" fillId="0" borderId="27" xfId="1" applyNumberFormat="1" applyFont="1" applyFill="1" applyBorder="1" applyAlignment="1">
      <alignment horizontal="right" vertical="center" wrapText="1"/>
    </xf>
    <xf numFmtId="179" fontId="48" fillId="0" borderId="0" xfId="1" applyNumberFormat="1" applyFont="1" applyFill="1" applyBorder="1" applyAlignment="1">
      <alignment horizontal="right" vertical="center" wrapText="1"/>
    </xf>
    <xf numFmtId="181" fontId="49" fillId="0" borderId="0" xfId="412" applyFont="1" applyFill="1" applyAlignment="1">
      <alignment horizontal="right" vertical="center" wrapText="1"/>
    </xf>
    <xf numFmtId="181" fontId="49" fillId="0" borderId="21" xfId="412" applyFont="1" applyFill="1" applyBorder="1" applyAlignment="1">
      <alignment horizontal="right" vertical="center" wrapText="1"/>
    </xf>
    <xf numFmtId="171" fontId="48" fillId="0" borderId="0" xfId="7" applyNumberFormat="1" applyFont="1" applyFill="1" applyBorder="1" applyAlignment="1">
      <alignment horizontal="right" vertical="center" wrapText="1"/>
    </xf>
    <xf numFmtId="171" fontId="49" fillId="0" borderId="0" xfId="7" applyNumberFormat="1" applyFont="1" applyFill="1" applyBorder="1" applyAlignment="1">
      <alignment horizontal="right" vertical="center" wrapText="1"/>
    </xf>
    <xf numFmtId="171" fontId="48" fillId="0" borderId="24" xfId="7" applyNumberFormat="1" applyFont="1" applyFill="1" applyBorder="1" applyAlignment="1">
      <alignment horizontal="right" vertical="center" wrapText="1"/>
    </xf>
    <xf numFmtId="171" fontId="49" fillId="0" borderId="24" xfId="7" applyNumberFormat="1" applyFont="1" applyFill="1" applyBorder="1" applyAlignment="1">
      <alignment horizontal="right" vertical="center" wrapText="1"/>
    </xf>
    <xf numFmtId="191" fontId="49" fillId="0" borderId="23" xfId="1" applyNumberFormat="1" applyFont="1" applyFill="1" applyBorder="1"/>
    <xf numFmtId="9" fontId="48" fillId="0" borderId="24" xfId="7" applyFont="1" applyFill="1" applyBorder="1" applyAlignment="1">
      <alignment horizontal="right" vertical="center" wrapText="1"/>
    </xf>
    <xf numFmtId="9" fontId="49" fillId="0" borderId="24" xfId="7" applyFont="1" applyFill="1" applyBorder="1" applyAlignment="1">
      <alignment horizontal="right" vertical="center" wrapText="1"/>
    </xf>
    <xf numFmtId="181" fontId="49" fillId="0" borderId="23" xfId="412" applyFont="1" applyFill="1" applyBorder="1" applyAlignment="1">
      <alignment horizontal="right" vertical="center" wrapText="1"/>
    </xf>
    <xf numFmtId="2" fontId="48" fillId="0" borderId="27" xfId="412" applyNumberFormat="1" applyFont="1" applyFill="1" applyBorder="1" applyAlignment="1">
      <alignment horizontal="center" vertical="center" wrapText="1"/>
    </xf>
    <xf numFmtId="0" fontId="12" fillId="0" borderId="27" xfId="412" applyNumberFormat="1" applyFill="1" applyBorder="1" applyAlignment="1">
      <alignment wrapText="1"/>
    </xf>
    <xf numFmtId="0" fontId="48" fillId="0" borderId="24" xfId="412" applyNumberFormat="1" applyFont="1" applyFill="1" applyBorder="1" applyAlignment="1">
      <alignment horizontal="right" vertical="center" wrapText="1"/>
    </xf>
    <xf numFmtId="191" fontId="49" fillId="0" borderId="21" xfId="1" applyNumberFormat="1" applyFont="1" applyFill="1" applyBorder="1" applyAlignment="1">
      <alignment horizontal="right"/>
    </xf>
    <xf numFmtId="171" fontId="48" fillId="0" borderId="24" xfId="7" applyNumberFormat="1" applyFont="1" applyFill="1" applyBorder="1" applyAlignment="1">
      <alignment horizontal="right" vertical="center"/>
    </xf>
    <xf numFmtId="171" fontId="49" fillId="0" borderId="24" xfId="7" applyNumberFormat="1" applyFont="1" applyFill="1" applyBorder="1" applyAlignment="1">
      <alignment horizontal="right" vertical="center"/>
    </xf>
    <xf numFmtId="191" fontId="49" fillId="0" borderId="23" xfId="1" applyNumberFormat="1" applyFont="1" applyFill="1" applyBorder="1" applyAlignment="1">
      <alignment horizontal="right"/>
    </xf>
    <xf numFmtId="2" fontId="48" fillId="0" borderId="27" xfId="1" applyNumberFormat="1" applyFont="1" applyFill="1" applyBorder="1" applyAlignment="1">
      <alignment vertical="center" wrapText="1"/>
    </xf>
    <xf numFmtId="0" fontId="48" fillId="0" borderId="27" xfId="1" applyNumberFormat="1" applyFont="1" applyFill="1" applyBorder="1" applyAlignment="1">
      <alignment vertical="center" wrapText="1"/>
    </xf>
    <xf numFmtId="0" fontId="48" fillId="0" borderId="24" xfId="1" applyNumberFormat="1" applyFont="1" applyFill="1" applyBorder="1" applyAlignment="1">
      <alignment horizontal="right" vertical="center"/>
    </xf>
    <xf numFmtId="168" fontId="49" fillId="0" borderId="21" xfId="7" applyNumberFormat="1" applyFont="1" applyFill="1" applyBorder="1" applyAlignment="1">
      <alignment horizontal="right" vertical="center"/>
    </xf>
    <xf numFmtId="168" fontId="49" fillId="0" borderId="28" xfId="7" applyNumberFormat="1" applyFont="1" applyFill="1" applyBorder="1" applyAlignment="1">
      <alignment horizontal="right" vertical="center"/>
    </xf>
    <xf numFmtId="168" fontId="49" fillId="0" borderId="23" xfId="7" applyNumberFormat="1" applyFont="1" applyFill="1" applyBorder="1" applyAlignment="1">
      <alignment horizontal="right" vertical="center"/>
    </xf>
    <xf numFmtId="168" fontId="49" fillId="0" borderId="21" xfId="7" applyNumberFormat="1" applyFont="1" applyFill="1" applyBorder="1" applyAlignment="1">
      <alignment horizontal="right" vertical="center" wrapText="1"/>
    </xf>
    <xf numFmtId="2" fontId="48" fillId="0" borderId="27" xfId="412" applyNumberFormat="1" applyFont="1" applyFill="1" applyBorder="1" applyAlignment="1">
      <alignment vertical="center" wrapText="1"/>
    </xf>
    <xf numFmtId="0" fontId="48" fillId="0" borderId="27" xfId="412" applyNumberFormat="1" applyFont="1" applyFill="1" applyBorder="1" applyAlignment="1">
      <alignment vertical="center" wrapText="1"/>
    </xf>
    <xf numFmtId="0" fontId="0" fillId="0" borderId="27" xfId="1" applyNumberFormat="1" applyFont="1" applyFill="1" applyBorder="1"/>
    <xf numFmtId="166" fontId="140" fillId="0" borderId="0" xfId="1" applyFont="1" applyAlignment="1">
      <alignment horizontal="right" vertical="center" wrapText="1"/>
    </xf>
    <xf numFmtId="166" fontId="140" fillId="0" borderId="0" xfId="1" quotePrefix="1" applyFont="1" applyAlignment="1">
      <alignment horizontal="center" vertical="center" wrapText="1"/>
    </xf>
    <xf numFmtId="166" fontId="140" fillId="0" borderId="0" xfId="1" applyFont="1" applyAlignment="1">
      <alignment horizontal="center" vertical="center" wrapText="1"/>
    </xf>
    <xf numFmtId="0" fontId="135" fillId="0" borderId="70" xfId="0" applyNumberFormat="1" applyFont="1" applyBorder="1" applyAlignment="1">
      <alignment horizontal="right" vertical="center" wrapText="1"/>
    </xf>
    <xf numFmtId="166" fontId="143" fillId="0" borderId="70" xfId="1" applyFont="1" applyBorder="1" applyAlignment="1">
      <alignment horizontal="right" vertical="center" wrapText="1"/>
    </xf>
    <xf numFmtId="179" fontId="143" fillId="0" borderId="70" xfId="1" applyNumberFormat="1" applyFont="1" applyBorder="1" applyAlignment="1">
      <alignment horizontal="right" vertical="center" wrapText="1"/>
    </xf>
    <xf numFmtId="166" fontId="0" fillId="0" borderId="0" xfId="1" applyFont="1" applyFill="1" applyProtection="1"/>
    <xf numFmtId="166" fontId="0" fillId="0" borderId="0" xfId="1" applyFont="1" applyFill="1" applyBorder="1" applyAlignment="1" applyProtection="1">
      <protection locked="0"/>
    </xf>
    <xf numFmtId="166" fontId="12" fillId="0" borderId="0" xfId="1" applyProtection="1">
      <protection locked="0"/>
    </xf>
    <xf numFmtId="166" fontId="12" fillId="0" borderId="0" xfId="1" applyFill="1" applyProtection="1">
      <protection locked="0"/>
    </xf>
    <xf numFmtId="166" fontId="12" fillId="0" borderId="0" xfId="1" applyFill="1" applyBorder="1" applyProtection="1">
      <protection locked="0"/>
    </xf>
    <xf numFmtId="166" fontId="42" fillId="0" borderId="0" xfId="1" applyFont="1" applyProtection="1">
      <protection locked="0"/>
    </xf>
    <xf numFmtId="166" fontId="12" fillId="0" borderId="0" xfId="1" applyBorder="1" applyProtection="1">
      <protection locked="0"/>
    </xf>
    <xf numFmtId="166" fontId="12" fillId="0" borderId="0" xfId="1" applyFill="1" applyProtection="1"/>
    <xf numFmtId="166" fontId="12" fillId="0" borderId="0" xfId="1" applyFill="1" applyBorder="1" applyProtection="1"/>
    <xf numFmtId="166" fontId="12" fillId="0" borderId="0" xfId="1" applyFill="1" applyBorder="1" applyAlignment="1" applyProtection="1"/>
    <xf numFmtId="166" fontId="17" fillId="0" borderId="0" xfId="1" applyFont="1" applyFill="1" applyAlignment="1" applyProtection="1"/>
    <xf numFmtId="166" fontId="12" fillId="0" borderId="0" xfId="1" applyFill="1" applyAlignment="1" applyProtection="1"/>
    <xf numFmtId="166" fontId="12" fillId="0" borderId="0" xfId="1" applyProtection="1"/>
    <xf numFmtId="166" fontId="12" fillId="0" borderId="0" xfId="1" applyBorder="1" applyProtection="1"/>
    <xf numFmtId="166" fontId="12" fillId="0" borderId="0" xfId="1" applyAlignment="1" applyProtection="1"/>
    <xf numFmtId="166" fontId="12" fillId="0" borderId="0" xfId="1" applyAlignment="1" applyProtection="1">
      <protection locked="0"/>
    </xf>
    <xf numFmtId="166" fontId="12" fillId="0" borderId="0" xfId="1" applyBorder="1" applyAlignment="1" applyProtection="1"/>
    <xf numFmtId="166" fontId="17" fillId="0" borderId="0" xfId="1" applyFont="1" applyAlignment="1" applyProtection="1"/>
    <xf numFmtId="166" fontId="17" fillId="0" borderId="0" xfId="1" applyFont="1" applyFill="1" applyAlignment="1" applyProtection="1">
      <alignment horizontal="right"/>
    </xf>
    <xf numFmtId="166" fontId="17" fillId="0" borderId="0" xfId="1" applyFont="1" applyBorder="1" applyAlignment="1" applyProtection="1">
      <alignment horizontal="right"/>
    </xf>
    <xf numFmtId="181" fontId="140" fillId="0" borderId="0" xfId="0" applyFont="1" applyAlignment="1">
      <alignment horizontal="center" vertical="center" wrapText="1"/>
    </xf>
    <xf numFmtId="181" fontId="140" fillId="0" borderId="0" xfId="0" applyFont="1" applyBorder="1" applyAlignment="1">
      <alignment horizontal="center" vertical="center" wrapText="1"/>
    </xf>
    <xf numFmtId="181" fontId="49" fillId="0" borderId="0" xfId="0" applyFont="1"/>
    <xf numFmtId="181" fontId="140" fillId="0" borderId="0" xfId="0" applyFont="1" applyBorder="1" applyAlignment="1">
      <alignment vertical="center" wrapText="1"/>
    </xf>
    <xf numFmtId="169" fontId="17" fillId="0" borderId="44" xfId="13" applyNumberFormat="1" applyFont="1" applyFill="1" applyBorder="1" applyAlignment="1" applyProtection="1"/>
    <xf numFmtId="169" fontId="17" fillId="0" borderId="10" xfId="16" applyNumberFormat="1" applyFont="1" applyFill="1" applyBorder="1" applyAlignment="1" applyProtection="1">
      <alignment horizontal="right"/>
    </xf>
    <xf numFmtId="179" fontId="17" fillId="0" borderId="13" xfId="13" applyNumberFormat="1" applyFont="1" applyFill="1" applyBorder="1" applyAlignment="1" applyProtection="1"/>
    <xf numFmtId="179" fontId="17" fillId="0" borderId="6" xfId="13" applyNumberFormat="1" applyFont="1" applyFill="1" applyBorder="1" applyAlignment="1" applyProtection="1"/>
    <xf numFmtId="181" fontId="12" fillId="0" borderId="0" xfId="0" applyFont="1" applyFill="1" applyBorder="1" applyAlignment="1"/>
    <xf numFmtId="179" fontId="17" fillId="0" borderId="2" xfId="1" applyNumberFormat="1" applyFont="1" applyFill="1" applyBorder="1" applyProtection="1"/>
    <xf numFmtId="179" fontId="17" fillId="0" borderId="6" xfId="0" applyNumberFormat="1" applyFont="1" applyBorder="1" applyProtection="1"/>
    <xf numFmtId="37" fontId="17" fillId="0" borderId="2" xfId="16" applyNumberFormat="1" applyFont="1" applyFill="1" applyBorder="1" applyAlignment="1" applyProtection="1">
      <alignment horizontal="right"/>
    </xf>
    <xf numFmtId="0" fontId="74" fillId="0" borderId="2" xfId="75" applyFont="1" applyFill="1" applyBorder="1" applyAlignment="1" applyProtection="1">
      <alignment horizontal="center"/>
    </xf>
    <xf numFmtId="169" fontId="17" fillId="0" borderId="3" xfId="13" applyNumberFormat="1" applyFont="1" applyFill="1" applyBorder="1" applyAlignment="1" applyProtection="1"/>
    <xf numFmtId="168" fontId="17" fillId="0" borderId="4" xfId="7" quotePrefix="1" applyNumberFormat="1" applyFont="1" applyFill="1" applyBorder="1" applyAlignment="1" applyProtection="1">
      <alignment horizontal="right"/>
    </xf>
    <xf numFmtId="181" fontId="24" fillId="0" borderId="2" xfId="0" applyFont="1" applyFill="1" applyBorder="1" applyAlignment="1" applyProtection="1">
      <alignment horizontal="center"/>
    </xf>
    <xf numFmtId="169" fontId="17" fillId="0" borderId="3" xfId="0" applyNumberFormat="1" applyFont="1" applyBorder="1" applyProtection="1"/>
    <xf numFmtId="169" fontId="23" fillId="0" borderId="16" xfId="1" applyNumberFormat="1" applyFont="1" applyFill="1" applyBorder="1" applyProtection="1"/>
    <xf numFmtId="166" fontId="125" fillId="0" borderId="71" xfId="1" applyFont="1" applyFill="1" applyBorder="1" applyAlignment="1">
      <alignment horizontal="right" vertical="center" wrapText="1"/>
    </xf>
    <xf numFmtId="10" fontId="15" fillId="0" borderId="0" xfId="7" applyNumberFormat="1" applyFont="1" applyFill="1" applyBorder="1" applyAlignment="1" applyProtection="1">
      <alignment horizontal="left"/>
    </xf>
    <xf numFmtId="179" fontId="22" fillId="0" borderId="8" xfId="1" applyNumberFormat="1" applyFont="1" applyFill="1" applyBorder="1" applyProtection="1"/>
    <xf numFmtId="179" fontId="0" fillId="0" borderId="10" xfId="1" applyNumberFormat="1" applyFont="1" applyBorder="1" applyProtection="1"/>
    <xf numFmtId="179" fontId="17" fillId="0" borderId="19" xfId="1" applyNumberFormat="1" applyFont="1" applyBorder="1" applyProtection="1"/>
    <xf numFmtId="179" fontId="17" fillId="0" borderId="18" xfId="1" applyNumberFormat="1" applyFont="1" applyBorder="1" applyProtection="1"/>
    <xf numFmtId="179" fontId="0" fillId="0" borderId="0" xfId="1" applyNumberFormat="1" applyFont="1" applyFill="1" applyProtection="1"/>
    <xf numFmtId="171" fontId="17" fillId="0" borderId="11" xfId="7" applyNumberFormat="1" applyFont="1" applyFill="1" applyBorder="1" applyAlignment="1" applyProtection="1">
      <alignment horizontal="right"/>
    </xf>
    <xf numFmtId="171" fontId="17" fillId="0" borderId="11" xfId="7" applyNumberFormat="1" applyFont="1" applyBorder="1" applyAlignment="1" applyProtection="1">
      <alignment horizontal="right"/>
    </xf>
    <xf numFmtId="171" fontId="17" fillId="0" borderId="14" xfId="7" applyNumberFormat="1" applyFont="1" applyBorder="1" applyAlignment="1" applyProtection="1">
      <alignment horizontal="right"/>
    </xf>
    <xf numFmtId="171" fontId="17" fillId="0" borderId="11" xfId="7" applyNumberFormat="1" applyFont="1" applyBorder="1" applyProtection="1"/>
    <xf numFmtId="193" fontId="49" fillId="0" borderId="0" xfId="1" applyNumberFormat="1" applyFont="1"/>
    <xf numFmtId="193" fontId="0" fillId="0" borderId="57" xfId="1" applyNumberFormat="1" applyFont="1" applyBorder="1"/>
    <xf numFmtId="193" fontId="49" fillId="0" borderId="28" xfId="1" applyNumberFormat="1" applyFont="1" applyFill="1" applyBorder="1"/>
    <xf numFmtId="193" fontId="49" fillId="0" borderId="21" xfId="1" applyNumberFormat="1" applyFont="1" applyFill="1" applyBorder="1"/>
    <xf numFmtId="193" fontId="0" fillId="0" borderId="34" xfId="1" applyNumberFormat="1" applyFont="1" applyFill="1" applyBorder="1"/>
    <xf numFmtId="166" fontId="151" fillId="0" borderId="20" xfId="1" applyFont="1" applyBorder="1" applyAlignment="1">
      <alignment horizontal="left" vertical="center" indent="1"/>
    </xf>
    <xf numFmtId="166" fontId="49" fillId="0" borderId="65" xfId="1" applyFont="1" applyBorder="1" applyAlignment="1">
      <alignment horizontal="left" vertical="center"/>
    </xf>
    <xf numFmtId="168" fontId="49" fillId="0" borderId="0" xfId="7" applyNumberFormat="1" applyFont="1" applyFill="1" applyAlignment="1">
      <alignment horizontal="right" vertical="center" wrapText="1"/>
    </xf>
    <xf numFmtId="168" fontId="49" fillId="0" borderId="24" xfId="7" applyNumberFormat="1" applyFont="1" applyFill="1" applyBorder="1" applyAlignment="1">
      <alignment horizontal="right" vertical="center" wrapText="1"/>
    </xf>
    <xf numFmtId="168" fontId="49" fillId="0" borderId="0" xfId="7" applyNumberFormat="1" applyFont="1" applyFill="1" applyBorder="1" applyAlignment="1">
      <alignment horizontal="right" vertical="center" wrapText="1"/>
    </xf>
    <xf numFmtId="168" fontId="49" fillId="0" borderId="66" xfId="7" applyNumberFormat="1" applyFont="1" applyFill="1" applyBorder="1" applyAlignment="1">
      <alignment horizontal="right" vertical="center" wrapText="1"/>
    </xf>
    <xf numFmtId="168" fontId="49" fillId="0" borderId="62" xfId="7" applyNumberFormat="1" applyFont="1" applyFill="1" applyBorder="1" applyAlignment="1">
      <alignment horizontal="right" vertical="center" wrapText="1"/>
    </xf>
    <xf numFmtId="168" fontId="49" fillId="0" borderId="61" xfId="7" applyNumberFormat="1" applyFont="1" applyFill="1" applyBorder="1" applyAlignment="1">
      <alignment horizontal="right" vertical="center" wrapText="1"/>
    </xf>
    <xf numFmtId="168" fontId="49" fillId="0" borderId="28" xfId="7" applyNumberFormat="1" applyFont="1" applyFill="1" applyBorder="1" applyAlignment="1">
      <alignment horizontal="right" vertical="center" wrapText="1"/>
    </xf>
    <xf numFmtId="168" fontId="49" fillId="0" borderId="23" xfId="7" applyNumberFormat="1" applyFont="1" applyFill="1" applyBorder="1" applyAlignment="1">
      <alignment horizontal="right" vertical="center" wrapText="1"/>
    </xf>
    <xf numFmtId="168" fontId="49" fillId="0" borderId="60" xfId="7" applyNumberFormat="1" applyFont="1" applyFill="1" applyBorder="1" applyAlignment="1">
      <alignment horizontal="right" vertical="center" wrapText="1"/>
    </xf>
    <xf numFmtId="168" fontId="49" fillId="0" borderId="67" xfId="7" applyNumberFormat="1" applyFont="1" applyFill="1" applyBorder="1" applyAlignment="1">
      <alignment horizontal="right" vertical="center" wrapText="1"/>
    </xf>
    <xf numFmtId="168" fontId="49" fillId="0" borderId="69" xfId="7" applyNumberFormat="1" applyFont="1" applyFill="1" applyBorder="1" applyAlignment="1">
      <alignment horizontal="right" vertical="center" wrapText="1"/>
    </xf>
    <xf numFmtId="171" fontId="17" fillId="0" borderId="4" xfId="7" applyNumberFormat="1" applyFont="1" applyFill="1" applyBorder="1" applyProtection="1"/>
    <xf numFmtId="171" fontId="17" fillId="0" borderId="1" xfId="7" applyNumberFormat="1" applyFont="1" applyFill="1" applyBorder="1" applyAlignment="1" applyProtection="1">
      <alignment horizontal="right"/>
    </xf>
    <xf numFmtId="170" fontId="22" fillId="0" borderId="10" xfId="1" applyNumberFormat="1" applyFont="1" applyFill="1" applyBorder="1" applyProtection="1"/>
    <xf numFmtId="166" fontId="17" fillId="0" borderId="0" xfId="1" applyFont="1" applyFill="1" applyBorder="1" applyAlignment="1" applyProtection="1">
      <alignment horizontal="center"/>
    </xf>
    <xf numFmtId="170" fontId="17" fillId="0" borderId="10" xfId="0" applyNumberFormat="1" applyFont="1" applyFill="1" applyBorder="1" applyAlignment="1" applyProtection="1"/>
    <xf numFmtId="181" fontId="17" fillId="0" borderId="5" xfId="0" applyFont="1" applyFill="1" applyBorder="1" applyAlignment="1" applyProtection="1"/>
    <xf numFmtId="181" fontId="23" fillId="0" borderId="15" xfId="0" applyFont="1" applyFill="1" applyBorder="1" applyAlignment="1" applyProtection="1">
      <alignment horizontal="center"/>
    </xf>
    <xf numFmtId="179" fontId="17" fillId="0" borderId="16" xfId="1" applyNumberFormat="1" applyFont="1" applyFill="1" applyBorder="1" applyAlignment="1" applyProtection="1"/>
    <xf numFmtId="179" fontId="17" fillId="0" borderId="19" xfId="1" applyNumberFormat="1" applyFont="1" applyFill="1" applyBorder="1" applyAlignment="1" applyProtection="1"/>
    <xf numFmtId="179" fontId="17" fillId="0" borderId="18" xfId="1" applyNumberFormat="1" applyFont="1" applyFill="1" applyBorder="1" applyAlignment="1" applyProtection="1"/>
    <xf numFmtId="37" fontId="17" fillId="0" borderId="13" xfId="0" applyNumberFormat="1" applyFont="1" applyFill="1" applyBorder="1" applyProtection="1"/>
    <xf numFmtId="0" fontId="26" fillId="0" borderId="0" xfId="75" applyFont="1" applyFill="1" applyBorder="1" applyProtection="1"/>
    <xf numFmtId="169" fontId="17" fillId="0" borderId="13" xfId="157" applyNumberFormat="1" applyFont="1" applyFill="1" applyBorder="1" applyProtection="1"/>
    <xf numFmtId="179" fontId="12" fillId="0" borderId="0" xfId="75" applyNumberFormat="1" applyFill="1" applyBorder="1" applyProtection="1"/>
    <xf numFmtId="167" fontId="17" fillId="0" borderId="12" xfId="13" applyNumberFormat="1" applyFont="1" applyFill="1" applyBorder="1" applyAlignment="1" applyProtection="1">
      <alignment horizontal="right"/>
    </xf>
    <xf numFmtId="179" fontId="17" fillId="0" borderId="10" xfId="16" applyNumberFormat="1" applyFont="1" applyFill="1" applyBorder="1" applyAlignment="1" applyProtection="1">
      <alignment horizontal="right"/>
    </xf>
    <xf numFmtId="169" fontId="17" fillId="0" borderId="12" xfId="13" applyNumberFormat="1" applyFont="1" applyFill="1" applyBorder="1" applyAlignment="1" applyProtection="1">
      <alignment horizontal="right"/>
    </xf>
    <xf numFmtId="181" fontId="26" fillId="0" borderId="0" xfId="0" applyFont="1" applyFill="1" applyBorder="1" applyProtection="1"/>
    <xf numFmtId="179" fontId="17" fillId="0" borderId="0" xfId="0" applyNumberFormat="1" applyFont="1" applyFill="1" applyBorder="1" applyProtection="1"/>
    <xf numFmtId="192" fontId="17" fillId="0" borderId="0" xfId="0" applyNumberFormat="1" applyFont="1" applyFill="1" applyBorder="1" applyProtection="1"/>
    <xf numFmtId="168" fontId="22" fillId="0" borderId="11" xfId="7" applyNumberFormat="1" applyFont="1" applyFill="1" applyBorder="1" applyAlignment="1" applyProtection="1">
      <alignment horizontal="right"/>
      <protection locked="0"/>
    </xf>
    <xf numFmtId="181" fontId="17" fillId="0" borderId="11" xfId="0" applyFont="1" applyFill="1" applyBorder="1" applyAlignment="1" applyProtection="1">
      <protection locked="0"/>
    </xf>
    <xf numFmtId="168" fontId="17" fillId="0" borderId="11" xfId="16" applyNumberFormat="1" applyFont="1" applyFill="1" applyBorder="1" applyAlignment="1" applyProtection="1">
      <alignment horizontal="left"/>
      <protection locked="0"/>
    </xf>
    <xf numFmtId="0" fontId="74" fillId="0" borderId="11" xfId="75" applyFont="1" applyFill="1" applyBorder="1" applyAlignment="1" applyProtection="1">
      <alignment horizontal="center"/>
      <protection locked="0"/>
    </xf>
    <xf numFmtId="0" fontId="17" fillId="0" borderId="11" xfId="75" applyFont="1" applyFill="1" applyBorder="1" applyProtection="1">
      <protection locked="0"/>
    </xf>
    <xf numFmtId="181" fontId="13" fillId="0" borderId="11" xfId="0" applyFont="1" applyFill="1" applyBorder="1" applyAlignment="1" applyProtection="1">
      <alignment horizontal="center"/>
      <protection locked="0"/>
    </xf>
    <xf numFmtId="181" fontId="13" fillId="0" borderId="2" xfId="0" applyFont="1" applyFill="1" applyBorder="1" applyAlignment="1" applyProtection="1">
      <alignment horizontal="center"/>
    </xf>
    <xf numFmtId="2" fontId="149" fillId="0" borderId="0" xfId="7" applyNumberFormat="1" applyFont="1" applyFill="1" applyAlignment="1">
      <alignment horizontal="right" vertical="center" wrapText="1"/>
    </xf>
    <xf numFmtId="181" fontId="152" fillId="0" borderId="0" xfId="0" applyFont="1" applyFill="1"/>
    <xf numFmtId="179" fontId="49" fillId="0" borderId="61" xfId="1" applyNumberFormat="1" applyFont="1" applyFill="1" applyBorder="1" applyAlignment="1">
      <alignment horizontal="right" vertical="center" wrapText="1"/>
    </xf>
    <xf numFmtId="185" fontId="35" fillId="0" borderId="0" xfId="0" applyNumberFormat="1" applyFont="1" applyFill="1" applyAlignment="1">
      <alignment horizontal="right"/>
    </xf>
    <xf numFmtId="181" fontId="35" fillId="0" borderId="0" xfId="0" applyFont="1" applyFill="1" applyAlignment="1">
      <alignment horizontal="right"/>
    </xf>
    <xf numFmtId="0" fontId="23" fillId="0" borderId="0" xfId="75" applyFont="1" applyFill="1" applyBorder="1" applyAlignment="1" applyProtection="1">
      <alignment wrapText="1"/>
    </xf>
    <xf numFmtId="181" fontId="24" fillId="0" borderId="11" xfId="0" applyFont="1" applyFill="1" applyBorder="1" applyAlignment="1" applyProtection="1">
      <alignment horizontal="center"/>
      <protection locked="0"/>
    </xf>
    <xf numFmtId="181" fontId="23" fillId="0" borderId="2" xfId="0" applyFont="1" applyFill="1" applyBorder="1" applyAlignment="1" applyProtection="1">
      <alignment horizontal="center"/>
    </xf>
    <xf numFmtId="0" fontId="17" fillId="0" borderId="11" xfId="75" applyFont="1" applyBorder="1" applyProtection="1">
      <protection locked="0"/>
    </xf>
    <xf numFmtId="0" fontId="17" fillId="0" borderId="11" xfId="75" applyFont="1" applyFill="1" applyBorder="1" applyAlignment="1" applyProtection="1">
      <protection locked="0"/>
    </xf>
    <xf numFmtId="0" fontId="17" fillId="0" borderId="10" xfId="75" applyFont="1" applyBorder="1" applyProtection="1"/>
    <xf numFmtId="168" fontId="17" fillId="0" borderId="11" xfId="75" applyNumberFormat="1" applyFont="1" applyFill="1" applyBorder="1" applyProtection="1">
      <protection locked="0"/>
    </xf>
    <xf numFmtId="181" fontId="23" fillId="0" borderId="0" xfId="0" applyFont="1" applyFill="1" applyBorder="1" applyAlignment="1" applyProtection="1">
      <alignment horizontal="center" wrapText="1"/>
    </xf>
    <xf numFmtId="181" fontId="23" fillId="0" borderId="4" xfId="0" applyFont="1" applyFill="1" applyBorder="1" applyAlignment="1" applyProtection="1">
      <alignment horizontal="center" wrapText="1"/>
    </xf>
    <xf numFmtId="181" fontId="23" fillId="0" borderId="3" xfId="0" applyFont="1" applyFill="1" applyBorder="1" applyAlignment="1" applyProtection="1">
      <alignment horizontal="center" wrapText="1"/>
    </xf>
    <xf numFmtId="169" fontId="22" fillId="0" borderId="8" xfId="1" applyNumberFormat="1" applyFont="1" applyFill="1" applyBorder="1" applyProtection="1"/>
    <xf numFmtId="167" fontId="17" fillId="0" borderId="11" xfId="16" applyNumberFormat="1" applyFont="1" applyFill="1" applyBorder="1" applyAlignment="1" applyProtection="1">
      <alignment horizontal="right"/>
    </xf>
    <xf numFmtId="181" fontId="16" fillId="0" borderId="4" xfId="29" applyFont="1" applyFill="1" applyBorder="1" applyAlignment="1" applyProtection="1">
      <alignment horizontal="center"/>
    </xf>
    <xf numFmtId="167" fontId="17" fillId="0" borderId="18" xfId="13" applyNumberFormat="1" applyFont="1" applyFill="1" applyBorder="1" applyProtection="1"/>
    <xf numFmtId="37" fontId="17" fillId="0" borderId="7" xfId="16" applyNumberFormat="1" applyFont="1" applyFill="1" applyBorder="1" applyAlignment="1" applyProtection="1">
      <alignment horizontal="right"/>
    </xf>
    <xf numFmtId="37" fontId="17" fillId="0" borderId="8" xfId="16" applyNumberFormat="1" applyFont="1" applyFill="1" applyBorder="1" applyAlignment="1" applyProtection="1">
      <alignment horizontal="right"/>
    </xf>
    <xf numFmtId="169" fontId="17" fillId="0" borderId="15" xfId="16" applyNumberFormat="1" applyFont="1" applyFill="1" applyBorder="1" applyAlignment="1" applyProtection="1">
      <alignment horizontal="right"/>
    </xf>
    <xf numFmtId="0" fontId="17" fillId="0" borderId="11" xfId="75" applyFont="1" applyFill="1" applyBorder="1" applyAlignment="1" applyProtection="1">
      <alignment horizontal="right"/>
    </xf>
    <xf numFmtId="0" fontId="17" fillId="0" borderId="7" xfId="75" applyFont="1" applyFill="1" applyBorder="1" applyAlignment="1" applyProtection="1">
      <alignment horizontal="right"/>
    </xf>
    <xf numFmtId="37" fontId="17" fillId="0" borderId="18" xfId="75" applyNumberFormat="1" applyFont="1" applyFill="1" applyBorder="1" applyProtection="1"/>
    <xf numFmtId="37" fontId="17" fillId="0" borderId="4" xfId="75" applyNumberFormat="1" applyFont="1" applyBorder="1" applyProtection="1"/>
    <xf numFmtId="37" fontId="17" fillId="0" borderId="7" xfId="75" applyNumberFormat="1" applyFont="1" applyFill="1" applyBorder="1" applyProtection="1"/>
    <xf numFmtId="179" fontId="17" fillId="0" borderId="7" xfId="1" applyNumberFormat="1" applyFont="1" applyBorder="1" applyAlignment="1" applyProtection="1"/>
    <xf numFmtId="179" fontId="17" fillId="0" borderId="15" xfId="1" applyNumberFormat="1" applyFont="1" applyBorder="1" applyAlignment="1" applyProtection="1"/>
    <xf numFmtId="169" fontId="17" fillId="0" borderId="18" xfId="0" applyNumberFormat="1" applyFont="1" applyFill="1" applyBorder="1" applyProtection="1"/>
    <xf numFmtId="181" fontId="17" fillId="0" borderId="7" xfId="0" applyFont="1" applyFill="1" applyBorder="1" applyAlignment="1" applyProtection="1">
      <alignment horizontal="right"/>
    </xf>
    <xf numFmtId="37" fontId="17" fillId="0" borderId="2" xfId="16" applyNumberFormat="1" applyFont="1" applyFill="1" applyBorder="1" applyAlignment="1" applyProtection="1">
      <alignment horizontal="right"/>
      <protection locked="0"/>
    </xf>
    <xf numFmtId="179" fontId="17" fillId="0" borderId="2" xfId="1" applyNumberFormat="1" applyFont="1" applyFill="1" applyBorder="1" applyAlignment="1" applyProtection="1">
      <alignment horizontal="right"/>
      <protection locked="0"/>
    </xf>
    <xf numFmtId="166" fontId="17" fillId="0" borderId="2" xfId="1" applyFont="1" applyFill="1" applyBorder="1" applyAlignment="1" applyProtection="1">
      <alignment horizontal="right"/>
      <protection locked="0"/>
    </xf>
    <xf numFmtId="37" fontId="17" fillId="0" borderId="2" xfId="7" applyNumberFormat="1" applyFont="1" applyFill="1" applyBorder="1" applyAlignment="1" applyProtection="1">
      <alignment horizontal="right"/>
      <protection locked="0"/>
    </xf>
    <xf numFmtId="37" fontId="17" fillId="0" borderId="3" xfId="7" applyNumberFormat="1" applyFont="1" applyFill="1" applyBorder="1" applyAlignment="1" applyProtection="1">
      <alignment horizontal="right"/>
    </xf>
    <xf numFmtId="37" fontId="17" fillId="0" borderId="4" xfId="7" applyNumberFormat="1" applyFont="1" applyFill="1" applyBorder="1" applyAlignment="1" applyProtection="1">
      <alignment horizontal="right"/>
    </xf>
    <xf numFmtId="168" fontId="17" fillId="0" borderId="11" xfId="16" applyNumberFormat="1" applyFont="1" applyFill="1" applyBorder="1" applyAlignment="1" applyProtection="1"/>
    <xf numFmtId="192" fontId="17" fillId="0" borderId="9" xfId="0" applyNumberFormat="1" applyFont="1" applyFill="1" applyBorder="1" applyProtection="1"/>
    <xf numFmtId="181" fontId="17" fillId="0" borderId="8" xfId="0" applyFont="1" applyFill="1" applyBorder="1" applyProtection="1"/>
    <xf numFmtId="181" fontId="13" fillId="0" borderId="0" xfId="0" applyFont="1" applyFill="1" applyBorder="1" applyAlignment="1" applyProtection="1">
      <alignment horizontal="center"/>
    </xf>
    <xf numFmtId="181" fontId="23" fillId="0" borderId="2" xfId="0" applyFont="1" applyFill="1" applyBorder="1" applyAlignment="1" applyProtection="1">
      <alignment horizontal="center"/>
    </xf>
    <xf numFmtId="181" fontId="17" fillId="0" borderId="10" xfId="0" applyFont="1" applyFill="1" applyBorder="1" applyAlignment="1" applyProtection="1">
      <alignment horizontal="center"/>
    </xf>
    <xf numFmtId="181" fontId="17" fillId="0" borderId="11" xfId="0" applyFont="1" applyFill="1" applyBorder="1" applyAlignment="1" applyProtection="1">
      <alignment horizontal="center"/>
    </xf>
    <xf numFmtId="181" fontId="23" fillId="0" borderId="3" xfId="0" applyFont="1" applyFill="1" applyBorder="1" applyAlignment="1" applyProtection="1">
      <alignment horizontal="center"/>
    </xf>
    <xf numFmtId="181" fontId="26" fillId="0" borderId="13" xfId="0" applyFont="1" applyFill="1" applyBorder="1" applyAlignment="1" applyProtection="1">
      <alignment horizontal="center"/>
    </xf>
    <xf numFmtId="169" fontId="17" fillId="0" borderId="1" xfId="1" applyNumberFormat="1" applyFont="1" applyFill="1" applyBorder="1" applyProtection="1"/>
    <xf numFmtId="194" fontId="17" fillId="0" borderId="0" xfId="1" applyNumberFormat="1" applyFont="1" applyFill="1" applyBorder="1" applyProtection="1"/>
    <xf numFmtId="179" fontId="17" fillId="0" borderId="0" xfId="0" applyNumberFormat="1" applyFont="1" applyFill="1" applyBorder="1" applyProtection="1">
      <protection locked="0"/>
    </xf>
    <xf numFmtId="181" fontId="23" fillId="0" borderId="15" xfId="0" applyFont="1" applyFill="1" applyBorder="1" applyAlignment="1" applyProtection="1">
      <alignment horizontal="center" wrapText="1"/>
    </xf>
    <xf numFmtId="169" fontId="17" fillId="0" borderId="13" xfId="76" applyNumberFormat="1" applyFont="1" applyFill="1" applyBorder="1" applyProtection="1">
      <protection locked="0"/>
    </xf>
    <xf numFmtId="10" fontId="17" fillId="0" borderId="0" xfId="7" applyNumberFormat="1" applyFont="1" applyFill="1" applyBorder="1" applyAlignment="1" applyProtection="1">
      <alignment horizontal="right"/>
    </xf>
    <xf numFmtId="181" fontId="0" fillId="58" borderId="0" xfId="0" applyFill="1"/>
    <xf numFmtId="169" fontId="17" fillId="0" borderId="13" xfId="157" applyNumberFormat="1" applyFont="1" applyFill="1" applyBorder="1" applyProtection="1">
      <protection locked="0"/>
    </xf>
    <xf numFmtId="2" fontId="17" fillId="0" borderId="0" xfId="7" applyNumberFormat="1" applyFont="1" applyFill="1" applyBorder="1" applyProtection="1"/>
    <xf numFmtId="179" fontId="12" fillId="0" borderId="0" xfId="1" applyNumberFormat="1" applyFill="1" applyBorder="1" applyProtection="1">
      <protection locked="0"/>
    </xf>
    <xf numFmtId="167" fontId="17" fillId="0" borderId="10" xfId="16" applyNumberFormat="1" applyFont="1" applyFill="1" applyBorder="1" applyAlignment="1" applyProtection="1">
      <alignment horizontal="right"/>
    </xf>
    <xf numFmtId="0" fontId="17" fillId="0" borderId="3" xfId="75" applyFont="1" applyFill="1" applyBorder="1" applyAlignment="1" applyProtection="1"/>
    <xf numFmtId="179" fontId="17" fillId="0" borderId="6" xfId="1" applyNumberFormat="1" applyFont="1" applyFill="1" applyBorder="1" applyAlignment="1" applyProtection="1"/>
    <xf numFmtId="169" fontId="17" fillId="0" borderId="3" xfId="0" applyNumberFormat="1" applyFont="1" applyFill="1" applyBorder="1" applyProtection="1"/>
    <xf numFmtId="171" fontId="22" fillId="0" borderId="9" xfId="7" applyNumberFormat="1" applyFont="1" applyFill="1" applyBorder="1" applyProtection="1"/>
    <xf numFmtId="181" fontId="29" fillId="0" borderId="0" xfId="0" applyFont="1" applyAlignment="1">
      <alignment horizontal="center" wrapText="1"/>
    </xf>
    <xf numFmtId="181" fontId="0" fillId="0" borderId="0" xfId="0" applyAlignment="1">
      <alignment wrapText="1"/>
    </xf>
    <xf numFmtId="181" fontId="28" fillId="0" borderId="0" xfId="0" applyFont="1" applyAlignment="1">
      <alignment horizontal="center" wrapText="1"/>
    </xf>
    <xf numFmtId="181" fontId="12" fillId="0" borderId="0" xfId="0" applyFont="1" applyFill="1" applyAlignment="1" applyProtection="1">
      <alignment horizontal="left" vertical="top" wrapText="1"/>
      <protection locked="0"/>
    </xf>
    <xf numFmtId="181" fontId="33" fillId="0" borderId="0" xfId="0" applyFont="1" applyFill="1" applyAlignment="1" applyProtection="1">
      <alignment horizontal="left" vertical="top" wrapText="1"/>
      <protection locked="0"/>
    </xf>
    <xf numFmtId="181" fontId="0" fillId="0" borderId="0" xfId="0" applyFill="1" applyAlignment="1" applyProtection="1">
      <alignment horizontal="left" vertical="top" wrapText="1"/>
      <protection locked="0"/>
    </xf>
    <xf numFmtId="181" fontId="12" fillId="0" borderId="0" xfId="0" applyFont="1" applyFill="1" applyAlignment="1">
      <alignment horizontal="left" wrapText="1"/>
    </xf>
    <xf numFmtId="181" fontId="33" fillId="0" borderId="0" xfId="0" applyFont="1" applyFill="1" applyAlignment="1">
      <alignment horizontal="left" wrapText="1"/>
    </xf>
    <xf numFmtId="181" fontId="0" fillId="0" borderId="0" xfId="0" applyFill="1" applyAlignment="1">
      <alignment horizontal="left" wrapText="1"/>
    </xf>
    <xf numFmtId="181" fontId="12" fillId="0" borderId="10" xfId="0" applyFont="1" applyBorder="1" applyAlignment="1">
      <alignment horizontal="left" wrapText="1" indent="2"/>
    </xf>
    <xf numFmtId="181" fontId="0" fillId="0" borderId="0" xfId="0" applyBorder="1" applyAlignment="1">
      <alignment horizontal="left" indent="2"/>
    </xf>
    <xf numFmtId="181" fontId="33" fillId="0" borderId="10" xfId="0" applyFont="1" applyBorder="1" applyAlignment="1">
      <alignment horizontal="left" wrapText="1" indent="2"/>
    </xf>
    <xf numFmtId="181" fontId="33" fillId="0" borderId="5" xfId="0" applyFont="1" applyBorder="1" applyAlignment="1">
      <alignment horizontal="left" wrapText="1" indent="2"/>
    </xf>
    <xf numFmtId="181" fontId="0" fillId="0" borderId="6" xfId="0" applyBorder="1" applyAlignment="1">
      <alignment horizontal="left" indent="2"/>
    </xf>
    <xf numFmtId="181" fontId="33" fillId="0" borderId="10" xfId="0" applyFont="1" applyBorder="1" applyAlignment="1">
      <alignment horizontal="left" indent="2"/>
    </xf>
    <xf numFmtId="181" fontId="33" fillId="0" borderId="0" xfId="0" applyFont="1" applyBorder="1" applyAlignment="1">
      <alignment horizontal="left" indent="2"/>
    </xf>
    <xf numFmtId="181" fontId="12" fillId="0" borderId="10" xfId="0" applyFont="1" applyBorder="1" applyAlignment="1">
      <alignment horizontal="left" indent="2"/>
    </xf>
    <xf numFmtId="181" fontId="12" fillId="0" borderId="0" xfId="0" applyFont="1" applyFill="1" applyAlignment="1" applyProtection="1">
      <alignment horizontal="left" wrapText="1"/>
      <protection locked="0"/>
    </xf>
    <xf numFmtId="181" fontId="13" fillId="0" borderId="6" xfId="0" applyFont="1" applyFill="1" applyBorder="1" applyAlignment="1" applyProtection="1">
      <alignment horizontal="center"/>
    </xf>
    <xf numFmtId="181" fontId="24" fillId="0" borderId="1" xfId="0" applyFont="1" applyFill="1" applyBorder="1" applyAlignment="1" applyProtection="1">
      <alignment horizontal="center"/>
    </xf>
    <xf numFmtId="181" fontId="23" fillId="0" borderId="2" xfId="0" applyFont="1" applyFill="1" applyBorder="1" applyAlignment="1" applyProtection="1">
      <alignment horizontal="center"/>
    </xf>
    <xf numFmtId="181" fontId="23" fillId="0" borderId="4" xfId="0" applyFont="1" applyFill="1" applyBorder="1" applyAlignment="1" applyProtection="1">
      <alignment horizontal="center"/>
    </xf>
    <xf numFmtId="181" fontId="13" fillId="0" borderId="5" xfId="0" applyFont="1" applyFill="1" applyBorder="1" applyAlignment="1" applyProtection="1">
      <alignment horizontal="center"/>
    </xf>
    <xf numFmtId="181" fontId="13" fillId="0" borderId="1" xfId="0" applyFont="1" applyFill="1" applyBorder="1" applyAlignment="1" applyProtection="1">
      <alignment horizontal="center"/>
    </xf>
    <xf numFmtId="181" fontId="13" fillId="0" borderId="0" xfId="0" applyFont="1" applyFill="1" applyBorder="1" applyAlignment="1" applyProtection="1">
      <alignment horizontal="center"/>
    </xf>
    <xf numFmtId="181" fontId="24" fillId="0" borderId="11" xfId="0" applyFont="1" applyFill="1" applyBorder="1" applyAlignment="1" applyProtection="1">
      <alignment horizontal="center"/>
    </xf>
    <xf numFmtId="181" fontId="17" fillId="0" borderId="10" xfId="0" applyFont="1" applyFill="1" applyBorder="1" applyAlignment="1" applyProtection="1">
      <alignment horizontal="center"/>
    </xf>
    <xf numFmtId="181" fontId="17" fillId="0" borderId="11" xfId="0" applyFont="1" applyFill="1" applyBorder="1" applyAlignment="1" applyProtection="1">
      <alignment horizontal="center"/>
    </xf>
    <xf numFmtId="181" fontId="23" fillId="0" borderId="3" xfId="0" applyFont="1" applyFill="1" applyBorder="1" applyAlignment="1" applyProtection="1">
      <alignment horizontal="center"/>
    </xf>
    <xf numFmtId="166" fontId="48" fillId="0" borderId="28" xfId="1" applyFont="1" applyFill="1" applyBorder="1" applyAlignment="1">
      <alignment horizontal="center" vertical="center" wrapText="1"/>
    </xf>
    <xf numFmtId="166" fontId="48" fillId="0" borderId="23" xfId="1" applyFont="1" applyFill="1" applyBorder="1" applyAlignment="1">
      <alignment horizontal="center" vertical="center" wrapText="1"/>
    </xf>
    <xf numFmtId="181" fontId="140" fillId="0" borderId="0" xfId="0" applyFont="1" applyAlignment="1">
      <alignment horizontal="justify" vertical="center" wrapText="1"/>
    </xf>
    <xf numFmtId="181" fontId="140" fillId="0" borderId="27" xfId="0" applyFont="1" applyBorder="1" applyAlignment="1">
      <alignment horizontal="center" vertical="center" wrapText="1"/>
    </xf>
    <xf numFmtId="181" fontId="140" fillId="0" borderId="0" xfId="0" applyFont="1" applyAlignment="1">
      <alignment horizontal="center" vertical="center" wrapText="1"/>
    </xf>
    <xf numFmtId="181" fontId="140" fillId="0" borderId="0" xfId="0" applyFont="1" applyBorder="1" applyAlignment="1">
      <alignment horizontal="center" vertical="center" wrapText="1"/>
    </xf>
    <xf numFmtId="181" fontId="48" fillId="0" borderId="29" xfId="412" applyFont="1" applyBorder="1" applyAlignment="1">
      <alignment vertical="center"/>
    </xf>
    <xf numFmtId="181" fontId="48" fillId="0" borderId="20" xfId="412" applyFont="1" applyBorder="1" applyAlignment="1">
      <alignment vertical="center"/>
    </xf>
    <xf numFmtId="0" fontId="48" fillId="0" borderId="27" xfId="1" applyNumberFormat="1" applyFont="1" applyBorder="1" applyAlignment="1">
      <alignment horizontal="right" vertical="center" wrapText="1"/>
    </xf>
    <xf numFmtId="0" fontId="48" fillId="0" borderId="0" xfId="1" applyNumberFormat="1" applyFont="1" applyBorder="1" applyAlignment="1">
      <alignment horizontal="right" vertical="center" wrapText="1"/>
    </xf>
    <xf numFmtId="0" fontId="48" fillId="0" borderId="24" xfId="1" applyNumberFormat="1" applyFont="1" applyBorder="1" applyAlignment="1">
      <alignment horizontal="right" vertical="center" wrapText="1"/>
    </xf>
    <xf numFmtId="181" fontId="48" fillId="0" borderId="28" xfId="412" applyFont="1" applyFill="1" applyBorder="1" applyAlignment="1">
      <alignment horizontal="right" vertical="center" wrapText="1"/>
    </xf>
    <xf numFmtId="181" fontId="48" fillId="0" borderId="21" xfId="412" applyFont="1" applyFill="1" applyBorder="1" applyAlignment="1">
      <alignment horizontal="right" vertical="center" wrapText="1"/>
    </xf>
    <xf numFmtId="181" fontId="48" fillId="0" borderId="23" xfId="412" applyFont="1" applyFill="1" applyBorder="1" applyAlignment="1">
      <alignment horizontal="right" vertical="center" wrapText="1"/>
    </xf>
    <xf numFmtId="0" fontId="48" fillId="0" borderId="0" xfId="1" applyNumberFormat="1" applyFont="1" applyAlignment="1">
      <alignment horizontal="center" vertical="center" wrapText="1"/>
    </xf>
    <xf numFmtId="2" fontId="48" fillId="0" borderId="0" xfId="1" applyNumberFormat="1" applyFont="1" applyFill="1" applyAlignment="1">
      <alignment horizontal="center" vertical="center" wrapText="1"/>
    </xf>
    <xf numFmtId="49" fontId="125" fillId="0" borderId="29" xfId="412" applyNumberFormat="1" applyFont="1" applyBorder="1" applyAlignment="1">
      <alignment vertical="center" wrapText="1"/>
    </xf>
    <xf numFmtId="49" fontId="125" fillId="0" borderId="20" xfId="412" applyNumberFormat="1" applyFont="1" applyBorder="1" applyAlignment="1">
      <alignment vertical="center" wrapText="1"/>
    </xf>
    <xf numFmtId="49" fontId="125" fillId="0" borderId="22" xfId="412" applyNumberFormat="1" applyFont="1" applyBorder="1" applyAlignment="1">
      <alignment vertical="center" wrapText="1"/>
    </xf>
    <xf numFmtId="166" fontId="48" fillId="0" borderId="28" xfId="1" applyFont="1" applyFill="1" applyBorder="1" applyAlignment="1">
      <alignment horizontal="right" vertical="center" wrapText="1"/>
    </xf>
    <xf numFmtId="166" fontId="48" fillId="0" borderId="21" xfId="1" applyFont="1" applyFill="1" applyBorder="1" applyAlignment="1">
      <alignment horizontal="right" vertical="center" wrapText="1"/>
    </xf>
    <xf numFmtId="166" fontId="48" fillId="0" borderId="23" xfId="1" applyFont="1" applyFill="1" applyBorder="1" applyAlignment="1">
      <alignment horizontal="right" vertical="center" wrapText="1"/>
    </xf>
    <xf numFmtId="181" fontId="125" fillId="0" borderId="29" xfId="412" applyFont="1" applyBorder="1" applyAlignment="1">
      <alignment vertical="center"/>
    </xf>
    <xf numFmtId="181" fontId="125" fillId="0" borderId="20" xfId="412" applyFont="1" applyBorder="1" applyAlignment="1">
      <alignment vertical="center"/>
    </xf>
    <xf numFmtId="181" fontId="125" fillId="0" borderId="22" xfId="412" applyFont="1" applyBorder="1" applyAlignment="1">
      <alignment vertical="center"/>
    </xf>
    <xf numFmtId="0" fontId="48" fillId="0" borderId="27" xfId="412" applyNumberFormat="1" applyFont="1" applyBorder="1" applyAlignment="1">
      <alignment horizontal="right" vertical="center" wrapText="1"/>
    </xf>
    <xf numFmtId="0" fontId="48" fillId="0" borderId="0" xfId="412" applyNumberFormat="1" applyFont="1" applyBorder="1" applyAlignment="1">
      <alignment horizontal="right" vertical="center" wrapText="1"/>
    </xf>
    <xf numFmtId="0" fontId="48" fillId="0" borderId="24" xfId="412" applyNumberFormat="1" applyFont="1" applyBorder="1" applyAlignment="1">
      <alignment horizontal="right" vertical="center" wrapText="1"/>
    </xf>
    <xf numFmtId="49" fontId="48" fillId="0" borderId="28" xfId="412" applyNumberFormat="1" applyFont="1" applyFill="1" applyBorder="1" applyAlignment="1">
      <alignment horizontal="right" vertical="center" wrapText="1"/>
    </xf>
    <xf numFmtId="49" fontId="48" fillId="0" borderId="21" xfId="412" applyNumberFormat="1" applyFont="1" applyFill="1" applyBorder="1" applyAlignment="1">
      <alignment horizontal="right" vertical="center" wrapText="1"/>
    </xf>
    <xf numFmtId="49" fontId="48" fillId="0" borderId="23" xfId="412" applyNumberFormat="1" applyFont="1" applyFill="1" applyBorder="1" applyAlignment="1">
      <alignment horizontal="right" vertical="center" wrapText="1"/>
    </xf>
    <xf numFmtId="2" fontId="48" fillId="0" borderId="0" xfId="412" applyNumberFormat="1" applyFont="1" applyFill="1" applyBorder="1" applyAlignment="1">
      <alignment horizontal="center" vertical="center" wrapText="1"/>
    </xf>
    <xf numFmtId="0" fontId="48" fillId="0" borderId="28" xfId="412" applyNumberFormat="1" applyFont="1" applyFill="1" applyBorder="1" applyAlignment="1">
      <alignment horizontal="right" vertical="center"/>
    </xf>
    <xf numFmtId="0" fontId="48" fillId="0" borderId="21" xfId="412" applyNumberFormat="1" applyFont="1" applyFill="1" applyBorder="1" applyAlignment="1">
      <alignment horizontal="right" vertical="center"/>
    </xf>
    <xf numFmtId="0" fontId="48" fillId="0" borderId="23" xfId="412" applyNumberFormat="1" applyFont="1" applyFill="1" applyBorder="1" applyAlignment="1">
      <alignment horizontal="right" vertical="center"/>
    </xf>
    <xf numFmtId="2" fontId="48" fillId="0" borderId="29" xfId="412" applyNumberFormat="1" applyFont="1" applyBorder="1" applyAlignment="1">
      <alignment vertical="center"/>
    </xf>
    <xf numFmtId="2" fontId="48" fillId="0" borderId="20" xfId="412" applyNumberFormat="1" applyFont="1" applyBorder="1" applyAlignment="1">
      <alignment vertical="center"/>
    </xf>
    <xf numFmtId="2" fontId="48" fillId="0" borderId="27" xfId="412" applyNumberFormat="1" applyFont="1" applyBorder="1" applyAlignment="1">
      <alignment horizontal="right" vertical="center" wrapText="1"/>
    </xf>
    <xf numFmtId="2" fontId="48" fillId="0" borderId="0" xfId="412" applyNumberFormat="1" applyFont="1" applyBorder="1" applyAlignment="1">
      <alignment horizontal="right" vertical="center" wrapText="1"/>
    </xf>
    <xf numFmtId="2" fontId="48" fillId="0" borderId="24" xfId="412" applyNumberFormat="1" applyFont="1" applyBorder="1" applyAlignment="1">
      <alignment horizontal="right" vertical="center" wrapText="1"/>
    </xf>
    <xf numFmtId="2" fontId="48" fillId="0" borderId="28" xfId="412" applyNumberFormat="1" applyFont="1" applyFill="1" applyBorder="1" applyAlignment="1">
      <alignment horizontal="right" vertical="center" wrapText="1"/>
    </xf>
    <xf numFmtId="2" fontId="48" fillId="0" borderId="21" xfId="412" applyNumberFormat="1" applyFont="1" applyFill="1" applyBorder="1" applyAlignment="1">
      <alignment horizontal="right" vertical="center" wrapText="1"/>
    </xf>
    <xf numFmtId="2" fontId="48" fillId="0" borderId="23" xfId="412" applyNumberFormat="1" applyFont="1" applyFill="1" applyBorder="1" applyAlignment="1">
      <alignment horizontal="right" vertical="center" wrapText="1"/>
    </xf>
    <xf numFmtId="181" fontId="129" fillId="0" borderId="29" xfId="412" applyFont="1" applyBorder="1" applyAlignment="1">
      <alignment vertical="center"/>
    </xf>
    <xf numFmtId="181" fontId="129" fillId="0" borderId="20" xfId="412" applyFont="1" applyBorder="1" applyAlignment="1">
      <alignment vertical="center"/>
    </xf>
    <xf numFmtId="49" fontId="48" fillId="0" borderId="27" xfId="1" applyNumberFormat="1" applyFont="1" applyBorder="1" applyAlignment="1">
      <alignment horizontal="right" vertical="center" wrapText="1"/>
    </xf>
    <xf numFmtId="49" fontId="48" fillId="0" borderId="0" xfId="1" applyNumberFormat="1" applyFont="1" applyBorder="1" applyAlignment="1">
      <alignment horizontal="right" vertical="center" wrapText="1"/>
    </xf>
    <xf numFmtId="49" fontId="48" fillId="0" borderId="24" xfId="1" applyNumberFormat="1" applyFont="1" applyBorder="1" applyAlignment="1">
      <alignment horizontal="right" vertical="center" wrapText="1"/>
    </xf>
    <xf numFmtId="2" fontId="48" fillId="0" borderId="27" xfId="412" applyNumberFormat="1" applyFont="1" applyFill="1" applyBorder="1" applyAlignment="1">
      <alignment horizontal="center" vertical="center" wrapText="1"/>
    </xf>
    <xf numFmtId="0" fontId="48" fillId="0" borderId="28" xfId="412" applyNumberFormat="1" applyFont="1" applyFill="1" applyBorder="1" applyAlignment="1">
      <alignment horizontal="right" vertical="center" wrapText="1"/>
    </xf>
    <xf numFmtId="0" fontId="48" fillId="0" borderId="21" xfId="412" applyNumberFormat="1" applyFont="1" applyFill="1" applyBorder="1" applyAlignment="1">
      <alignment horizontal="right" vertical="center" wrapText="1"/>
    </xf>
    <xf numFmtId="0" fontId="48" fillId="0" borderId="23" xfId="412" applyNumberFormat="1" applyFont="1" applyFill="1" applyBorder="1" applyAlignment="1">
      <alignment horizontal="right" vertical="center" wrapText="1"/>
    </xf>
    <xf numFmtId="166" fontId="48" fillId="0" borderId="57" xfId="1" applyFont="1" applyFill="1" applyBorder="1" applyAlignment="1">
      <alignment horizontal="center" vertical="center"/>
    </xf>
    <xf numFmtId="166" fontId="126" fillId="0" borderId="59" xfId="1" applyFont="1" applyFill="1" applyBorder="1" applyAlignment="1">
      <alignment vertical="center" wrapText="1"/>
    </xf>
    <xf numFmtId="166" fontId="126" fillId="0" borderId="58" xfId="1" applyFont="1" applyFill="1" applyBorder="1" applyAlignment="1">
      <alignment vertical="center" wrapText="1"/>
    </xf>
    <xf numFmtId="166" fontId="48" fillId="0" borderId="27" xfId="1" applyFont="1" applyFill="1" applyBorder="1" applyAlignment="1">
      <alignment horizontal="center" vertical="center" wrapText="1"/>
    </xf>
    <xf numFmtId="166" fontId="48" fillId="0" borderId="27" xfId="1" applyFont="1" applyFill="1" applyBorder="1" applyAlignment="1">
      <alignment horizontal="right" vertical="center" wrapText="1"/>
    </xf>
    <xf numFmtId="166" fontId="48" fillId="0" borderId="24" xfId="1" applyFont="1" applyFill="1" applyBorder="1" applyAlignment="1">
      <alignment horizontal="right" vertical="center" wrapText="1"/>
    </xf>
    <xf numFmtId="166" fontId="48" fillId="0" borderId="24" xfId="1" applyFont="1" applyFill="1" applyBorder="1" applyAlignment="1">
      <alignment horizontal="center" vertical="center" wrapText="1"/>
    </xf>
    <xf numFmtId="181" fontId="140" fillId="0" borderId="24" xfId="0" applyFont="1" applyBorder="1" applyAlignment="1">
      <alignment horizontal="center" vertical="center" wrapText="1"/>
    </xf>
    <xf numFmtId="181" fontId="145" fillId="0" borderId="0" xfId="0" applyFont="1" applyAlignment="1">
      <alignment vertical="center" wrapText="1"/>
    </xf>
    <xf numFmtId="181" fontId="146" fillId="0" borderId="0" xfId="0" applyFont="1" applyAlignment="1">
      <alignment horizontal="center" vertical="center" wrapText="1"/>
    </xf>
    <xf numFmtId="181" fontId="140" fillId="0" borderId="0" xfId="0" applyFont="1" applyFill="1" applyBorder="1" applyAlignment="1">
      <alignment horizontal="center" vertical="center" wrapText="1"/>
    </xf>
    <xf numFmtId="181" fontId="140" fillId="0" borderId="0" xfId="0" applyFont="1" applyFill="1" applyBorder="1" applyAlignment="1">
      <alignment horizontal="justify" vertical="center" wrapText="1"/>
    </xf>
    <xf numFmtId="2" fontId="48" fillId="0" borderId="0" xfId="1" applyNumberFormat="1" applyFont="1" applyAlignment="1">
      <alignment horizontal="center" vertical="center" wrapText="1"/>
    </xf>
    <xf numFmtId="2" fontId="48" fillId="0" borderId="0" xfId="412" applyNumberFormat="1" applyFont="1" applyAlignment="1">
      <alignment horizontal="center" vertical="center" wrapText="1"/>
    </xf>
    <xf numFmtId="2" fontId="48" fillId="0" borderId="0" xfId="412" applyNumberFormat="1" applyFont="1" applyFill="1" applyAlignment="1">
      <alignment horizontal="center" vertical="center" wrapText="1"/>
    </xf>
    <xf numFmtId="0" fontId="48" fillId="0" borderId="0" xfId="412" applyNumberFormat="1" applyFont="1" applyAlignment="1">
      <alignment horizontal="center" vertical="center" wrapText="1"/>
    </xf>
    <xf numFmtId="2" fontId="48" fillId="0" borderId="0" xfId="1" applyNumberFormat="1" applyFont="1" applyFill="1" applyBorder="1" applyAlignment="1">
      <alignment horizontal="center" vertical="center" wrapText="1"/>
    </xf>
    <xf numFmtId="181" fontId="26" fillId="0" borderId="12" xfId="0" applyFont="1" applyFill="1" applyBorder="1" applyAlignment="1" applyProtection="1">
      <alignment horizontal="center" wrapText="1"/>
    </xf>
    <xf numFmtId="181" fontId="26" fillId="0" borderId="13" xfId="0" applyFont="1" applyFill="1" applyBorder="1" applyAlignment="1" applyProtection="1">
      <alignment horizontal="center" wrapText="1"/>
    </xf>
    <xf numFmtId="181" fontId="26" fillId="0" borderId="14" xfId="0" applyFont="1" applyFill="1" applyBorder="1" applyAlignment="1" applyProtection="1">
      <alignment horizontal="center" wrapText="1"/>
    </xf>
    <xf numFmtId="181" fontId="26" fillId="0" borderId="12" xfId="0" applyFont="1" applyFill="1" applyBorder="1" applyAlignment="1" applyProtection="1">
      <alignment horizontal="center"/>
    </xf>
    <xf numFmtId="181" fontId="26" fillId="0" borderId="13" xfId="0" applyFont="1" applyFill="1" applyBorder="1" applyAlignment="1" applyProtection="1">
      <alignment horizontal="center"/>
    </xf>
    <xf numFmtId="181" fontId="26" fillId="0" borderId="14" xfId="0" applyFont="1" applyFill="1" applyBorder="1" applyAlignment="1" applyProtection="1">
      <alignment horizontal="center"/>
    </xf>
    <xf numFmtId="181" fontId="26" fillId="0" borderId="7" xfId="0" applyFont="1" applyFill="1" applyBorder="1" applyAlignment="1" applyProtection="1">
      <alignment horizontal="center" vertical="center"/>
    </xf>
    <xf numFmtId="181" fontId="26" fillId="0" borderId="8" xfId="0" applyFont="1" applyFill="1" applyBorder="1" applyAlignment="1" applyProtection="1">
      <alignment horizontal="center" vertical="center"/>
    </xf>
    <xf numFmtId="0" fontId="23" fillId="0" borderId="0" xfId="75" applyFont="1" applyFill="1" applyBorder="1" applyAlignment="1" applyProtection="1">
      <alignment wrapText="1"/>
    </xf>
    <xf numFmtId="0" fontId="12" fillId="0" borderId="0" xfId="75" applyFill="1" applyBorder="1" applyAlignment="1" applyProtection="1">
      <alignment wrapText="1"/>
    </xf>
    <xf numFmtId="0" fontId="23" fillId="0" borderId="0" xfId="75" applyFont="1" applyFill="1" applyAlignment="1" applyProtection="1">
      <alignment wrapText="1"/>
    </xf>
    <xf numFmtId="0" fontId="23" fillId="0" borderId="2" xfId="158" applyFont="1" applyFill="1" applyBorder="1" applyAlignment="1">
      <alignment horizontal="center"/>
    </xf>
    <xf numFmtId="0" fontId="23" fillId="0" borderId="4" xfId="158" applyFont="1" applyFill="1" applyBorder="1" applyAlignment="1">
      <alignment horizontal="center"/>
    </xf>
    <xf numFmtId="0" fontId="13" fillId="0" borderId="5" xfId="75" applyFont="1" applyFill="1" applyBorder="1" applyAlignment="1">
      <alignment horizontal="center"/>
    </xf>
    <xf numFmtId="0" fontId="13" fillId="0" borderId="1" xfId="75" applyFont="1" applyFill="1" applyBorder="1" applyAlignment="1">
      <alignment horizontal="center"/>
    </xf>
    <xf numFmtId="181" fontId="13" fillId="0" borderId="0" xfId="0" applyFont="1" applyFill="1" applyBorder="1" applyAlignment="1">
      <alignment horizontal="center"/>
    </xf>
    <xf numFmtId="181" fontId="13" fillId="0" borderId="11" xfId="0" applyFont="1" applyFill="1" applyBorder="1" applyAlignment="1">
      <alignment horizontal="center"/>
    </xf>
    <xf numFmtId="0" fontId="23" fillId="0" borderId="0" xfId="75" applyFont="1" applyAlignment="1">
      <alignment wrapText="1"/>
    </xf>
    <xf numFmtId="0" fontId="12" fillId="0" borderId="0" xfId="75" applyBorder="1" applyAlignment="1">
      <alignment wrapText="1"/>
    </xf>
    <xf numFmtId="0" fontId="12" fillId="0" borderId="0" xfId="75" applyAlignment="1">
      <alignment wrapText="1"/>
    </xf>
    <xf numFmtId="181" fontId="23" fillId="0" borderId="0" xfId="0" applyFont="1" applyAlignment="1" applyProtection="1">
      <alignment wrapText="1"/>
    </xf>
    <xf numFmtId="181" fontId="0" fillId="0" borderId="0" xfId="0" applyBorder="1" applyAlignment="1" applyProtection="1">
      <alignment wrapText="1"/>
    </xf>
    <xf numFmtId="0" fontId="23" fillId="0" borderId="0" xfId="75" applyFont="1" applyAlignment="1" applyProtection="1">
      <alignment wrapText="1"/>
    </xf>
    <xf numFmtId="0" fontId="12" fillId="0" borderId="0" xfId="75" applyBorder="1" applyAlignment="1" applyProtection="1">
      <alignment wrapText="1"/>
    </xf>
    <xf numFmtId="181" fontId="13" fillId="0" borderId="10" xfId="0" applyFont="1" applyFill="1" applyBorder="1" applyAlignment="1" applyProtection="1">
      <alignment horizontal="center"/>
    </xf>
    <xf numFmtId="181" fontId="13" fillId="0" borderId="11" xfId="0" applyFont="1" applyFill="1" applyBorder="1" applyAlignment="1" applyProtection="1">
      <alignment horizontal="center"/>
    </xf>
    <xf numFmtId="0" fontId="23" fillId="0" borderId="2" xfId="76" applyFont="1" applyFill="1" applyBorder="1" applyAlignment="1" applyProtection="1">
      <alignment horizontal="center"/>
    </xf>
    <xf numFmtId="0" fontId="23" fillId="0" borderId="4" xfId="76" applyFont="1" applyFill="1" applyBorder="1" applyAlignment="1" applyProtection="1">
      <alignment horizontal="center"/>
    </xf>
    <xf numFmtId="0" fontId="13" fillId="0" borderId="5" xfId="75" applyFont="1" applyFill="1" applyBorder="1" applyAlignment="1" applyProtection="1">
      <alignment horizontal="center"/>
    </xf>
    <xf numFmtId="0" fontId="13" fillId="0" borderId="1" xfId="75" applyFont="1" applyFill="1" applyBorder="1" applyAlignment="1" applyProtection="1">
      <alignment horizontal="center"/>
    </xf>
    <xf numFmtId="0" fontId="12" fillId="0" borderId="0" xfId="75" applyFill="1" applyAlignment="1" applyProtection="1">
      <alignment wrapText="1"/>
    </xf>
    <xf numFmtId="0" fontId="23" fillId="0" borderId="3" xfId="76" applyFont="1" applyFill="1" applyBorder="1" applyAlignment="1" applyProtection="1">
      <alignment horizontal="center"/>
    </xf>
    <xf numFmtId="0" fontId="23" fillId="0" borderId="2" xfId="157" applyFont="1" applyFill="1" applyBorder="1" applyAlignment="1" applyProtection="1">
      <alignment horizontal="center"/>
    </xf>
    <xf numFmtId="0" fontId="23" fillId="0" borderId="4" xfId="157" applyFont="1" applyFill="1" applyBorder="1" applyAlignment="1" applyProtection="1">
      <alignment horizontal="center"/>
    </xf>
    <xf numFmtId="0" fontId="13" fillId="0" borderId="10" xfId="75" applyFont="1" applyFill="1" applyBorder="1" applyAlignment="1" applyProtection="1">
      <alignment horizontal="center"/>
    </xf>
    <xf numFmtId="0" fontId="13" fillId="0" borderId="11" xfId="75" applyFont="1" applyFill="1" applyBorder="1" applyAlignment="1" applyProtection="1">
      <alignment horizontal="center"/>
    </xf>
    <xf numFmtId="0" fontId="23" fillId="0" borderId="2" xfId="156" applyFont="1" applyFill="1" applyBorder="1" applyAlignment="1" applyProtection="1">
      <alignment horizontal="center"/>
    </xf>
    <xf numFmtId="0" fontId="23" fillId="0" borderId="4" xfId="156" applyFont="1" applyFill="1" applyBorder="1" applyAlignment="1" applyProtection="1">
      <alignment horizontal="center"/>
    </xf>
    <xf numFmtId="0" fontId="17" fillId="0" borderId="10" xfId="75" applyFont="1" applyFill="1" applyBorder="1" applyAlignment="1" applyProtection="1">
      <alignment horizontal="center"/>
    </xf>
    <xf numFmtId="0" fontId="17" fillId="0" borderId="11" xfId="75" applyFont="1" applyFill="1" applyBorder="1" applyAlignment="1" applyProtection="1">
      <alignment horizontal="center"/>
    </xf>
    <xf numFmtId="0" fontId="17" fillId="0" borderId="5" xfId="75" applyFont="1" applyFill="1" applyBorder="1" applyAlignment="1" applyProtection="1">
      <alignment horizontal="center"/>
    </xf>
    <xf numFmtId="0" fontId="17" fillId="0" borderId="1" xfId="75" applyFont="1" applyFill="1" applyBorder="1" applyAlignment="1" applyProtection="1">
      <alignment horizontal="center"/>
    </xf>
    <xf numFmtId="0" fontId="12" fillId="0" borderId="0" xfId="75" applyAlignment="1" applyProtection="1">
      <alignment wrapText="1"/>
    </xf>
    <xf numFmtId="181" fontId="23" fillId="0" borderId="0" xfId="0" applyFont="1" applyFill="1" applyAlignment="1" applyProtection="1">
      <alignment wrapText="1"/>
    </xf>
    <xf numFmtId="181" fontId="0" fillId="0" borderId="0" xfId="0" applyFill="1" applyBorder="1" applyAlignment="1" applyProtection="1">
      <alignment wrapText="1"/>
    </xf>
    <xf numFmtId="181" fontId="23" fillId="0" borderId="0" xfId="0" applyFont="1" applyAlignment="1">
      <alignment wrapText="1"/>
    </xf>
    <xf numFmtId="181" fontId="0" fillId="0" borderId="0" xfId="0" applyBorder="1" applyAlignment="1">
      <alignment wrapText="1"/>
    </xf>
    <xf numFmtId="181" fontId="23" fillId="0" borderId="2" xfId="0" applyFont="1" applyFill="1" applyBorder="1" applyAlignment="1">
      <alignment horizontal="center"/>
    </xf>
    <xf numFmtId="181" fontId="23" fillId="0" borderId="4" xfId="0" applyFont="1" applyFill="1" applyBorder="1" applyAlignment="1">
      <alignment horizontal="center"/>
    </xf>
    <xf numFmtId="181" fontId="13" fillId="0" borderId="5" xfId="0" applyFont="1" applyFill="1" applyBorder="1" applyAlignment="1">
      <alignment horizontal="center"/>
    </xf>
    <xf numFmtId="181" fontId="24" fillId="0" borderId="1" xfId="0" applyFont="1" applyFill="1" applyBorder="1" applyAlignment="1">
      <alignment horizontal="center"/>
    </xf>
    <xf numFmtId="181" fontId="24" fillId="0" borderId="6" xfId="0" applyFont="1" applyFill="1" applyBorder="1" applyAlignment="1">
      <alignment horizontal="center"/>
    </xf>
    <xf numFmtId="181" fontId="24" fillId="0" borderId="0" xfId="0" applyFont="1" applyFill="1" applyBorder="1" applyAlignment="1">
      <alignment horizontal="center"/>
    </xf>
    <xf numFmtId="181" fontId="24" fillId="0" borderId="11" xfId="0" applyFont="1" applyFill="1" applyBorder="1" applyAlignment="1">
      <alignment horizontal="center"/>
    </xf>
    <xf numFmtId="181" fontId="24" fillId="0" borderId="5" xfId="0" applyFont="1" applyFill="1" applyBorder="1" applyAlignment="1" applyProtection="1">
      <alignment horizontal="center"/>
    </xf>
    <xf numFmtId="181" fontId="19" fillId="0" borderId="0" xfId="0" applyFont="1" applyFill="1" applyAlignment="1" applyProtection="1">
      <alignment horizontal="left" wrapText="1"/>
    </xf>
    <xf numFmtId="181" fontId="19" fillId="0" borderId="11" xfId="0" applyFont="1" applyFill="1" applyBorder="1" applyAlignment="1" applyProtection="1">
      <alignment horizontal="left" wrapText="1"/>
    </xf>
    <xf numFmtId="169" fontId="17" fillId="0" borderId="2" xfId="13" applyNumberFormat="1" applyFont="1" applyFill="1" applyBorder="1" applyAlignment="1" applyProtection="1"/>
    <xf numFmtId="169" fontId="17" fillId="0" borderId="10" xfId="13" applyNumberFormat="1" applyFont="1" applyFill="1" applyBorder="1" applyAlignment="1" applyProtection="1"/>
  </cellXfs>
  <cellStyles count="2916">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1" xr:uid="{00000000-0005-0000-0000-000008000000}"/>
    <cellStyle name="20% - Accent1 3 2 2 2" xfId="2561" xr:uid="{00000000-0005-0000-0000-000009000000}"/>
    <cellStyle name="20% - Accent1 3 2 2 3" xfId="2763" xr:uid="{00000000-0005-0000-0000-00000A000000}"/>
    <cellStyle name="20% - Accent1 3 2 3" xfId="2435" xr:uid="{00000000-0005-0000-0000-00000B000000}"/>
    <cellStyle name="20% - Accent1 3 2 3 2" xfId="2637" xr:uid="{00000000-0005-0000-0000-00000C000000}"/>
    <cellStyle name="20% - Accent1 3 2 3 3" xfId="2839" xr:uid="{00000000-0005-0000-0000-00000D000000}"/>
    <cellStyle name="20% - Accent1 3 2 4" xfId="2483" xr:uid="{00000000-0005-0000-0000-00000E000000}"/>
    <cellStyle name="20% - Accent1 3 2 5" xfId="2685" xr:uid="{00000000-0005-0000-0000-00000F000000}"/>
    <cellStyle name="20% - Accent1 3 2 6" xfId="2858" xr:uid="{00000000-0005-0000-0000-000010000000}"/>
    <cellStyle name="20% - Accent1 3 3" xfId="389" xr:uid="{00000000-0005-0000-0000-000011000000}"/>
    <cellStyle name="20% - Accent1 3 4" xfId="2313" xr:uid="{00000000-0005-0000-0000-000012000000}"/>
    <cellStyle name="20% - Accent1 3 4 2" xfId="2533" xr:uid="{00000000-0005-0000-0000-000013000000}"/>
    <cellStyle name="20% - Accent1 3 4 3" xfId="2735" xr:uid="{00000000-0005-0000-0000-000014000000}"/>
    <cellStyle name="20% - Accent1 3 5" xfId="2407" xr:uid="{00000000-0005-0000-0000-000015000000}"/>
    <cellStyle name="20% - Accent1 3 5 2" xfId="2609" xr:uid="{00000000-0005-0000-0000-000016000000}"/>
    <cellStyle name="20% - Accent1 3 5 3" xfId="2811" xr:uid="{00000000-0005-0000-0000-000017000000}"/>
    <cellStyle name="20% - Accent1 3 6" xfId="2455" xr:uid="{00000000-0005-0000-0000-000018000000}"/>
    <cellStyle name="20% - Accent1 3 7" xfId="2657" xr:uid="{00000000-0005-0000-0000-000019000000}"/>
    <cellStyle name="20% - Accent1 3 8" xfId="2857" xr:uid="{00000000-0005-0000-0000-00001A000000}"/>
    <cellStyle name="20% - Accent1 4" xfId="204" xr:uid="{00000000-0005-0000-0000-00001B000000}"/>
    <cellStyle name="20% - Accent1 4 2" xfId="2327" xr:uid="{00000000-0005-0000-0000-00001C000000}"/>
    <cellStyle name="20% - Accent1 4 2 2" xfId="2547" xr:uid="{00000000-0005-0000-0000-00001D000000}"/>
    <cellStyle name="20% - Accent1 4 2 3" xfId="2749" xr:uid="{00000000-0005-0000-0000-00001E000000}"/>
    <cellStyle name="20% - Accent1 4 3" xfId="2421" xr:uid="{00000000-0005-0000-0000-00001F000000}"/>
    <cellStyle name="20% - Accent1 4 3 2" xfId="2623" xr:uid="{00000000-0005-0000-0000-000020000000}"/>
    <cellStyle name="20% - Accent1 4 3 3" xfId="2825" xr:uid="{00000000-0005-0000-0000-000021000000}"/>
    <cellStyle name="20% - Accent1 4 4" xfId="2469" xr:uid="{00000000-0005-0000-0000-000022000000}"/>
    <cellStyle name="20% - Accent1 4 5" xfId="2671" xr:uid="{00000000-0005-0000-0000-000023000000}"/>
    <cellStyle name="20% - Accent1 4 6" xfId="2859" xr:uid="{00000000-0005-0000-0000-000024000000}"/>
    <cellStyle name="20% - Accent1 5" xfId="2241" xr:uid="{00000000-0005-0000-0000-000025000000}"/>
    <cellStyle name="20% - Accent1 5 2" xfId="2362" xr:uid="{00000000-0005-0000-0000-000026000000}"/>
    <cellStyle name="20% - Accent1 5 2 2" xfId="2581" xr:uid="{00000000-0005-0000-0000-000027000000}"/>
    <cellStyle name="20% - Accent1 5 2 3" xfId="2783" xr:uid="{00000000-0005-0000-0000-000028000000}"/>
    <cellStyle name="20% - Accent1 5 3" xfId="2503" xr:uid="{00000000-0005-0000-0000-000029000000}"/>
    <cellStyle name="20% - Accent1 5 4" xfId="2705" xr:uid="{00000000-0005-0000-0000-00002A000000}"/>
    <cellStyle name="20% - Accent1 6" xfId="2255" xr:uid="{00000000-0005-0000-0000-00002B000000}"/>
    <cellStyle name="20% - Accent1 6 2" xfId="2393" xr:uid="{00000000-0005-0000-0000-00002C000000}"/>
    <cellStyle name="20% - Accent1 6 2 2" xfId="2595" xr:uid="{00000000-0005-0000-0000-00002D000000}"/>
    <cellStyle name="20% - Accent1 6 2 3" xfId="2797" xr:uid="{00000000-0005-0000-0000-00002E000000}"/>
    <cellStyle name="20% - Accent1 6 3" xfId="2288" xr:uid="{00000000-0005-0000-0000-00002F000000}"/>
    <cellStyle name="20% - Accent1 6 4" xfId="2517" xr:uid="{00000000-0005-0000-0000-000030000000}"/>
    <cellStyle name="20% - Accent1 6 5" xfId="2719"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3" xr:uid="{00000000-0005-0000-0000-00003A000000}"/>
    <cellStyle name="20% - Accent2 3 2 2 2" xfId="2563" xr:uid="{00000000-0005-0000-0000-00003B000000}"/>
    <cellStyle name="20% - Accent2 3 2 2 3" xfId="2765" xr:uid="{00000000-0005-0000-0000-00003C000000}"/>
    <cellStyle name="20% - Accent2 3 2 3" xfId="2437" xr:uid="{00000000-0005-0000-0000-00003D000000}"/>
    <cellStyle name="20% - Accent2 3 2 3 2" xfId="2639" xr:uid="{00000000-0005-0000-0000-00003E000000}"/>
    <cellStyle name="20% - Accent2 3 2 3 3" xfId="2841" xr:uid="{00000000-0005-0000-0000-00003F000000}"/>
    <cellStyle name="20% - Accent2 3 2 4" xfId="2485" xr:uid="{00000000-0005-0000-0000-000040000000}"/>
    <cellStyle name="20% - Accent2 3 2 5" xfId="2687" xr:uid="{00000000-0005-0000-0000-000041000000}"/>
    <cellStyle name="20% - Accent2 3 2 6" xfId="2861" xr:uid="{00000000-0005-0000-0000-000042000000}"/>
    <cellStyle name="20% - Accent2 3 3" xfId="393" xr:uid="{00000000-0005-0000-0000-000043000000}"/>
    <cellStyle name="20% - Accent2 3 4" xfId="2315" xr:uid="{00000000-0005-0000-0000-000044000000}"/>
    <cellStyle name="20% - Accent2 3 4 2" xfId="2535" xr:uid="{00000000-0005-0000-0000-000045000000}"/>
    <cellStyle name="20% - Accent2 3 4 3" xfId="2737" xr:uid="{00000000-0005-0000-0000-000046000000}"/>
    <cellStyle name="20% - Accent2 3 5" xfId="2409" xr:uid="{00000000-0005-0000-0000-000047000000}"/>
    <cellStyle name="20% - Accent2 3 5 2" xfId="2611" xr:uid="{00000000-0005-0000-0000-000048000000}"/>
    <cellStyle name="20% - Accent2 3 5 3" xfId="2813" xr:uid="{00000000-0005-0000-0000-000049000000}"/>
    <cellStyle name="20% - Accent2 3 6" xfId="2457" xr:uid="{00000000-0005-0000-0000-00004A000000}"/>
    <cellStyle name="20% - Accent2 3 7" xfId="2659" xr:uid="{00000000-0005-0000-0000-00004B000000}"/>
    <cellStyle name="20% - Accent2 3 8" xfId="2860" xr:uid="{00000000-0005-0000-0000-00004C000000}"/>
    <cellStyle name="20% - Accent2 4" xfId="206" xr:uid="{00000000-0005-0000-0000-00004D000000}"/>
    <cellStyle name="20% - Accent2 4 2" xfId="2329" xr:uid="{00000000-0005-0000-0000-00004E000000}"/>
    <cellStyle name="20% - Accent2 4 2 2" xfId="2549" xr:uid="{00000000-0005-0000-0000-00004F000000}"/>
    <cellStyle name="20% - Accent2 4 2 3" xfId="2751" xr:uid="{00000000-0005-0000-0000-000050000000}"/>
    <cellStyle name="20% - Accent2 4 3" xfId="2423" xr:uid="{00000000-0005-0000-0000-000051000000}"/>
    <cellStyle name="20% - Accent2 4 3 2" xfId="2625" xr:uid="{00000000-0005-0000-0000-000052000000}"/>
    <cellStyle name="20% - Accent2 4 3 3" xfId="2827" xr:uid="{00000000-0005-0000-0000-000053000000}"/>
    <cellStyle name="20% - Accent2 4 4" xfId="2471" xr:uid="{00000000-0005-0000-0000-000054000000}"/>
    <cellStyle name="20% - Accent2 4 5" xfId="2673" xr:uid="{00000000-0005-0000-0000-000055000000}"/>
    <cellStyle name="20% - Accent2 4 6" xfId="2862" xr:uid="{00000000-0005-0000-0000-000056000000}"/>
    <cellStyle name="20% - Accent2 5" xfId="2243" xr:uid="{00000000-0005-0000-0000-000057000000}"/>
    <cellStyle name="20% - Accent2 5 2" xfId="2364" xr:uid="{00000000-0005-0000-0000-000058000000}"/>
    <cellStyle name="20% - Accent2 5 2 2" xfId="2583" xr:uid="{00000000-0005-0000-0000-000059000000}"/>
    <cellStyle name="20% - Accent2 5 2 3" xfId="2785" xr:uid="{00000000-0005-0000-0000-00005A000000}"/>
    <cellStyle name="20% - Accent2 5 3" xfId="2505" xr:uid="{00000000-0005-0000-0000-00005B000000}"/>
    <cellStyle name="20% - Accent2 5 4" xfId="2707" xr:uid="{00000000-0005-0000-0000-00005C000000}"/>
    <cellStyle name="20% - Accent2 6" xfId="2257" xr:uid="{00000000-0005-0000-0000-00005D000000}"/>
    <cellStyle name="20% - Accent2 6 2" xfId="2395" xr:uid="{00000000-0005-0000-0000-00005E000000}"/>
    <cellStyle name="20% - Accent2 6 2 2" xfId="2597" xr:uid="{00000000-0005-0000-0000-00005F000000}"/>
    <cellStyle name="20% - Accent2 6 2 3" xfId="2799" xr:uid="{00000000-0005-0000-0000-000060000000}"/>
    <cellStyle name="20% - Accent2 6 3" xfId="2292" xr:uid="{00000000-0005-0000-0000-000061000000}"/>
    <cellStyle name="20% - Accent2 6 4" xfId="2519" xr:uid="{00000000-0005-0000-0000-000062000000}"/>
    <cellStyle name="20% - Accent2 6 5" xfId="2721"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5" xr:uid="{00000000-0005-0000-0000-00006C000000}"/>
    <cellStyle name="20% - Accent3 3 2 2 2" xfId="2565" xr:uid="{00000000-0005-0000-0000-00006D000000}"/>
    <cellStyle name="20% - Accent3 3 2 2 3" xfId="2767" xr:uid="{00000000-0005-0000-0000-00006E000000}"/>
    <cellStyle name="20% - Accent3 3 2 3" xfId="2439" xr:uid="{00000000-0005-0000-0000-00006F000000}"/>
    <cellStyle name="20% - Accent3 3 2 3 2" xfId="2641" xr:uid="{00000000-0005-0000-0000-000070000000}"/>
    <cellStyle name="20% - Accent3 3 2 3 3" xfId="2843" xr:uid="{00000000-0005-0000-0000-000071000000}"/>
    <cellStyle name="20% - Accent3 3 2 4" xfId="2487" xr:uid="{00000000-0005-0000-0000-000072000000}"/>
    <cellStyle name="20% - Accent3 3 2 5" xfId="2689" xr:uid="{00000000-0005-0000-0000-000073000000}"/>
    <cellStyle name="20% - Accent3 3 2 6" xfId="2864" xr:uid="{00000000-0005-0000-0000-000074000000}"/>
    <cellStyle name="20% - Accent3 3 3" xfId="397" xr:uid="{00000000-0005-0000-0000-000075000000}"/>
    <cellStyle name="20% - Accent3 3 4" xfId="2317" xr:uid="{00000000-0005-0000-0000-000076000000}"/>
    <cellStyle name="20% - Accent3 3 4 2" xfId="2537" xr:uid="{00000000-0005-0000-0000-000077000000}"/>
    <cellStyle name="20% - Accent3 3 4 3" xfId="2739" xr:uid="{00000000-0005-0000-0000-000078000000}"/>
    <cellStyle name="20% - Accent3 3 5" xfId="2411" xr:uid="{00000000-0005-0000-0000-000079000000}"/>
    <cellStyle name="20% - Accent3 3 5 2" xfId="2613" xr:uid="{00000000-0005-0000-0000-00007A000000}"/>
    <cellStyle name="20% - Accent3 3 5 3" xfId="2815" xr:uid="{00000000-0005-0000-0000-00007B000000}"/>
    <cellStyle name="20% - Accent3 3 6" xfId="2459" xr:uid="{00000000-0005-0000-0000-00007C000000}"/>
    <cellStyle name="20% - Accent3 3 7" xfId="2661" xr:uid="{00000000-0005-0000-0000-00007D000000}"/>
    <cellStyle name="20% - Accent3 3 8" xfId="2863" xr:uid="{00000000-0005-0000-0000-00007E000000}"/>
    <cellStyle name="20% - Accent3 4" xfId="208" xr:uid="{00000000-0005-0000-0000-00007F000000}"/>
    <cellStyle name="20% - Accent3 4 2" xfId="2331" xr:uid="{00000000-0005-0000-0000-000080000000}"/>
    <cellStyle name="20% - Accent3 4 2 2" xfId="2551" xr:uid="{00000000-0005-0000-0000-000081000000}"/>
    <cellStyle name="20% - Accent3 4 2 3" xfId="2753" xr:uid="{00000000-0005-0000-0000-000082000000}"/>
    <cellStyle name="20% - Accent3 4 3" xfId="2425" xr:uid="{00000000-0005-0000-0000-000083000000}"/>
    <cellStyle name="20% - Accent3 4 3 2" xfId="2627" xr:uid="{00000000-0005-0000-0000-000084000000}"/>
    <cellStyle name="20% - Accent3 4 3 3" xfId="2829" xr:uid="{00000000-0005-0000-0000-000085000000}"/>
    <cellStyle name="20% - Accent3 4 4" xfId="2473" xr:uid="{00000000-0005-0000-0000-000086000000}"/>
    <cellStyle name="20% - Accent3 4 5" xfId="2675" xr:uid="{00000000-0005-0000-0000-000087000000}"/>
    <cellStyle name="20% - Accent3 4 6" xfId="2865" xr:uid="{00000000-0005-0000-0000-000088000000}"/>
    <cellStyle name="20% - Accent3 5" xfId="2245" xr:uid="{00000000-0005-0000-0000-000089000000}"/>
    <cellStyle name="20% - Accent3 5 2" xfId="2366" xr:uid="{00000000-0005-0000-0000-00008A000000}"/>
    <cellStyle name="20% - Accent3 5 2 2" xfId="2585" xr:uid="{00000000-0005-0000-0000-00008B000000}"/>
    <cellStyle name="20% - Accent3 5 2 3" xfId="2787" xr:uid="{00000000-0005-0000-0000-00008C000000}"/>
    <cellStyle name="20% - Accent3 5 3" xfId="2507" xr:uid="{00000000-0005-0000-0000-00008D000000}"/>
    <cellStyle name="20% - Accent3 5 4" xfId="2709" xr:uid="{00000000-0005-0000-0000-00008E000000}"/>
    <cellStyle name="20% - Accent3 6" xfId="2259" xr:uid="{00000000-0005-0000-0000-00008F000000}"/>
    <cellStyle name="20% - Accent3 6 2" xfId="2397" xr:uid="{00000000-0005-0000-0000-000090000000}"/>
    <cellStyle name="20% - Accent3 6 2 2" xfId="2599" xr:uid="{00000000-0005-0000-0000-000091000000}"/>
    <cellStyle name="20% - Accent3 6 2 3" xfId="2801" xr:uid="{00000000-0005-0000-0000-000092000000}"/>
    <cellStyle name="20% - Accent3 6 3" xfId="2296" xr:uid="{00000000-0005-0000-0000-000093000000}"/>
    <cellStyle name="20% - Accent3 6 4" xfId="2521" xr:uid="{00000000-0005-0000-0000-000094000000}"/>
    <cellStyle name="20% - Accent3 6 5" xfId="2723"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7" xr:uid="{00000000-0005-0000-0000-00009E000000}"/>
    <cellStyle name="20% - Accent4 3 2 2 2" xfId="2567" xr:uid="{00000000-0005-0000-0000-00009F000000}"/>
    <cellStyle name="20% - Accent4 3 2 2 3" xfId="2769" xr:uid="{00000000-0005-0000-0000-0000A0000000}"/>
    <cellStyle name="20% - Accent4 3 2 3" xfId="2441" xr:uid="{00000000-0005-0000-0000-0000A1000000}"/>
    <cellStyle name="20% - Accent4 3 2 3 2" xfId="2643" xr:uid="{00000000-0005-0000-0000-0000A2000000}"/>
    <cellStyle name="20% - Accent4 3 2 3 3" xfId="2845" xr:uid="{00000000-0005-0000-0000-0000A3000000}"/>
    <cellStyle name="20% - Accent4 3 2 4" xfId="2489" xr:uid="{00000000-0005-0000-0000-0000A4000000}"/>
    <cellStyle name="20% - Accent4 3 2 5" xfId="2691" xr:uid="{00000000-0005-0000-0000-0000A5000000}"/>
    <cellStyle name="20% - Accent4 3 2 6" xfId="2867" xr:uid="{00000000-0005-0000-0000-0000A6000000}"/>
    <cellStyle name="20% - Accent4 3 3" xfId="401" xr:uid="{00000000-0005-0000-0000-0000A7000000}"/>
    <cellStyle name="20% - Accent4 3 4" xfId="2319" xr:uid="{00000000-0005-0000-0000-0000A8000000}"/>
    <cellStyle name="20% - Accent4 3 4 2" xfId="2539" xr:uid="{00000000-0005-0000-0000-0000A9000000}"/>
    <cellStyle name="20% - Accent4 3 4 3" xfId="2741" xr:uid="{00000000-0005-0000-0000-0000AA000000}"/>
    <cellStyle name="20% - Accent4 3 5" xfId="2413" xr:uid="{00000000-0005-0000-0000-0000AB000000}"/>
    <cellStyle name="20% - Accent4 3 5 2" xfId="2615" xr:uid="{00000000-0005-0000-0000-0000AC000000}"/>
    <cellStyle name="20% - Accent4 3 5 3" xfId="2817" xr:uid="{00000000-0005-0000-0000-0000AD000000}"/>
    <cellStyle name="20% - Accent4 3 6" xfId="2461" xr:uid="{00000000-0005-0000-0000-0000AE000000}"/>
    <cellStyle name="20% - Accent4 3 7" xfId="2663" xr:uid="{00000000-0005-0000-0000-0000AF000000}"/>
    <cellStyle name="20% - Accent4 3 8" xfId="2866" xr:uid="{00000000-0005-0000-0000-0000B0000000}"/>
    <cellStyle name="20% - Accent4 4" xfId="210" xr:uid="{00000000-0005-0000-0000-0000B1000000}"/>
    <cellStyle name="20% - Accent4 4 2" xfId="2333" xr:uid="{00000000-0005-0000-0000-0000B2000000}"/>
    <cellStyle name="20% - Accent4 4 2 2" xfId="2553" xr:uid="{00000000-0005-0000-0000-0000B3000000}"/>
    <cellStyle name="20% - Accent4 4 2 3" xfId="2755" xr:uid="{00000000-0005-0000-0000-0000B4000000}"/>
    <cellStyle name="20% - Accent4 4 3" xfId="2427" xr:uid="{00000000-0005-0000-0000-0000B5000000}"/>
    <cellStyle name="20% - Accent4 4 3 2" xfId="2629" xr:uid="{00000000-0005-0000-0000-0000B6000000}"/>
    <cellStyle name="20% - Accent4 4 3 3" xfId="2831" xr:uid="{00000000-0005-0000-0000-0000B7000000}"/>
    <cellStyle name="20% - Accent4 4 4" xfId="2475" xr:uid="{00000000-0005-0000-0000-0000B8000000}"/>
    <cellStyle name="20% - Accent4 4 5" xfId="2677" xr:uid="{00000000-0005-0000-0000-0000B9000000}"/>
    <cellStyle name="20% - Accent4 4 6" xfId="2868" xr:uid="{00000000-0005-0000-0000-0000BA000000}"/>
    <cellStyle name="20% - Accent4 5" xfId="2247" xr:uid="{00000000-0005-0000-0000-0000BB000000}"/>
    <cellStyle name="20% - Accent4 5 2" xfId="2368" xr:uid="{00000000-0005-0000-0000-0000BC000000}"/>
    <cellStyle name="20% - Accent4 5 2 2" xfId="2587" xr:uid="{00000000-0005-0000-0000-0000BD000000}"/>
    <cellStyle name="20% - Accent4 5 2 3" xfId="2789" xr:uid="{00000000-0005-0000-0000-0000BE000000}"/>
    <cellStyle name="20% - Accent4 5 3" xfId="2509" xr:uid="{00000000-0005-0000-0000-0000BF000000}"/>
    <cellStyle name="20% - Accent4 5 4" xfId="2711" xr:uid="{00000000-0005-0000-0000-0000C0000000}"/>
    <cellStyle name="20% - Accent4 6" xfId="2261" xr:uid="{00000000-0005-0000-0000-0000C1000000}"/>
    <cellStyle name="20% - Accent4 6 2" xfId="2399" xr:uid="{00000000-0005-0000-0000-0000C2000000}"/>
    <cellStyle name="20% - Accent4 6 2 2" xfId="2601" xr:uid="{00000000-0005-0000-0000-0000C3000000}"/>
    <cellStyle name="20% - Accent4 6 2 3" xfId="2803" xr:uid="{00000000-0005-0000-0000-0000C4000000}"/>
    <cellStyle name="20% - Accent4 6 3" xfId="2300" xr:uid="{00000000-0005-0000-0000-0000C5000000}"/>
    <cellStyle name="20% - Accent4 6 4" xfId="2523" xr:uid="{00000000-0005-0000-0000-0000C6000000}"/>
    <cellStyle name="20% - Accent4 6 5" xfId="2725"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49" xr:uid="{00000000-0005-0000-0000-0000D0000000}"/>
    <cellStyle name="20% - Accent5 3 2 2 2" xfId="2569" xr:uid="{00000000-0005-0000-0000-0000D1000000}"/>
    <cellStyle name="20% - Accent5 3 2 2 3" xfId="2771" xr:uid="{00000000-0005-0000-0000-0000D2000000}"/>
    <cellStyle name="20% - Accent5 3 2 3" xfId="2443" xr:uid="{00000000-0005-0000-0000-0000D3000000}"/>
    <cellStyle name="20% - Accent5 3 2 3 2" xfId="2645" xr:uid="{00000000-0005-0000-0000-0000D4000000}"/>
    <cellStyle name="20% - Accent5 3 2 3 3" xfId="2847" xr:uid="{00000000-0005-0000-0000-0000D5000000}"/>
    <cellStyle name="20% - Accent5 3 2 4" xfId="2491" xr:uid="{00000000-0005-0000-0000-0000D6000000}"/>
    <cellStyle name="20% - Accent5 3 2 5" xfId="2693" xr:uid="{00000000-0005-0000-0000-0000D7000000}"/>
    <cellStyle name="20% - Accent5 3 2 6" xfId="2870" xr:uid="{00000000-0005-0000-0000-0000D8000000}"/>
    <cellStyle name="20% - Accent5 3 3" xfId="405" xr:uid="{00000000-0005-0000-0000-0000D9000000}"/>
    <cellStyle name="20% - Accent5 3 4" xfId="2321" xr:uid="{00000000-0005-0000-0000-0000DA000000}"/>
    <cellStyle name="20% - Accent5 3 4 2" xfId="2541" xr:uid="{00000000-0005-0000-0000-0000DB000000}"/>
    <cellStyle name="20% - Accent5 3 4 3" xfId="2743" xr:uid="{00000000-0005-0000-0000-0000DC000000}"/>
    <cellStyle name="20% - Accent5 3 5" xfId="2415" xr:uid="{00000000-0005-0000-0000-0000DD000000}"/>
    <cellStyle name="20% - Accent5 3 5 2" xfId="2617" xr:uid="{00000000-0005-0000-0000-0000DE000000}"/>
    <cellStyle name="20% - Accent5 3 5 3" xfId="2819" xr:uid="{00000000-0005-0000-0000-0000DF000000}"/>
    <cellStyle name="20% - Accent5 3 6" xfId="2463" xr:uid="{00000000-0005-0000-0000-0000E0000000}"/>
    <cellStyle name="20% - Accent5 3 7" xfId="2665" xr:uid="{00000000-0005-0000-0000-0000E1000000}"/>
    <cellStyle name="20% - Accent5 3 8" xfId="2869" xr:uid="{00000000-0005-0000-0000-0000E2000000}"/>
    <cellStyle name="20% - Accent5 4" xfId="212" xr:uid="{00000000-0005-0000-0000-0000E3000000}"/>
    <cellStyle name="20% - Accent5 4 2" xfId="2335" xr:uid="{00000000-0005-0000-0000-0000E4000000}"/>
    <cellStyle name="20% - Accent5 4 2 2" xfId="2555" xr:uid="{00000000-0005-0000-0000-0000E5000000}"/>
    <cellStyle name="20% - Accent5 4 2 3" xfId="2757" xr:uid="{00000000-0005-0000-0000-0000E6000000}"/>
    <cellStyle name="20% - Accent5 4 3" xfId="2429" xr:uid="{00000000-0005-0000-0000-0000E7000000}"/>
    <cellStyle name="20% - Accent5 4 3 2" xfId="2631" xr:uid="{00000000-0005-0000-0000-0000E8000000}"/>
    <cellStyle name="20% - Accent5 4 3 3" xfId="2833" xr:uid="{00000000-0005-0000-0000-0000E9000000}"/>
    <cellStyle name="20% - Accent5 4 4" xfId="2477" xr:uid="{00000000-0005-0000-0000-0000EA000000}"/>
    <cellStyle name="20% - Accent5 4 5" xfId="2679" xr:uid="{00000000-0005-0000-0000-0000EB000000}"/>
    <cellStyle name="20% - Accent5 4 6" xfId="2871" xr:uid="{00000000-0005-0000-0000-0000EC000000}"/>
    <cellStyle name="20% - Accent5 5" xfId="2249" xr:uid="{00000000-0005-0000-0000-0000ED000000}"/>
    <cellStyle name="20% - Accent5 5 2" xfId="2370" xr:uid="{00000000-0005-0000-0000-0000EE000000}"/>
    <cellStyle name="20% - Accent5 5 2 2" xfId="2589" xr:uid="{00000000-0005-0000-0000-0000EF000000}"/>
    <cellStyle name="20% - Accent5 5 2 3" xfId="2791" xr:uid="{00000000-0005-0000-0000-0000F0000000}"/>
    <cellStyle name="20% - Accent5 5 3" xfId="2511" xr:uid="{00000000-0005-0000-0000-0000F1000000}"/>
    <cellStyle name="20% - Accent5 5 4" xfId="2713" xr:uid="{00000000-0005-0000-0000-0000F2000000}"/>
    <cellStyle name="20% - Accent5 6" xfId="2263" xr:uid="{00000000-0005-0000-0000-0000F3000000}"/>
    <cellStyle name="20% - Accent5 6 2" xfId="2401" xr:uid="{00000000-0005-0000-0000-0000F4000000}"/>
    <cellStyle name="20% - Accent5 6 2 2" xfId="2603" xr:uid="{00000000-0005-0000-0000-0000F5000000}"/>
    <cellStyle name="20% - Accent5 6 2 3" xfId="2805" xr:uid="{00000000-0005-0000-0000-0000F6000000}"/>
    <cellStyle name="20% - Accent5 6 3" xfId="2304" xr:uid="{00000000-0005-0000-0000-0000F7000000}"/>
    <cellStyle name="20% - Accent5 6 4" xfId="2525" xr:uid="{00000000-0005-0000-0000-0000F8000000}"/>
    <cellStyle name="20% - Accent5 6 5" xfId="2727"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1" xr:uid="{00000000-0005-0000-0000-000002010000}"/>
    <cellStyle name="20% - Accent6 3 2 2 2" xfId="2571" xr:uid="{00000000-0005-0000-0000-000003010000}"/>
    <cellStyle name="20% - Accent6 3 2 2 3" xfId="2773" xr:uid="{00000000-0005-0000-0000-000004010000}"/>
    <cellStyle name="20% - Accent6 3 2 3" xfId="2445" xr:uid="{00000000-0005-0000-0000-000005010000}"/>
    <cellStyle name="20% - Accent6 3 2 3 2" xfId="2647" xr:uid="{00000000-0005-0000-0000-000006010000}"/>
    <cellStyle name="20% - Accent6 3 2 3 3" xfId="2849" xr:uid="{00000000-0005-0000-0000-000007010000}"/>
    <cellStyle name="20% - Accent6 3 2 4" xfId="2493" xr:uid="{00000000-0005-0000-0000-000008010000}"/>
    <cellStyle name="20% - Accent6 3 2 5" xfId="2695" xr:uid="{00000000-0005-0000-0000-000009010000}"/>
    <cellStyle name="20% - Accent6 3 2 6" xfId="2873" xr:uid="{00000000-0005-0000-0000-00000A010000}"/>
    <cellStyle name="20% - Accent6 3 3" xfId="409" xr:uid="{00000000-0005-0000-0000-00000B010000}"/>
    <cellStyle name="20% - Accent6 3 4" xfId="2323" xr:uid="{00000000-0005-0000-0000-00000C010000}"/>
    <cellStyle name="20% - Accent6 3 4 2" xfId="2543" xr:uid="{00000000-0005-0000-0000-00000D010000}"/>
    <cellStyle name="20% - Accent6 3 4 3" xfId="2745" xr:uid="{00000000-0005-0000-0000-00000E010000}"/>
    <cellStyle name="20% - Accent6 3 5" xfId="2417" xr:uid="{00000000-0005-0000-0000-00000F010000}"/>
    <cellStyle name="20% - Accent6 3 5 2" xfId="2619" xr:uid="{00000000-0005-0000-0000-000010010000}"/>
    <cellStyle name="20% - Accent6 3 5 3" xfId="2821" xr:uid="{00000000-0005-0000-0000-000011010000}"/>
    <cellStyle name="20% - Accent6 3 6" xfId="2465" xr:uid="{00000000-0005-0000-0000-000012010000}"/>
    <cellStyle name="20% - Accent6 3 7" xfId="2667" xr:uid="{00000000-0005-0000-0000-000013010000}"/>
    <cellStyle name="20% - Accent6 3 8" xfId="2872" xr:uid="{00000000-0005-0000-0000-000014010000}"/>
    <cellStyle name="20% - Accent6 4" xfId="214" xr:uid="{00000000-0005-0000-0000-000015010000}"/>
    <cellStyle name="20% - Accent6 4 2" xfId="2337" xr:uid="{00000000-0005-0000-0000-000016010000}"/>
    <cellStyle name="20% - Accent6 4 2 2" xfId="2557" xr:uid="{00000000-0005-0000-0000-000017010000}"/>
    <cellStyle name="20% - Accent6 4 2 3" xfId="2759" xr:uid="{00000000-0005-0000-0000-000018010000}"/>
    <cellStyle name="20% - Accent6 4 3" xfId="2431" xr:uid="{00000000-0005-0000-0000-000019010000}"/>
    <cellStyle name="20% - Accent6 4 3 2" xfId="2633" xr:uid="{00000000-0005-0000-0000-00001A010000}"/>
    <cellStyle name="20% - Accent6 4 3 3" xfId="2835" xr:uid="{00000000-0005-0000-0000-00001B010000}"/>
    <cellStyle name="20% - Accent6 4 4" xfId="2479" xr:uid="{00000000-0005-0000-0000-00001C010000}"/>
    <cellStyle name="20% - Accent6 4 5" xfId="2681" xr:uid="{00000000-0005-0000-0000-00001D010000}"/>
    <cellStyle name="20% - Accent6 4 6" xfId="2874" xr:uid="{00000000-0005-0000-0000-00001E010000}"/>
    <cellStyle name="20% - Accent6 5" xfId="2251" xr:uid="{00000000-0005-0000-0000-00001F010000}"/>
    <cellStyle name="20% - Accent6 5 2" xfId="2372" xr:uid="{00000000-0005-0000-0000-000020010000}"/>
    <cellStyle name="20% - Accent6 5 2 2" xfId="2591" xr:uid="{00000000-0005-0000-0000-000021010000}"/>
    <cellStyle name="20% - Accent6 5 2 3" xfId="2793" xr:uid="{00000000-0005-0000-0000-000022010000}"/>
    <cellStyle name="20% - Accent6 5 3" xfId="2513" xr:uid="{00000000-0005-0000-0000-000023010000}"/>
    <cellStyle name="20% - Accent6 5 4" xfId="2715" xr:uid="{00000000-0005-0000-0000-000024010000}"/>
    <cellStyle name="20% - Accent6 6" xfId="2265" xr:uid="{00000000-0005-0000-0000-000025010000}"/>
    <cellStyle name="20% - Accent6 6 2" xfId="2403" xr:uid="{00000000-0005-0000-0000-000026010000}"/>
    <cellStyle name="20% - Accent6 6 2 2" xfId="2605" xr:uid="{00000000-0005-0000-0000-000027010000}"/>
    <cellStyle name="20% - Accent6 6 2 3" xfId="2807" xr:uid="{00000000-0005-0000-0000-000028010000}"/>
    <cellStyle name="20% - Accent6 6 3" xfId="2308" xr:uid="{00000000-0005-0000-0000-000029010000}"/>
    <cellStyle name="20% - Accent6 6 4" xfId="2527" xr:uid="{00000000-0005-0000-0000-00002A010000}"/>
    <cellStyle name="20% - Accent6 6 5" xfId="2729"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2" xr:uid="{00000000-0005-0000-0000-000034010000}"/>
    <cellStyle name="40% - Accent1 3 2 2 2" xfId="2562" xr:uid="{00000000-0005-0000-0000-000035010000}"/>
    <cellStyle name="40% - Accent1 3 2 2 3" xfId="2764" xr:uid="{00000000-0005-0000-0000-000036010000}"/>
    <cellStyle name="40% - Accent1 3 2 3" xfId="2436" xr:uid="{00000000-0005-0000-0000-000037010000}"/>
    <cellStyle name="40% - Accent1 3 2 3 2" xfId="2638" xr:uid="{00000000-0005-0000-0000-000038010000}"/>
    <cellStyle name="40% - Accent1 3 2 3 3" xfId="2840" xr:uid="{00000000-0005-0000-0000-000039010000}"/>
    <cellStyle name="40% - Accent1 3 2 4" xfId="2484" xr:uid="{00000000-0005-0000-0000-00003A010000}"/>
    <cellStyle name="40% - Accent1 3 2 5" xfId="2686" xr:uid="{00000000-0005-0000-0000-00003B010000}"/>
    <cellStyle name="40% - Accent1 3 2 6" xfId="2876" xr:uid="{00000000-0005-0000-0000-00003C010000}"/>
    <cellStyle name="40% - Accent1 3 3" xfId="390" xr:uid="{00000000-0005-0000-0000-00003D010000}"/>
    <cellStyle name="40% - Accent1 3 4" xfId="2314" xr:uid="{00000000-0005-0000-0000-00003E010000}"/>
    <cellStyle name="40% - Accent1 3 4 2" xfId="2534" xr:uid="{00000000-0005-0000-0000-00003F010000}"/>
    <cellStyle name="40% - Accent1 3 4 3" xfId="2736" xr:uid="{00000000-0005-0000-0000-000040010000}"/>
    <cellStyle name="40% - Accent1 3 5" xfId="2408" xr:uid="{00000000-0005-0000-0000-000041010000}"/>
    <cellStyle name="40% - Accent1 3 5 2" xfId="2610" xr:uid="{00000000-0005-0000-0000-000042010000}"/>
    <cellStyle name="40% - Accent1 3 5 3" xfId="2812" xr:uid="{00000000-0005-0000-0000-000043010000}"/>
    <cellStyle name="40% - Accent1 3 6" xfId="2456" xr:uid="{00000000-0005-0000-0000-000044010000}"/>
    <cellStyle name="40% - Accent1 3 7" xfId="2658" xr:uid="{00000000-0005-0000-0000-000045010000}"/>
    <cellStyle name="40% - Accent1 3 8" xfId="2875" xr:uid="{00000000-0005-0000-0000-000046010000}"/>
    <cellStyle name="40% - Accent1 4" xfId="205" xr:uid="{00000000-0005-0000-0000-000047010000}"/>
    <cellStyle name="40% - Accent1 4 2" xfId="2328" xr:uid="{00000000-0005-0000-0000-000048010000}"/>
    <cellStyle name="40% - Accent1 4 2 2" xfId="2548" xr:uid="{00000000-0005-0000-0000-000049010000}"/>
    <cellStyle name="40% - Accent1 4 2 3" xfId="2750" xr:uid="{00000000-0005-0000-0000-00004A010000}"/>
    <cellStyle name="40% - Accent1 4 3" xfId="2422" xr:uid="{00000000-0005-0000-0000-00004B010000}"/>
    <cellStyle name="40% - Accent1 4 3 2" xfId="2624" xr:uid="{00000000-0005-0000-0000-00004C010000}"/>
    <cellStyle name="40% - Accent1 4 3 3" xfId="2826" xr:uid="{00000000-0005-0000-0000-00004D010000}"/>
    <cellStyle name="40% - Accent1 4 4" xfId="2470" xr:uid="{00000000-0005-0000-0000-00004E010000}"/>
    <cellStyle name="40% - Accent1 4 5" xfId="2672" xr:uid="{00000000-0005-0000-0000-00004F010000}"/>
    <cellStyle name="40% - Accent1 4 6" xfId="2877" xr:uid="{00000000-0005-0000-0000-000050010000}"/>
    <cellStyle name="40% - Accent1 5" xfId="2242" xr:uid="{00000000-0005-0000-0000-000051010000}"/>
    <cellStyle name="40% - Accent1 5 2" xfId="2363" xr:uid="{00000000-0005-0000-0000-000052010000}"/>
    <cellStyle name="40% - Accent1 5 2 2" xfId="2582" xr:uid="{00000000-0005-0000-0000-000053010000}"/>
    <cellStyle name="40% - Accent1 5 2 3" xfId="2784" xr:uid="{00000000-0005-0000-0000-000054010000}"/>
    <cellStyle name="40% - Accent1 5 3" xfId="2504" xr:uid="{00000000-0005-0000-0000-000055010000}"/>
    <cellStyle name="40% - Accent1 5 4" xfId="2706" xr:uid="{00000000-0005-0000-0000-000056010000}"/>
    <cellStyle name="40% - Accent1 6" xfId="2256" xr:uid="{00000000-0005-0000-0000-000057010000}"/>
    <cellStyle name="40% - Accent1 6 2" xfId="2394" xr:uid="{00000000-0005-0000-0000-000058010000}"/>
    <cellStyle name="40% - Accent1 6 2 2" xfId="2596" xr:uid="{00000000-0005-0000-0000-000059010000}"/>
    <cellStyle name="40% - Accent1 6 2 3" xfId="2798" xr:uid="{00000000-0005-0000-0000-00005A010000}"/>
    <cellStyle name="40% - Accent1 6 3" xfId="2289" xr:uid="{00000000-0005-0000-0000-00005B010000}"/>
    <cellStyle name="40% - Accent1 6 4" xfId="2518" xr:uid="{00000000-0005-0000-0000-00005C010000}"/>
    <cellStyle name="40% - Accent1 6 5" xfId="2720"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4" xr:uid="{00000000-0005-0000-0000-000066010000}"/>
    <cellStyle name="40% - Accent2 3 2 2 2" xfId="2564" xr:uid="{00000000-0005-0000-0000-000067010000}"/>
    <cellStyle name="40% - Accent2 3 2 2 3" xfId="2766" xr:uid="{00000000-0005-0000-0000-000068010000}"/>
    <cellStyle name="40% - Accent2 3 2 3" xfId="2438" xr:uid="{00000000-0005-0000-0000-000069010000}"/>
    <cellStyle name="40% - Accent2 3 2 3 2" xfId="2640" xr:uid="{00000000-0005-0000-0000-00006A010000}"/>
    <cellStyle name="40% - Accent2 3 2 3 3" xfId="2842" xr:uid="{00000000-0005-0000-0000-00006B010000}"/>
    <cellStyle name="40% - Accent2 3 2 4" xfId="2486" xr:uid="{00000000-0005-0000-0000-00006C010000}"/>
    <cellStyle name="40% - Accent2 3 2 5" xfId="2688" xr:uid="{00000000-0005-0000-0000-00006D010000}"/>
    <cellStyle name="40% - Accent2 3 2 6" xfId="2879" xr:uid="{00000000-0005-0000-0000-00006E010000}"/>
    <cellStyle name="40% - Accent2 3 3" xfId="394" xr:uid="{00000000-0005-0000-0000-00006F010000}"/>
    <cellStyle name="40% - Accent2 3 4" xfId="2316" xr:uid="{00000000-0005-0000-0000-000070010000}"/>
    <cellStyle name="40% - Accent2 3 4 2" xfId="2536" xr:uid="{00000000-0005-0000-0000-000071010000}"/>
    <cellStyle name="40% - Accent2 3 4 3" xfId="2738" xr:uid="{00000000-0005-0000-0000-000072010000}"/>
    <cellStyle name="40% - Accent2 3 5" xfId="2410" xr:uid="{00000000-0005-0000-0000-000073010000}"/>
    <cellStyle name="40% - Accent2 3 5 2" xfId="2612" xr:uid="{00000000-0005-0000-0000-000074010000}"/>
    <cellStyle name="40% - Accent2 3 5 3" xfId="2814" xr:uid="{00000000-0005-0000-0000-000075010000}"/>
    <cellStyle name="40% - Accent2 3 6" xfId="2458" xr:uid="{00000000-0005-0000-0000-000076010000}"/>
    <cellStyle name="40% - Accent2 3 7" xfId="2660" xr:uid="{00000000-0005-0000-0000-000077010000}"/>
    <cellStyle name="40% - Accent2 3 8" xfId="2878" xr:uid="{00000000-0005-0000-0000-000078010000}"/>
    <cellStyle name="40% - Accent2 4" xfId="207" xr:uid="{00000000-0005-0000-0000-000079010000}"/>
    <cellStyle name="40% - Accent2 4 2" xfId="2330" xr:uid="{00000000-0005-0000-0000-00007A010000}"/>
    <cellStyle name="40% - Accent2 4 2 2" xfId="2550" xr:uid="{00000000-0005-0000-0000-00007B010000}"/>
    <cellStyle name="40% - Accent2 4 2 3" xfId="2752" xr:uid="{00000000-0005-0000-0000-00007C010000}"/>
    <cellStyle name="40% - Accent2 4 3" xfId="2424" xr:uid="{00000000-0005-0000-0000-00007D010000}"/>
    <cellStyle name="40% - Accent2 4 3 2" xfId="2626" xr:uid="{00000000-0005-0000-0000-00007E010000}"/>
    <cellStyle name="40% - Accent2 4 3 3" xfId="2828" xr:uid="{00000000-0005-0000-0000-00007F010000}"/>
    <cellStyle name="40% - Accent2 4 4" xfId="2472" xr:uid="{00000000-0005-0000-0000-000080010000}"/>
    <cellStyle name="40% - Accent2 4 5" xfId="2674" xr:uid="{00000000-0005-0000-0000-000081010000}"/>
    <cellStyle name="40% - Accent2 4 6" xfId="2880" xr:uid="{00000000-0005-0000-0000-000082010000}"/>
    <cellStyle name="40% - Accent2 5" xfId="2244" xr:uid="{00000000-0005-0000-0000-000083010000}"/>
    <cellStyle name="40% - Accent2 5 2" xfId="2365" xr:uid="{00000000-0005-0000-0000-000084010000}"/>
    <cellStyle name="40% - Accent2 5 2 2" xfId="2584" xr:uid="{00000000-0005-0000-0000-000085010000}"/>
    <cellStyle name="40% - Accent2 5 2 3" xfId="2786" xr:uid="{00000000-0005-0000-0000-000086010000}"/>
    <cellStyle name="40% - Accent2 5 3" xfId="2506" xr:uid="{00000000-0005-0000-0000-000087010000}"/>
    <cellStyle name="40% - Accent2 5 4" xfId="2708" xr:uid="{00000000-0005-0000-0000-000088010000}"/>
    <cellStyle name="40% - Accent2 6" xfId="2258" xr:uid="{00000000-0005-0000-0000-000089010000}"/>
    <cellStyle name="40% - Accent2 6 2" xfId="2396" xr:uid="{00000000-0005-0000-0000-00008A010000}"/>
    <cellStyle name="40% - Accent2 6 2 2" xfId="2598" xr:uid="{00000000-0005-0000-0000-00008B010000}"/>
    <cellStyle name="40% - Accent2 6 2 3" xfId="2800" xr:uid="{00000000-0005-0000-0000-00008C010000}"/>
    <cellStyle name="40% - Accent2 6 3" xfId="2293" xr:uid="{00000000-0005-0000-0000-00008D010000}"/>
    <cellStyle name="40% - Accent2 6 4" xfId="2520" xr:uid="{00000000-0005-0000-0000-00008E010000}"/>
    <cellStyle name="40% - Accent2 6 5" xfId="2722"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6" xr:uid="{00000000-0005-0000-0000-000098010000}"/>
    <cellStyle name="40% - Accent3 3 2 2 2" xfId="2566" xr:uid="{00000000-0005-0000-0000-000099010000}"/>
    <cellStyle name="40% - Accent3 3 2 2 3" xfId="2768" xr:uid="{00000000-0005-0000-0000-00009A010000}"/>
    <cellStyle name="40% - Accent3 3 2 3" xfId="2440" xr:uid="{00000000-0005-0000-0000-00009B010000}"/>
    <cellStyle name="40% - Accent3 3 2 3 2" xfId="2642" xr:uid="{00000000-0005-0000-0000-00009C010000}"/>
    <cellStyle name="40% - Accent3 3 2 3 3" xfId="2844" xr:uid="{00000000-0005-0000-0000-00009D010000}"/>
    <cellStyle name="40% - Accent3 3 2 4" xfId="2488" xr:uid="{00000000-0005-0000-0000-00009E010000}"/>
    <cellStyle name="40% - Accent3 3 2 5" xfId="2690" xr:uid="{00000000-0005-0000-0000-00009F010000}"/>
    <cellStyle name="40% - Accent3 3 2 6" xfId="2882" xr:uid="{00000000-0005-0000-0000-0000A0010000}"/>
    <cellStyle name="40% - Accent3 3 3" xfId="398" xr:uid="{00000000-0005-0000-0000-0000A1010000}"/>
    <cellStyle name="40% - Accent3 3 4" xfId="2318" xr:uid="{00000000-0005-0000-0000-0000A2010000}"/>
    <cellStyle name="40% - Accent3 3 4 2" xfId="2538" xr:uid="{00000000-0005-0000-0000-0000A3010000}"/>
    <cellStyle name="40% - Accent3 3 4 3" xfId="2740" xr:uid="{00000000-0005-0000-0000-0000A4010000}"/>
    <cellStyle name="40% - Accent3 3 5" xfId="2412" xr:uid="{00000000-0005-0000-0000-0000A5010000}"/>
    <cellStyle name="40% - Accent3 3 5 2" xfId="2614" xr:uid="{00000000-0005-0000-0000-0000A6010000}"/>
    <cellStyle name="40% - Accent3 3 5 3" xfId="2816" xr:uid="{00000000-0005-0000-0000-0000A7010000}"/>
    <cellStyle name="40% - Accent3 3 6" xfId="2460" xr:uid="{00000000-0005-0000-0000-0000A8010000}"/>
    <cellStyle name="40% - Accent3 3 7" xfId="2662" xr:uid="{00000000-0005-0000-0000-0000A9010000}"/>
    <cellStyle name="40% - Accent3 3 8" xfId="2881" xr:uid="{00000000-0005-0000-0000-0000AA010000}"/>
    <cellStyle name="40% - Accent3 4" xfId="209" xr:uid="{00000000-0005-0000-0000-0000AB010000}"/>
    <cellStyle name="40% - Accent3 4 2" xfId="2332" xr:uid="{00000000-0005-0000-0000-0000AC010000}"/>
    <cellStyle name="40% - Accent3 4 2 2" xfId="2552" xr:uid="{00000000-0005-0000-0000-0000AD010000}"/>
    <cellStyle name="40% - Accent3 4 2 3" xfId="2754" xr:uid="{00000000-0005-0000-0000-0000AE010000}"/>
    <cellStyle name="40% - Accent3 4 3" xfId="2426" xr:uid="{00000000-0005-0000-0000-0000AF010000}"/>
    <cellStyle name="40% - Accent3 4 3 2" xfId="2628" xr:uid="{00000000-0005-0000-0000-0000B0010000}"/>
    <cellStyle name="40% - Accent3 4 3 3" xfId="2830" xr:uid="{00000000-0005-0000-0000-0000B1010000}"/>
    <cellStyle name="40% - Accent3 4 4" xfId="2474" xr:uid="{00000000-0005-0000-0000-0000B2010000}"/>
    <cellStyle name="40% - Accent3 4 5" xfId="2676" xr:uid="{00000000-0005-0000-0000-0000B3010000}"/>
    <cellStyle name="40% - Accent3 4 6" xfId="2883" xr:uid="{00000000-0005-0000-0000-0000B4010000}"/>
    <cellStyle name="40% - Accent3 5" xfId="2246" xr:uid="{00000000-0005-0000-0000-0000B5010000}"/>
    <cellStyle name="40% - Accent3 5 2" xfId="2367" xr:uid="{00000000-0005-0000-0000-0000B6010000}"/>
    <cellStyle name="40% - Accent3 5 2 2" xfId="2586" xr:uid="{00000000-0005-0000-0000-0000B7010000}"/>
    <cellStyle name="40% - Accent3 5 2 3" xfId="2788" xr:uid="{00000000-0005-0000-0000-0000B8010000}"/>
    <cellStyle name="40% - Accent3 5 3" xfId="2508" xr:uid="{00000000-0005-0000-0000-0000B9010000}"/>
    <cellStyle name="40% - Accent3 5 4" xfId="2710" xr:uid="{00000000-0005-0000-0000-0000BA010000}"/>
    <cellStyle name="40% - Accent3 6" xfId="2260" xr:uid="{00000000-0005-0000-0000-0000BB010000}"/>
    <cellStyle name="40% - Accent3 6 2" xfId="2398" xr:uid="{00000000-0005-0000-0000-0000BC010000}"/>
    <cellStyle name="40% - Accent3 6 2 2" xfId="2600" xr:uid="{00000000-0005-0000-0000-0000BD010000}"/>
    <cellStyle name="40% - Accent3 6 2 3" xfId="2802" xr:uid="{00000000-0005-0000-0000-0000BE010000}"/>
    <cellStyle name="40% - Accent3 6 3" xfId="2297" xr:uid="{00000000-0005-0000-0000-0000BF010000}"/>
    <cellStyle name="40% - Accent3 6 4" xfId="2522" xr:uid="{00000000-0005-0000-0000-0000C0010000}"/>
    <cellStyle name="40% - Accent3 6 5" xfId="2724"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8" xr:uid="{00000000-0005-0000-0000-0000CA010000}"/>
    <cellStyle name="40% - Accent4 3 2 2 2" xfId="2568" xr:uid="{00000000-0005-0000-0000-0000CB010000}"/>
    <cellStyle name="40% - Accent4 3 2 2 3" xfId="2770" xr:uid="{00000000-0005-0000-0000-0000CC010000}"/>
    <cellStyle name="40% - Accent4 3 2 3" xfId="2442" xr:uid="{00000000-0005-0000-0000-0000CD010000}"/>
    <cellStyle name="40% - Accent4 3 2 3 2" xfId="2644" xr:uid="{00000000-0005-0000-0000-0000CE010000}"/>
    <cellStyle name="40% - Accent4 3 2 3 3" xfId="2846" xr:uid="{00000000-0005-0000-0000-0000CF010000}"/>
    <cellStyle name="40% - Accent4 3 2 4" xfId="2490" xr:uid="{00000000-0005-0000-0000-0000D0010000}"/>
    <cellStyle name="40% - Accent4 3 2 5" xfId="2692" xr:uid="{00000000-0005-0000-0000-0000D1010000}"/>
    <cellStyle name="40% - Accent4 3 2 6" xfId="2885" xr:uid="{00000000-0005-0000-0000-0000D2010000}"/>
    <cellStyle name="40% - Accent4 3 3" xfId="402" xr:uid="{00000000-0005-0000-0000-0000D3010000}"/>
    <cellStyle name="40% - Accent4 3 4" xfId="2320" xr:uid="{00000000-0005-0000-0000-0000D4010000}"/>
    <cellStyle name="40% - Accent4 3 4 2" xfId="2540" xr:uid="{00000000-0005-0000-0000-0000D5010000}"/>
    <cellStyle name="40% - Accent4 3 4 3" xfId="2742" xr:uid="{00000000-0005-0000-0000-0000D6010000}"/>
    <cellStyle name="40% - Accent4 3 5" xfId="2414" xr:uid="{00000000-0005-0000-0000-0000D7010000}"/>
    <cellStyle name="40% - Accent4 3 5 2" xfId="2616" xr:uid="{00000000-0005-0000-0000-0000D8010000}"/>
    <cellStyle name="40% - Accent4 3 5 3" xfId="2818" xr:uid="{00000000-0005-0000-0000-0000D9010000}"/>
    <cellStyle name="40% - Accent4 3 6" xfId="2462" xr:uid="{00000000-0005-0000-0000-0000DA010000}"/>
    <cellStyle name="40% - Accent4 3 7" xfId="2664" xr:uid="{00000000-0005-0000-0000-0000DB010000}"/>
    <cellStyle name="40% - Accent4 3 8" xfId="2884" xr:uid="{00000000-0005-0000-0000-0000DC010000}"/>
    <cellStyle name="40% - Accent4 4" xfId="211" xr:uid="{00000000-0005-0000-0000-0000DD010000}"/>
    <cellStyle name="40% - Accent4 4 2" xfId="2334" xr:uid="{00000000-0005-0000-0000-0000DE010000}"/>
    <cellStyle name="40% - Accent4 4 2 2" xfId="2554" xr:uid="{00000000-0005-0000-0000-0000DF010000}"/>
    <cellStyle name="40% - Accent4 4 2 3" xfId="2756" xr:uid="{00000000-0005-0000-0000-0000E0010000}"/>
    <cellStyle name="40% - Accent4 4 3" xfId="2428" xr:uid="{00000000-0005-0000-0000-0000E1010000}"/>
    <cellStyle name="40% - Accent4 4 3 2" xfId="2630" xr:uid="{00000000-0005-0000-0000-0000E2010000}"/>
    <cellStyle name="40% - Accent4 4 3 3" xfId="2832" xr:uid="{00000000-0005-0000-0000-0000E3010000}"/>
    <cellStyle name="40% - Accent4 4 4" xfId="2476" xr:uid="{00000000-0005-0000-0000-0000E4010000}"/>
    <cellStyle name="40% - Accent4 4 5" xfId="2678" xr:uid="{00000000-0005-0000-0000-0000E5010000}"/>
    <cellStyle name="40% - Accent4 4 6" xfId="2886" xr:uid="{00000000-0005-0000-0000-0000E6010000}"/>
    <cellStyle name="40% - Accent4 5" xfId="2248" xr:uid="{00000000-0005-0000-0000-0000E7010000}"/>
    <cellStyle name="40% - Accent4 5 2" xfId="2369" xr:uid="{00000000-0005-0000-0000-0000E8010000}"/>
    <cellStyle name="40% - Accent4 5 2 2" xfId="2588" xr:uid="{00000000-0005-0000-0000-0000E9010000}"/>
    <cellStyle name="40% - Accent4 5 2 3" xfId="2790" xr:uid="{00000000-0005-0000-0000-0000EA010000}"/>
    <cellStyle name="40% - Accent4 5 3" xfId="2510" xr:uid="{00000000-0005-0000-0000-0000EB010000}"/>
    <cellStyle name="40% - Accent4 5 4" xfId="2712" xr:uid="{00000000-0005-0000-0000-0000EC010000}"/>
    <cellStyle name="40% - Accent4 6" xfId="2262" xr:uid="{00000000-0005-0000-0000-0000ED010000}"/>
    <cellStyle name="40% - Accent4 6 2" xfId="2400" xr:uid="{00000000-0005-0000-0000-0000EE010000}"/>
    <cellStyle name="40% - Accent4 6 2 2" xfId="2602" xr:uid="{00000000-0005-0000-0000-0000EF010000}"/>
    <cellStyle name="40% - Accent4 6 2 3" xfId="2804" xr:uid="{00000000-0005-0000-0000-0000F0010000}"/>
    <cellStyle name="40% - Accent4 6 3" xfId="2301" xr:uid="{00000000-0005-0000-0000-0000F1010000}"/>
    <cellStyle name="40% - Accent4 6 4" xfId="2524" xr:uid="{00000000-0005-0000-0000-0000F2010000}"/>
    <cellStyle name="40% - Accent4 6 5" xfId="2726"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0" xr:uid="{00000000-0005-0000-0000-0000FC010000}"/>
    <cellStyle name="40% - Accent5 3 2 2 2" xfId="2570" xr:uid="{00000000-0005-0000-0000-0000FD010000}"/>
    <cellStyle name="40% - Accent5 3 2 2 3" xfId="2772" xr:uid="{00000000-0005-0000-0000-0000FE010000}"/>
    <cellStyle name="40% - Accent5 3 2 3" xfId="2444" xr:uid="{00000000-0005-0000-0000-0000FF010000}"/>
    <cellStyle name="40% - Accent5 3 2 3 2" xfId="2646" xr:uid="{00000000-0005-0000-0000-000000020000}"/>
    <cellStyle name="40% - Accent5 3 2 3 3" xfId="2848" xr:uid="{00000000-0005-0000-0000-000001020000}"/>
    <cellStyle name="40% - Accent5 3 2 4" xfId="2492" xr:uid="{00000000-0005-0000-0000-000002020000}"/>
    <cellStyle name="40% - Accent5 3 2 5" xfId="2694" xr:uid="{00000000-0005-0000-0000-000003020000}"/>
    <cellStyle name="40% - Accent5 3 2 6" xfId="2888" xr:uid="{00000000-0005-0000-0000-000004020000}"/>
    <cellStyle name="40% - Accent5 3 3" xfId="406" xr:uid="{00000000-0005-0000-0000-000005020000}"/>
    <cellStyle name="40% - Accent5 3 4" xfId="2322" xr:uid="{00000000-0005-0000-0000-000006020000}"/>
    <cellStyle name="40% - Accent5 3 4 2" xfId="2542" xr:uid="{00000000-0005-0000-0000-000007020000}"/>
    <cellStyle name="40% - Accent5 3 4 3" xfId="2744" xr:uid="{00000000-0005-0000-0000-000008020000}"/>
    <cellStyle name="40% - Accent5 3 5" xfId="2416" xr:uid="{00000000-0005-0000-0000-000009020000}"/>
    <cellStyle name="40% - Accent5 3 5 2" xfId="2618" xr:uid="{00000000-0005-0000-0000-00000A020000}"/>
    <cellStyle name="40% - Accent5 3 5 3" xfId="2820" xr:uid="{00000000-0005-0000-0000-00000B020000}"/>
    <cellStyle name="40% - Accent5 3 6" xfId="2464" xr:uid="{00000000-0005-0000-0000-00000C020000}"/>
    <cellStyle name="40% - Accent5 3 7" xfId="2666" xr:uid="{00000000-0005-0000-0000-00000D020000}"/>
    <cellStyle name="40% - Accent5 3 8" xfId="2887" xr:uid="{00000000-0005-0000-0000-00000E020000}"/>
    <cellStyle name="40% - Accent5 4" xfId="213" xr:uid="{00000000-0005-0000-0000-00000F020000}"/>
    <cellStyle name="40% - Accent5 4 2" xfId="2336" xr:uid="{00000000-0005-0000-0000-000010020000}"/>
    <cellStyle name="40% - Accent5 4 2 2" xfId="2556" xr:uid="{00000000-0005-0000-0000-000011020000}"/>
    <cellStyle name="40% - Accent5 4 2 3" xfId="2758" xr:uid="{00000000-0005-0000-0000-000012020000}"/>
    <cellStyle name="40% - Accent5 4 3" xfId="2430" xr:uid="{00000000-0005-0000-0000-000013020000}"/>
    <cellStyle name="40% - Accent5 4 3 2" xfId="2632" xr:uid="{00000000-0005-0000-0000-000014020000}"/>
    <cellStyle name="40% - Accent5 4 3 3" xfId="2834" xr:uid="{00000000-0005-0000-0000-000015020000}"/>
    <cellStyle name="40% - Accent5 4 4" xfId="2478" xr:uid="{00000000-0005-0000-0000-000016020000}"/>
    <cellStyle name="40% - Accent5 4 5" xfId="2680" xr:uid="{00000000-0005-0000-0000-000017020000}"/>
    <cellStyle name="40% - Accent5 4 6" xfId="2889" xr:uid="{00000000-0005-0000-0000-000018020000}"/>
    <cellStyle name="40% - Accent5 5" xfId="2250" xr:uid="{00000000-0005-0000-0000-000019020000}"/>
    <cellStyle name="40% - Accent5 5 2" xfId="2371" xr:uid="{00000000-0005-0000-0000-00001A020000}"/>
    <cellStyle name="40% - Accent5 5 2 2" xfId="2590" xr:uid="{00000000-0005-0000-0000-00001B020000}"/>
    <cellStyle name="40% - Accent5 5 2 3" xfId="2792" xr:uid="{00000000-0005-0000-0000-00001C020000}"/>
    <cellStyle name="40% - Accent5 5 3" xfId="2512" xr:uid="{00000000-0005-0000-0000-00001D020000}"/>
    <cellStyle name="40% - Accent5 5 4" xfId="2714" xr:uid="{00000000-0005-0000-0000-00001E020000}"/>
    <cellStyle name="40% - Accent5 6" xfId="2264" xr:uid="{00000000-0005-0000-0000-00001F020000}"/>
    <cellStyle name="40% - Accent5 6 2" xfId="2402" xr:uid="{00000000-0005-0000-0000-000020020000}"/>
    <cellStyle name="40% - Accent5 6 2 2" xfId="2604" xr:uid="{00000000-0005-0000-0000-000021020000}"/>
    <cellStyle name="40% - Accent5 6 2 3" xfId="2806" xr:uid="{00000000-0005-0000-0000-000022020000}"/>
    <cellStyle name="40% - Accent5 6 3" xfId="2305" xr:uid="{00000000-0005-0000-0000-000023020000}"/>
    <cellStyle name="40% - Accent5 6 4" xfId="2526" xr:uid="{00000000-0005-0000-0000-000024020000}"/>
    <cellStyle name="40% - Accent5 6 5" xfId="2728"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2" xr:uid="{00000000-0005-0000-0000-00002E020000}"/>
    <cellStyle name="40% - Accent6 3 2 2 2" xfId="2572" xr:uid="{00000000-0005-0000-0000-00002F020000}"/>
    <cellStyle name="40% - Accent6 3 2 2 3" xfId="2774" xr:uid="{00000000-0005-0000-0000-000030020000}"/>
    <cellStyle name="40% - Accent6 3 2 3" xfId="2446" xr:uid="{00000000-0005-0000-0000-000031020000}"/>
    <cellStyle name="40% - Accent6 3 2 3 2" xfId="2648" xr:uid="{00000000-0005-0000-0000-000032020000}"/>
    <cellStyle name="40% - Accent6 3 2 3 3" xfId="2850" xr:uid="{00000000-0005-0000-0000-000033020000}"/>
    <cellStyle name="40% - Accent6 3 2 4" xfId="2494" xr:uid="{00000000-0005-0000-0000-000034020000}"/>
    <cellStyle name="40% - Accent6 3 2 5" xfId="2696" xr:uid="{00000000-0005-0000-0000-000035020000}"/>
    <cellStyle name="40% - Accent6 3 2 6" xfId="2891" xr:uid="{00000000-0005-0000-0000-000036020000}"/>
    <cellStyle name="40% - Accent6 3 3" xfId="410" xr:uid="{00000000-0005-0000-0000-000037020000}"/>
    <cellStyle name="40% - Accent6 3 4" xfId="2324" xr:uid="{00000000-0005-0000-0000-000038020000}"/>
    <cellStyle name="40% - Accent6 3 4 2" xfId="2544" xr:uid="{00000000-0005-0000-0000-000039020000}"/>
    <cellStyle name="40% - Accent6 3 4 3" xfId="2746" xr:uid="{00000000-0005-0000-0000-00003A020000}"/>
    <cellStyle name="40% - Accent6 3 5" xfId="2418" xr:uid="{00000000-0005-0000-0000-00003B020000}"/>
    <cellStyle name="40% - Accent6 3 5 2" xfId="2620" xr:uid="{00000000-0005-0000-0000-00003C020000}"/>
    <cellStyle name="40% - Accent6 3 5 3" xfId="2822" xr:uid="{00000000-0005-0000-0000-00003D020000}"/>
    <cellStyle name="40% - Accent6 3 6" xfId="2466" xr:uid="{00000000-0005-0000-0000-00003E020000}"/>
    <cellStyle name="40% - Accent6 3 7" xfId="2668" xr:uid="{00000000-0005-0000-0000-00003F020000}"/>
    <cellStyle name="40% - Accent6 3 8" xfId="2890" xr:uid="{00000000-0005-0000-0000-000040020000}"/>
    <cellStyle name="40% - Accent6 4" xfId="215" xr:uid="{00000000-0005-0000-0000-000041020000}"/>
    <cellStyle name="40% - Accent6 4 2" xfId="2338" xr:uid="{00000000-0005-0000-0000-000042020000}"/>
    <cellStyle name="40% - Accent6 4 2 2" xfId="2558" xr:uid="{00000000-0005-0000-0000-000043020000}"/>
    <cellStyle name="40% - Accent6 4 2 3" xfId="2760" xr:uid="{00000000-0005-0000-0000-000044020000}"/>
    <cellStyle name="40% - Accent6 4 3" xfId="2432" xr:uid="{00000000-0005-0000-0000-000045020000}"/>
    <cellStyle name="40% - Accent6 4 3 2" xfId="2634" xr:uid="{00000000-0005-0000-0000-000046020000}"/>
    <cellStyle name="40% - Accent6 4 3 3" xfId="2836" xr:uid="{00000000-0005-0000-0000-000047020000}"/>
    <cellStyle name="40% - Accent6 4 4" xfId="2480" xr:uid="{00000000-0005-0000-0000-000048020000}"/>
    <cellStyle name="40% - Accent6 4 5" xfId="2682" xr:uid="{00000000-0005-0000-0000-000049020000}"/>
    <cellStyle name="40% - Accent6 4 6" xfId="2892" xr:uid="{00000000-0005-0000-0000-00004A020000}"/>
    <cellStyle name="40% - Accent6 5" xfId="2252" xr:uid="{00000000-0005-0000-0000-00004B020000}"/>
    <cellStyle name="40% - Accent6 5 2" xfId="2373" xr:uid="{00000000-0005-0000-0000-00004C020000}"/>
    <cellStyle name="40% - Accent6 5 2 2" xfId="2592" xr:uid="{00000000-0005-0000-0000-00004D020000}"/>
    <cellStyle name="40% - Accent6 5 2 3" xfId="2794" xr:uid="{00000000-0005-0000-0000-00004E020000}"/>
    <cellStyle name="40% - Accent6 5 3" xfId="2514" xr:uid="{00000000-0005-0000-0000-00004F020000}"/>
    <cellStyle name="40% - Accent6 5 4" xfId="2716" xr:uid="{00000000-0005-0000-0000-000050020000}"/>
    <cellStyle name="40% - Accent6 6" xfId="2266" xr:uid="{00000000-0005-0000-0000-000051020000}"/>
    <cellStyle name="40% - Accent6 6 2" xfId="2404" xr:uid="{00000000-0005-0000-0000-000052020000}"/>
    <cellStyle name="40% - Accent6 6 2 2" xfId="2606" xr:uid="{00000000-0005-0000-0000-000053020000}"/>
    <cellStyle name="40% - Accent6 6 2 3" xfId="2808" xr:uid="{00000000-0005-0000-0000-000054020000}"/>
    <cellStyle name="40% - Accent6 6 3" xfId="2309" xr:uid="{00000000-0005-0000-0000-000055020000}"/>
    <cellStyle name="40% - Accent6 6 4" xfId="2528" xr:uid="{00000000-0005-0000-0000-000056020000}"/>
    <cellStyle name="40% - Accent6 6 5" xfId="2730"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0"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4"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8"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2"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6"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0"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7"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1"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5"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299"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3"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7"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7"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1"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3"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3" xr:uid="{00000000-0005-0000-0000-000083030000}"/>
    <cellStyle name="Comma 13" xfId="425" xr:uid="{00000000-0005-0000-0000-000084030000}"/>
    <cellStyle name="Comma 13 2" xfId="2894" xr:uid="{00000000-0005-0000-0000-000085030000}"/>
    <cellStyle name="Comma 14" xfId="322" xr:uid="{00000000-0005-0000-0000-000086030000}"/>
    <cellStyle name="Comma 14 2" xfId="469" xr:uid="{00000000-0005-0000-0000-000087030000}"/>
    <cellStyle name="Comma 14 2 2" xfId="2895" xr:uid="{00000000-0005-0000-0000-000088030000}"/>
    <cellStyle name="Comma 15" xfId="426" xr:uid="{00000000-0005-0000-0000-000089030000}"/>
    <cellStyle name="Comma 15 2" xfId="470" xr:uid="{00000000-0005-0000-0000-00008A030000}"/>
    <cellStyle name="Comma 15 2 2" xfId="2896" xr:uid="{00000000-0005-0000-0000-00008B030000}"/>
    <cellStyle name="Comma 16" xfId="471" xr:uid="{00000000-0005-0000-0000-00008C030000}"/>
    <cellStyle name="Comma 16 2" xfId="2897"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8"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7" xr:uid="{00000000-0005-0000-0000-0000A7030000}"/>
    <cellStyle name="Comma 26 2 2 2" xfId="2577" xr:uid="{00000000-0005-0000-0000-0000A8030000}"/>
    <cellStyle name="Comma 26 2 2 3" xfId="2779" xr:uid="{00000000-0005-0000-0000-0000A9030000}"/>
    <cellStyle name="Comma 26 2 3" xfId="2451" xr:uid="{00000000-0005-0000-0000-0000AA030000}"/>
    <cellStyle name="Comma 26 2 3 2" xfId="2653" xr:uid="{00000000-0005-0000-0000-0000AB030000}"/>
    <cellStyle name="Comma 26 2 3 3" xfId="2855" xr:uid="{00000000-0005-0000-0000-0000AC030000}"/>
    <cellStyle name="Comma 26 2 4" xfId="2499" xr:uid="{00000000-0005-0000-0000-0000AD030000}"/>
    <cellStyle name="Comma 26 2 5" xfId="2701" xr:uid="{00000000-0005-0000-0000-0000AE030000}"/>
    <cellStyle name="Comma 26 2 6" xfId="2900" xr:uid="{00000000-0005-0000-0000-0000AF030000}"/>
    <cellStyle name="Comma 26 3" xfId="2354" xr:uid="{00000000-0005-0000-0000-0000B0030000}"/>
    <cellStyle name="Comma 26 3 2" xfId="2574" xr:uid="{00000000-0005-0000-0000-0000B1030000}"/>
    <cellStyle name="Comma 26 3 3" xfId="2776" xr:uid="{00000000-0005-0000-0000-0000B2030000}"/>
    <cellStyle name="Comma 26 4" xfId="2448" xr:uid="{00000000-0005-0000-0000-0000B3030000}"/>
    <cellStyle name="Comma 26 4 2" xfId="2650" xr:uid="{00000000-0005-0000-0000-0000B4030000}"/>
    <cellStyle name="Comma 26 4 3" xfId="2852" xr:uid="{00000000-0005-0000-0000-0000B5030000}"/>
    <cellStyle name="Comma 26 5" xfId="2496" xr:uid="{00000000-0005-0000-0000-0000B6030000}"/>
    <cellStyle name="Comma 26 6" xfId="2698" xr:uid="{00000000-0005-0000-0000-0000B7030000}"/>
    <cellStyle name="Comma 26 7" xfId="2899"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1" xr:uid="{00000000-0005-0000-0000-0000CA030000}"/>
    <cellStyle name="Comma 36" xfId="2270" xr:uid="{00000000-0005-0000-0000-0000CB030000}"/>
    <cellStyle name="Comma 37" xfId="2374" xr:uid="{00000000-0005-0000-0000-0000CC030000}"/>
    <cellStyle name="Comma 38" xfId="2375" xr:uid="{00000000-0005-0000-0000-0000CD030000}"/>
    <cellStyle name="Comma 39" xfId="2384"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2" xr:uid="{00000000-0005-0000-0000-0000D3030000}"/>
    <cellStyle name="Comma 41" xfId="2387" xr:uid="{00000000-0005-0000-0000-0000D4030000}"/>
    <cellStyle name="Comma 42" xfId="2379" xr:uid="{00000000-0005-0000-0000-0000D5030000}"/>
    <cellStyle name="Comma 43" xfId="2383" xr:uid="{00000000-0005-0000-0000-0000D6030000}"/>
    <cellStyle name="Comma 44" xfId="2389" xr:uid="{00000000-0005-0000-0000-0000D7030000}"/>
    <cellStyle name="Comma 45" xfId="2380" xr:uid="{00000000-0005-0000-0000-0000D8030000}"/>
    <cellStyle name="Comma 46" xfId="2390" xr:uid="{00000000-0005-0000-0000-0000D9030000}"/>
    <cellStyle name="Comma 47" xfId="2385" xr:uid="{00000000-0005-0000-0000-0000DA030000}"/>
    <cellStyle name="Comma 48" xfId="2386" xr:uid="{00000000-0005-0000-0000-0000DB030000}"/>
    <cellStyle name="Comma 49" xfId="2376" xr:uid="{00000000-0005-0000-0000-0000DC030000}"/>
    <cellStyle name="Comma 5" xfId="113" xr:uid="{00000000-0005-0000-0000-0000DD030000}"/>
    <cellStyle name="Comma 50" xfId="2388" xr:uid="{00000000-0005-0000-0000-0000DE030000}"/>
    <cellStyle name="Comma 51" xfId="2381" xr:uid="{00000000-0005-0000-0000-0000DF030000}"/>
    <cellStyle name="Comma 52" xfId="2377" xr:uid="{00000000-0005-0000-0000-0000E0030000}"/>
    <cellStyle name="Comma 53" xfId="2378" xr:uid="{00000000-0005-0000-0000-0000E1030000}"/>
    <cellStyle name="Comma 54" xfId="2268" xr:uid="{00000000-0005-0000-0000-0000E2030000}"/>
    <cellStyle name="Comma 54 2" xfId="2530" xr:uid="{00000000-0005-0000-0000-0000E3030000}"/>
    <cellStyle name="Comma 54 3" xfId="2732" xr:uid="{00000000-0005-0000-0000-0000E4030000}"/>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2"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59"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5"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6"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2"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3"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4"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5"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79"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2"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8"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39" xr:uid="{00000000-0005-0000-0000-000005050000}"/>
    <cellStyle name="Normal 12 2 2 2" xfId="2559" xr:uid="{00000000-0005-0000-0000-000006050000}"/>
    <cellStyle name="Normal 12 2 2 3" xfId="2761" xr:uid="{00000000-0005-0000-0000-000007050000}"/>
    <cellStyle name="Normal 12 2 3" xfId="2433" xr:uid="{00000000-0005-0000-0000-000008050000}"/>
    <cellStyle name="Normal 12 2 3 2" xfId="2635" xr:uid="{00000000-0005-0000-0000-000009050000}"/>
    <cellStyle name="Normal 12 2 3 3" xfId="2837" xr:uid="{00000000-0005-0000-0000-00000A050000}"/>
    <cellStyle name="Normal 12 2 4" xfId="2481" xr:uid="{00000000-0005-0000-0000-00000B050000}"/>
    <cellStyle name="Normal 12 2 5" xfId="2683" xr:uid="{00000000-0005-0000-0000-00000C050000}"/>
    <cellStyle name="Normal 12 2 6" xfId="2904" xr:uid="{00000000-0005-0000-0000-00000D050000}"/>
    <cellStyle name="Normal 12 3" xfId="279" xr:uid="{00000000-0005-0000-0000-00000E050000}"/>
    <cellStyle name="Normal 12 4" xfId="2311" xr:uid="{00000000-0005-0000-0000-00000F050000}"/>
    <cellStyle name="Normal 12 4 2" xfId="2531" xr:uid="{00000000-0005-0000-0000-000010050000}"/>
    <cellStyle name="Normal 12 4 3" xfId="2733" xr:uid="{00000000-0005-0000-0000-000011050000}"/>
    <cellStyle name="Normal 12 5" xfId="2405" xr:uid="{00000000-0005-0000-0000-000012050000}"/>
    <cellStyle name="Normal 12 5 2" xfId="2607" xr:uid="{00000000-0005-0000-0000-000013050000}"/>
    <cellStyle name="Normal 12 5 3" xfId="2809" xr:uid="{00000000-0005-0000-0000-000014050000}"/>
    <cellStyle name="Normal 12 6" xfId="2453" xr:uid="{00000000-0005-0000-0000-000015050000}"/>
    <cellStyle name="Normal 12 7" xfId="2655" xr:uid="{00000000-0005-0000-0000-000016050000}"/>
    <cellStyle name="Normal 12 8" xfId="2903"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5" xr:uid="{00000000-0005-0000-0000-00001B050000}"/>
    <cellStyle name="Normal 13 4 2" xfId="2545" xr:uid="{00000000-0005-0000-0000-00001C050000}"/>
    <cellStyle name="Normal 13 4 3" xfId="2747" xr:uid="{00000000-0005-0000-0000-00001D050000}"/>
    <cellStyle name="Normal 13 5" xfId="2419" xr:uid="{00000000-0005-0000-0000-00001E050000}"/>
    <cellStyle name="Normal 13 5 2" xfId="2621" xr:uid="{00000000-0005-0000-0000-00001F050000}"/>
    <cellStyle name="Normal 13 5 3" xfId="2823" xr:uid="{00000000-0005-0000-0000-000020050000}"/>
    <cellStyle name="Normal 13 6" xfId="2467" xr:uid="{00000000-0005-0000-0000-000021050000}"/>
    <cellStyle name="Normal 13 7" xfId="2669" xr:uid="{00000000-0005-0000-0000-000022050000}"/>
    <cellStyle name="Normal 13 8" xfId="2905"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6" xr:uid="{00000000-0005-0000-0000-00002C050000}"/>
    <cellStyle name="Normal 17 2 2 2" xfId="2576" xr:uid="{00000000-0005-0000-0000-00002D050000}"/>
    <cellStyle name="Normal 17 2 2 3" xfId="2778" xr:uid="{00000000-0005-0000-0000-00002E050000}"/>
    <cellStyle name="Normal 17 2 3" xfId="2450" xr:uid="{00000000-0005-0000-0000-00002F050000}"/>
    <cellStyle name="Normal 17 2 3 2" xfId="2652" xr:uid="{00000000-0005-0000-0000-000030050000}"/>
    <cellStyle name="Normal 17 2 3 3" xfId="2854" xr:uid="{00000000-0005-0000-0000-000031050000}"/>
    <cellStyle name="Normal 17 2 4" xfId="2498" xr:uid="{00000000-0005-0000-0000-000032050000}"/>
    <cellStyle name="Normal 17 2 5" xfId="2700" xr:uid="{00000000-0005-0000-0000-000033050000}"/>
    <cellStyle name="Normal 17 2 6" xfId="2907" xr:uid="{00000000-0005-0000-0000-000034050000}"/>
    <cellStyle name="Normal 17 3" xfId="2353" xr:uid="{00000000-0005-0000-0000-000035050000}"/>
    <cellStyle name="Normal 17 3 2" xfId="2573" xr:uid="{00000000-0005-0000-0000-000036050000}"/>
    <cellStyle name="Normal 17 3 3" xfId="2775" xr:uid="{00000000-0005-0000-0000-000037050000}"/>
    <cellStyle name="Normal 17 4" xfId="2447" xr:uid="{00000000-0005-0000-0000-000038050000}"/>
    <cellStyle name="Normal 17 4 2" xfId="2649" xr:uid="{00000000-0005-0000-0000-000039050000}"/>
    <cellStyle name="Normal 17 4 3" xfId="2851" xr:uid="{00000000-0005-0000-0000-00003A050000}"/>
    <cellStyle name="Normal 17 5" xfId="2495" xr:uid="{00000000-0005-0000-0000-00003B050000}"/>
    <cellStyle name="Normal 17 6" xfId="2697" xr:uid="{00000000-0005-0000-0000-00003C050000}"/>
    <cellStyle name="Normal 17 7" xfId="2906"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39" xr:uid="{00000000-0005-0000-0000-00005A050000}"/>
    <cellStyle name="Normal 20 2" xfId="2360" xr:uid="{00000000-0005-0000-0000-00005B050000}"/>
    <cellStyle name="Normal 20 2 2" xfId="2579" xr:uid="{00000000-0005-0000-0000-00005C050000}"/>
    <cellStyle name="Normal 20 2 3" xfId="2781" xr:uid="{00000000-0005-0000-0000-00005D050000}"/>
    <cellStyle name="Normal 20 3" xfId="2501" xr:uid="{00000000-0005-0000-0000-00005E050000}"/>
    <cellStyle name="Normal 20 4" xfId="2703" xr:uid="{00000000-0005-0000-0000-00005F050000}"/>
    <cellStyle name="Normal 21" xfId="2253" xr:uid="{00000000-0005-0000-0000-000060050000}"/>
    <cellStyle name="Normal 21 2" xfId="2391" xr:uid="{00000000-0005-0000-0000-000061050000}"/>
    <cellStyle name="Normal 21 2 2" xfId="2593" xr:uid="{00000000-0005-0000-0000-000062050000}"/>
    <cellStyle name="Normal 21 2 3" xfId="2795" xr:uid="{00000000-0005-0000-0000-000063050000}"/>
    <cellStyle name="Normal 21 3" xfId="2269" xr:uid="{00000000-0005-0000-0000-000064050000}"/>
    <cellStyle name="Normal 21 4" xfId="2515" xr:uid="{00000000-0005-0000-0000-000065050000}"/>
    <cellStyle name="Normal 21 5" xfId="2717" xr:uid="{00000000-0005-0000-0000-000066050000}"/>
    <cellStyle name="Normal 22" xfId="2267" xr:uid="{00000000-0005-0000-0000-000067050000}"/>
    <cellStyle name="Normal 22 2" xfId="2529" xr:uid="{00000000-0005-0000-0000-000068050000}"/>
    <cellStyle name="Normal 22 3" xfId="2731" xr:uid="{00000000-0005-0000-0000-000069050000}"/>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8"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09"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0" xr:uid="{00000000-0005-0000-0000-0000D7090000}"/>
    <cellStyle name="Note 6 2 3 2" xfId="2560" xr:uid="{00000000-0005-0000-0000-0000D8090000}"/>
    <cellStyle name="Note 6 2 3 3" xfId="2762" xr:uid="{00000000-0005-0000-0000-0000D9090000}"/>
    <cellStyle name="Note 6 2 4" xfId="2434" xr:uid="{00000000-0005-0000-0000-0000DA090000}"/>
    <cellStyle name="Note 6 2 4 2" xfId="2636" xr:uid="{00000000-0005-0000-0000-0000DB090000}"/>
    <cellStyle name="Note 6 2 4 3" xfId="2838" xr:uid="{00000000-0005-0000-0000-0000DC090000}"/>
    <cellStyle name="Note 6 2 5" xfId="2482" xr:uid="{00000000-0005-0000-0000-0000DD090000}"/>
    <cellStyle name="Note 6 2 6" xfId="2684" xr:uid="{00000000-0005-0000-0000-0000DE090000}"/>
    <cellStyle name="Note 6 2 7" xfId="2911" xr:uid="{00000000-0005-0000-0000-0000DF090000}"/>
    <cellStyle name="Note 6 3" xfId="2236" xr:uid="{00000000-0005-0000-0000-0000E0090000}"/>
    <cellStyle name="Note 6 4" xfId="1116" xr:uid="{00000000-0005-0000-0000-0000E1090000}"/>
    <cellStyle name="Note 6 5" xfId="2312" xr:uid="{00000000-0005-0000-0000-0000E2090000}"/>
    <cellStyle name="Note 6 5 2" xfId="2532" xr:uid="{00000000-0005-0000-0000-0000E3090000}"/>
    <cellStyle name="Note 6 5 3" xfId="2734" xr:uid="{00000000-0005-0000-0000-0000E4090000}"/>
    <cellStyle name="Note 6 6" xfId="2406" xr:uid="{00000000-0005-0000-0000-0000E5090000}"/>
    <cellStyle name="Note 6 6 2" xfId="2608" xr:uid="{00000000-0005-0000-0000-0000E6090000}"/>
    <cellStyle name="Note 6 6 3" xfId="2810" xr:uid="{00000000-0005-0000-0000-0000E7090000}"/>
    <cellStyle name="Note 6 7" xfId="2454" xr:uid="{00000000-0005-0000-0000-0000E8090000}"/>
    <cellStyle name="Note 6 8" xfId="2656" xr:uid="{00000000-0005-0000-0000-0000E9090000}"/>
    <cellStyle name="Note 6 9" xfId="2910" xr:uid="{00000000-0005-0000-0000-0000EA090000}"/>
    <cellStyle name="Note 7" xfId="203" xr:uid="{00000000-0005-0000-0000-0000EB090000}"/>
    <cellStyle name="Note 7 2" xfId="1156" xr:uid="{00000000-0005-0000-0000-0000EC090000}"/>
    <cellStyle name="Note 7 3" xfId="2326" xr:uid="{00000000-0005-0000-0000-0000ED090000}"/>
    <cellStyle name="Note 7 3 2" xfId="2546" xr:uid="{00000000-0005-0000-0000-0000EE090000}"/>
    <cellStyle name="Note 7 3 3" xfId="2748" xr:uid="{00000000-0005-0000-0000-0000EF090000}"/>
    <cellStyle name="Note 7 4" xfId="2420" xr:uid="{00000000-0005-0000-0000-0000F0090000}"/>
    <cellStyle name="Note 7 4 2" xfId="2622" xr:uid="{00000000-0005-0000-0000-0000F1090000}"/>
    <cellStyle name="Note 7 4 3" xfId="2824" xr:uid="{00000000-0005-0000-0000-0000F2090000}"/>
    <cellStyle name="Note 7 5" xfId="2468" xr:uid="{00000000-0005-0000-0000-0000F3090000}"/>
    <cellStyle name="Note 7 6" xfId="2670" xr:uid="{00000000-0005-0000-0000-0000F4090000}"/>
    <cellStyle name="Note 7 7" xfId="2912" xr:uid="{00000000-0005-0000-0000-0000F5090000}"/>
    <cellStyle name="Note 8" xfId="2240" xr:uid="{00000000-0005-0000-0000-0000F6090000}"/>
    <cellStyle name="Note 8 2" xfId="2361" xr:uid="{00000000-0005-0000-0000-0000F7090000}"/>
    <cellStyle name="Note 8 2 2" xfId="2580" xr:uid="{00000000-0005-0000-0000-0000F8090000}"/>
    <cellStyle name="Note 8 2 3" xfId="2782" xr:uid="{00000000-0005-0000-0000-0000F9090000}"/>
    <cellStyle name="Note 8 3" xfId="2502" xr:uid="{00000000-0005-0000-0000-0000FA090000}"/>
    <cellStyle name="Note 8 4" xfId="2704" xr:uid="{00000000-0005-0000-0000-0000FB090000}"/>
    <cellStyle name="Note 9" xfId="2254" xr:uid="{00000000-0005-0000-0000-0000FC090000}"/>
    <cellStyle name="Note 9 2" xfId="2392" xr:uid="{00000000-0005-0000-0000-0000FD090000}"/>
    <cellStyle name="Note 9 2 2" xfId="2594" xr:uid="{00000000-0005-0000-0000-0000FE090000}"/>
    <cellStyle name="Note 9 2 3" xfId="2796" xr:uid="{00000000-0005-0000-0000-0000FF090000}"/>
    <cellStyle name="Note 9 3" xfId="2516" xr:uid="{00000000-0005-0000-0000-0000000A0000}"/>
    <cellStyle name="Note 9 4" xfId="2718"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0" xr:uid="{00000000-0005-0000-0000-0000960A0000}"/>
    <cellStyle name="Percent" xfId="7" builtinId="5"/>
    <cellStyle name="Percent 10" xfId="2271"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3"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8" xr:uid="{00000000-0005-0000-0000-0000AF0A0000}"/>
    <cellStyle name="Percent 9 2 2 2" xfId="2578" xr:uid="{00000000-0005-0000-0000-0000B00A0000}"/>
    <cellStyle name="Percent 9 2 2 3" xfId="2780" xr:uid="{00000000-0005-0000-0000-0000B10A0000}"/>
    <cellStyle name="Percent 9 2 3" xfId="2452" xr:uid="{00000000-0005-0000-0000-0000B20A0000}"/>
    <cellStyle name="Percent 9 2 3 2" xfId="2654" xr:uid="{00000000-0005-0000-0000-0000B30A0000}"/>
    <cellStyle name="Percent 9 2 3 3" xfId="2856" xr:uid="{00000000-0005-0000-0000-0000B40A0000}"/>
    <cellStyle name="Percent 9 2 4" xfId="2500" xr:uid="{00000000-0005-0000-0000-0000B50A0000}"/>
    <cellStyle name="Percent 9 2 5" xfId="2702" xr:uid="{00000000-0005-0000-0000-0000B60A0000}"/>
    <cellStyle name="Percent 9 2 6" xfId="2915" xr:uid="{00000000-0005-0000-0000-0000B70A0000}"/>
    <cellStyle name="Percent 9 3" xfId="2355" xr:uid="{00000000-0005-0000-0000-0000B80A0000}"/>
    <cellStyle name="Percent 9 3 2" xfId="2575" xr:uid="{00000000-0005-0000-0000-0000B90A0000}"/>
    <cellStyle name="Percent 9 3 3" xfId="2777" xr:uid="{00000000-0005-0000-0000-0000BA0A0000}"/>
    <cellStyle name="Percent 9 4" xfId="2449" xr:uid="{00000000-0005-0000-0000-0000BB0A0000}"/>
    <cellStyle name="Percent 9 4 2" xfId="2651" xr:uid="{00000000-0005-0000-0000-0000BC0A0000}"/>
    <cellStyle name="Percent 9 4 3" xfId="2853" xr:uid="{00000000-0005-0000-0000-0000BD0A0000}"/>
    <cellStyle name="Percent 9 5" xfId="2497" xr:uid="{00000000-0005-0000-0000-0000BE0A0000}"/>
    <cellStyle name="Percent 9 6" xfId="2699" xr:uid="{00000000-0005-0000-0000-0000BF0A0000}"/>
    <cellStyle name="Percent 9 7" xfId="2914"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6"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4" xr:uid="{00000000-0005-0000-0000-0000640B0000}"/>
  </cellStyles>
  <dxfs count="126">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lor rgb="FF9C0006"/>
      </font>
      <fill>
        <patternFill>
          <bgColor rgb="FFFFC7CE"/>
        </patternFill>
      </fill>
    </dxf>
    <dxf>
      <font>
        <color rgb="FF9C0006"/>
      </font>
      <fill>
        <patternFill>
          <bgColor rgb="FFFFC7CE"/>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828676</xdr:colOff>
      <xdr:row>3</xdr:row>
      <xdr:rowOff>104776</xdr:rowOff>
    </xdr:from>
    <xdr:to>
      <xdr:col>6</xdr:col>
      <xdr:colOff>733425</xdr:colOff>
      <xdr:row>11</xdr:row>
      <xdr:rowOff>58322</xdr:rowOff>
    </xdr:to>
    <xdr:pic>
      <xdr:nvPicPr>
        <xdr:cNvPr id="2" name="Picture 1">
          <a:extLst>
            <a:ext uri="{FF2B5EF4-FFF2-40B4-BE49-F238E27FC236}">
              <a16:creationId xmlns:a16="http://schemas.microsoft.com/office/drawing/2014/main" id="{77E9D747-78F7-4C73-A223-13B5735727F1}"/>
            </a:ext>
          </a:extLst>
        </xdr:cNvPr>
        <xdr:cNvPicPr>
          <a:picLocks noChangeAspect="1"/>
        </xdr:cNvPicPr>
      </xdr:nvPicPr>
      <xdr:blipFill>
        <a:blip xmlns:r="http://schemas.openxmlformats.org/officeDocument/2006/relationships" r:embed="rId1"/>
        <a:stretch>
          <a:fillRect/>
        </a:stretch>
      </xdr:blipFill>
      <xdr:spPr>
        <a:xfrm>
          <a:off x="1609726" y="590551"/>
          <a:ext cx="3600449" cy="12489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59531</xdr:colOff>
      <xdr:row>0</xdr:row>
      <xdr:rowOff>95250</xdr:rowOff>
    </xdr:from>
    <xdr:to>
      <xdr:col>1</xdr:col>
      <xdr:colOff>1862651</xdr:colOff>
      <xdr:row>4</xdr:row>
      <xdr:rowOff>115929</xdr:rowOff>
    </xdr:to>
    <xdr:pic>
      <xdr:nvPicPr>
        <xdr:cNvPr id="4" name="Picture 3">
          <a:extLst>
            <a:ext uri="{FF2B5EF4-FFF2-40B4-BE49-F238E27FC236}">
              <a16:creationId xmlns:a16="http://schemas.microsoft.com/office/drawing/2014/main" id="{E7E5AA35-F8C7-40D5-802A-A66335E27D8B}"/>
            </a:ext>
          </a:extLst>
        </xdr:cNvPr>
        <xdr:cNvPicPr>
          <a:picLocks noChangeAspect="1"/>
        </xdr:cNvPicPr>
      </xdr:nvPicPr>
      <xdr:blipFill>
        <a:blip xmlns:r="http://schemas.openxmlformats.org/officeDocument/2006/relationships" r:embed="rId1"/>
        <a:stretch>
          <a:fillRect/>
        </a:stretch>
      </xdr:blipFill>
      <xdr:spPr>
        <a:xfrm>
          <a:off x="59531" y="95250"/>
          <a:ext cx="1981714" cy="6874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57149</xdr:colOff>
      <xdr:row>0</xdr:row>
      <xdr:rowOff>38099</xdr:rowOff>
    </xdr:from>
    <xdr:to>
      <xdr:col>1</xdr:col>
      <xdr:colOff>1857888</xdr:colOff>
      <xdr:row>5</xdr:row>
      <xdr:rowOff>1628</xdr:rowOff>
    </xdr:to>
    <xdr:pic>
      <xdr:nvPicPr>
        <xdr:cNvPr id="4" name="Picture 3">
          <a:extLst>
            <a:ext uri="{FF2B5EF4-FFF2-40B4-BE49-F238E27FC236}">
              <a16:creationId xmlns:a16="http://schemas.microsoft.com/office/drawing/2014/main" id="{3FC6FE42-EDF9-426E-BF3E-0B5BED3763EC}"/>
            </a:ext>
          </a:extLst>
        </xdr:cNvPr>
        <xdr:cNvPicPr>
          <a:picLocks noChangeAspect="1"/>
        </xdr:cNvPicPr>
      </xdr:nvPicPr>
      <xdr:blipFill>
        <a:blip xmlns:r="http://schemas.openxmlformats.org/officeDocument/2006/relationships" r:embed="rId1"/>
        <a:stretch>
          <a:fillRect/>
        </a:stretch>
      </xdr:blipFill>
      <xdr:spPr>
        <a:xfrm>
          <a:off x="57149" y="38099"/>
          <a:ext cx="1981714" cy="6874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83342</xdr:colOff>
      <xdr:row>0</xdr:row>
      <xdr:rowOff>130968</xdr:rowOff>
    </xdr:from>
    <xdr:to>
      <xdr:col>1</xdr:col>
      <xdr:colOff>1886462</xdr:colOff>
      <xdr:row>4</xdr:row>
      <xdr:rowOff>151647</xdr:rowOff>
    </xdr:to>
    <xdr:pic>
      <xdr:nvPicPr>
        <xdr:cNvPr id="3" name="Picture 2">
          <a:extLst>
            <a:ext uri="{FF2B5EF4-FFF2-40B4-BE49-F238E27FC236}">
              <a16:creationId xmlns:a16="http://schemas.microsoft.com/office/drawing/2014/main" id="{981B5581-BF93-4E50-AC67-F91EB16199BE}"/>
            </a:ext>
          </a:extLst>
        </xdr:cNvPr>
        <xdr:cNvPicPr>
          <a:picLocks noChangeAspect="1"/>
        </xdr:cNvPicPr>
      </xdr:nvPicPr>
      <xdr:blipFill>
        <a:blip xmlns:r="http://schemas.openxmlformats.org/officeDocument/2006/relationships" r:embed="rId1"/>
        <a:stretch>
          <a:fillRect/>
        </a:stretch>
      </xdr:blipFill>
      <xdr:spPr>
        <a:xfrm>
          <a:off x="83342" y="130968"/>
          <a:ext cx="1981714" cy="6874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85724</xdr:colOff>
      <xdr:row>0</xdr:row>
      <xdr:rowOff>66674</xdr:rowOff>
    </xdr:from>
    <xdr:to>
      <xdr:col>1</xdr:col>
      <xdr:colOff>1886463</xdr:colOff>
      <xdr:row>4</xdr:row>
      <xdr:rowOff>68303</xdr:rowOff>
    </xdr:to>
    <xdr:pic>
      <xdr:nvPicPr>
        <xdr:cNvPr id="3" name="Picture 2">
          <a:extLst>
            <a:ext uri="{FF2B5EF4-FFF2-40B4-BE49-F238E27FC236}">
              <a16:creationId xmlns:a16="http://schemas.microsoft.com/office/drawing/2014/main" id="{A8315E6B-055F-4D5E-9903-50719FF432D0}"/>
            </a:ext>
          </a:extLst>
        </xdr:cNvPr>
        <xdr:cNvPicPr>
          <a:picLocks noChangeAspect="1"/>
        </xdr:cNvPicPr>
      </xdr:nvPicPr>
      <xdr:blipFill>
        <a:blip xmlns:r="http://schemas.openxmlformats.org/officeDocument/2006/relationships" r:embed="rId1"/>
        <a:stretch>
          <a:fillRect/>
        </a:stretch>
      </xdr:blipFill>
      <xdr:spPr>
        <a:xfrm>
          <a:off x="85724" y="66674"/>
          <a:ext cx="1981714" cy="6874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1</xdr:col>
      <xdr:colOff>2514600</xdr:colOff>
      <xdr:row>4</xdr:row>
      <xdr:rowOff>7408</xdr:rowOff>
    </xdr:to>
    <xdr:pic>
      <xdr:nvPicPr>
        <xdr:cNvPr id="2" name="Picture 47" descr="CCRD_FIN_BW300">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114300"/>
          <a:ext cx="2552700" cy="493183"/>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95249</xdr:colOff>
      <xdr:row>0</xdr:row>
      <xdr:rowOff>23812</xdr:rowOff>
    </xdr:from>
    <xdr:to>
      <xdr:col>1</xdr:col>
      <xdr:colOff>1898369</xdr:colOff>
      <xdr:row>4</xdr:row>
      <xdr:rowOff>92116</xdr:rowOff>
    </xdr:to>
    <xdr:pic>
      <xdr:nvPicPr>
        <xdr:cNvPr id="3" name="Picture 2">
          <a:extLst>
            <a:ext uri="{FF2B5EF4-FFF2-40B4-BE49-F238E27FC236}">
              <a16:creationId xmlns:a16="http://schemas.microsoft.com/office/drawing/2014/main" id="{37E3464B-A593-4682-8624-83B35EA48A7D}"/>
            </a:ext>
          </a:extLst>
        </xdr:cNvPr>
        <xdr:cNvPicPr>
          <a:picLocks noChangeAspect="1"/>
        </xdr:cNvPicPr>
      </xdr:nvPicPr>
      <xdr:blipFill>
        <a:blip xmlns:r="http://schemas.openxmlformats.org/officeDocument/2006/relationships" r:embed="rId1"/>
        <a:stretch>
          <a:fillRect/>
        </a:stretch>
      </xdr:blipFill>
      <xdr:spPr>
        <a:xfrm>
          <a:off x="95249" y="23812"/>
          <a:ext cx="1981714" cy="6874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83343</xdr:colOff>
      <xdr:row>1</xdr:row>
      <xdr:rowOff>11905</xdr:rowOff>
    </xdr:from>
    <xdr:to>
      <xdr:col>1</xdr:col>
      <xdr:colOff>1886463</xdr:colOff>
      <xdr:row>4</xdr:row>
      <xdr:rowOff>199272</xdr:rowOff>
    </xdr:to>
    <xdr:pic>
      <xdr:nvPicPr>
        <xdr:cNvPr id="4" name="Picture 3">
          <a:extLst>
            <a:ext uri="{FF2B5EF4-FFF2-40B4-BE49-F238E27FC236}">
              <a16:creationId xmlns:a16="http://schemas.microsoft.com/office/drawing/2014/main" id="{DFB7CC44-4AD7-4885-AEE7-2CCDD95837BA}"/>
            </a:ext>
          </a:extLst>
        </xdr:cNvPr>
        <xdr:cNvPicPr>
          <a:picLocks noChangeAspect="1"/>
        </xdr:cNvPicPr>
      </xdr:nvPicPr>
      <xdr:blipFill>
        <a:blip xmlns:r="http://schemas.openxmlformats.org/officeDocument/2006/relationships" r:embed="rId1"/>
        <a:stretch>
          <a:fillRect/>
        </a:stretch>
      </xdr:blipFill>
      <xdr:spPr>
        <a:xfrm>
          <a:off x="83343" y="83343"/>
          <a:ext cx="1981714" cy="6874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0</xdr:row>
      <xdr:rowOff>71437</xdr:rowOff>
    </xdr:from>
    <xdr:to>
      <xdr:col>1</xdr:col>
      <xdr:colOff>1850745</xdr:colOff>
      <xdr:row>4</xdr:row>
      <xdr:rowOff>92116</xdr:rowOff>
    </xdr:to>
    <xdr:pic>
      <xdr:nvPicPr>
        <xdr:cNvPr id="4" name="Picture 3">
          <a:extLst>
            <a:ext uri="{FF2B5EF4-FFF2-40B4-BE49-F238E27FC236}">
              <a16:creationId xmlns:a16="http://schemas.microsoft.com/office/drawing/2014/main" id="{B0CDCC99-8624-459D-A9C4-951159C8BFD5}"/>
            </a:ext>
          </a:extLst>
        </xdr:cNvPr>
        <xdr:cNvPicPr>
          <a:picLocks noChangeAspect="1"/>
        </xdr:cNvPicPr>
      </xdr:nvPicPr>
      <xdr:blipFill>
        <a:blip xmlns:r="http://schemas.openxmlformats.org/officeDocument/2006/relationships" r:embed="rId1"/>
        <a:stretch>
          <a:fillRect/>
        </a:stretch>
      </xdr:blipFill>
      <xdr:spPr>
        <a:xfrm>
          <a:off x="47625" y="71437"/>
          <a:ext cx="1981714" cy="6874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52916</xdr:colOff>
      <xdr:row>0</xdr:row>
      <xdr:rowOff>63499</xdr:rowOff>
    </xdr:from>
    <xdr:to>
      <xdr:col>1</xdr:col>
      <xdr:colOff>1812380</xdr:colOff>
      <xdr:row>4</xdr:row>
      <xdr:rowOff>147678</xdr:rowOff>
    </xdr:to>
    <xdr:pic>
      <xdr:nvPicPr>
        <xdr:cNvPr id="4" name="Picture 3">
          <a:extLst>
            <a:ext uri="{FF2B5EF4-FFF2-40B4-BE49-F238E27FC236}">
              <a16:creationId xmlns:a16="http://schemas.microsoft.com/office/drawing/2014/main" id="{4A58A1CB-BF25-4465-A6D6-27D7240A4D8A}"/>
            </a:ext>
          </a:extLst>
        </xdr:cNvPr>
        <xdr:cNvPicPr>
          <a:picLocks noChangeAspect="1"/>
        </xdr:cNvPicPr>
      </xdr:nvPicPr>
      <xdr:blipFill>
        <a:blip xmlns:r="http://schemas.openxmlformats.org/officeDocument/2006/relationships" r:embed="rId1"/>
        <a:stretch>
          <a:fillRect/>
        </a:stretch>
      </xdr:blipFill>
      <xdr:spPr>
        <a:xfrm>
          <a:off x="52916" y="63499"/>
          <a:ext cx="1981714" cy="6874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1</xdr:col>
      <xdr:colOff>2517775</xdr:colOff>
      <xdr:row>3</xdr:row>
      <xdr:rowOff>123825</xdr:rowOff>
    </xdr:to>
    <xdr:pic>
      <xdr:nvPicPr>
        <xdr:cNvPr id="29697" name="Picture 48" descr="CCRD_FIN_BW300">
          <a:extLst>
            <a:ext uri="{FF2B5EF4-FFF2-40B4-BE49-F238E27FC236}">
              <a16:creationId xmlns:a16="http://schemas.microsoft.com/office/drawing/2014/main" id="{00000000-0008-0000-1100-0000017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114300"/>
          <a:ext cx="2552700"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71437</xdr:rowOff>
    </xdr:from>
    <xdr:to>
      <xdr:col>1</xdr:col>
      <xdr:colOff>1981714</xdr:colOff>
      <xdr:row>3</xdr:row>
      <xdr:rowOff>187366</xdr:rowOff>
    </xdr:to>
    <xdr:pic>
      <xdr:nvPicPr>
        <xdr:cNvPr id="4" name="Picture 3">
          <a:extLst>
            <a:ext uri="{FF2B5EF4-FFF2-40B4-BE49-F238E27FC236}">
              <a16:creationId xmlns:a16="http://schemas.microsoft.com/office/drawing/2014/main" id="{F658D07B-F50C-42B4-AC56-5C47D408A6C8}"/>
            </a:ext>
          </a:extLst>
        </xdr:cNvPr>
        <xdr:cNvPicPr>
          <a:picLocks noChangeAspect="1"/>
        </xdr:cNvPicPr>
      </xdr:nvPicPr>
      <xdr:blipFill>
        <a:blip xmlns:r="http://schemas.openxmlformats.org/officeDocument/2006/relationships" r:embed="rId1"/>
        <a:stretch>
          <a:fillRect/>
        </a:stretch>
      </xdr:blipFill>
      <xdr:spPr>
        <a:xfrm>
          <a:off x="488156" y="71437"/>
          <a:ext cx="1981714" cy="6874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142875</xdr:colOff>
      <xdr:row>0</xdr:row>
      <xdr:rowOff>152400</xdr:rowOff>
    </xdr:from>
    <xdr:to>
      <xdr:col>1</xdr:col>
      <xdr:colOff>2514600</xdr:colOff>
      <xdr:row>4</xdr:row>
      <xdr:rowOff>0</xdr:rowOff>
    </xdr:to>
    <xdr:pic>
      <xdr:nvPicPr>
        <xdr:cNvPr id="2" name="Picture 49" descr="CCRD_FIN_BW300">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2875" y="152400"/>
          <a:ext cx="2552700" cy="49530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142875</xdr:colOff>
      <xdr:row>0</xdr:row>
      <xdr:rowOff>104775</xdr:rowOff>
    </xdr:from>
    <xdr:to>
      <xdr:col>1</xdr:col>
      <xdr:colOff>2514600</xdr:colOff>
      <xdr:row>3</xdr:row>
      <xdr:rowOff>114300</xdr:rowOff>
    </xdr:to>
    <xdr:pic>
      <xdr:nvPicPr>
        <xdr:cNvPr id="31745" name="Picture 49" descr="CCRD_FIN_BW300">
          <a:extLst>
            <a:ext uri="{FF2B5EF4-FFF2-40B4-BE49-F238E27FC236}">
              <a16:creationId xmlns:a16="http://schemas.microsoft.com/office/drawing/2014/main" id="{00000000-0008-0000-1300-0000017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104775"/>
          <a:ext cx="2552700" cy="49530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83343</xdr:colOff>
      <xdr:row>0</xdr:row>
      <xdr:rowOff>119062</xdr:rowOff>
    </xdr:from>
    <xdr:to>
      <xdr:col>1</xdr:col>
      <xdr:colOff>1886463</xdr:colOff>
      <xdr:row>4</xdr:row>
      <xdr:rowOff>139741</xdr:rowOff>
    </xdr:to>
    <xdr:pic>
      <xdr:nvPicPr>
        <xdr:cNvPr id="4" name="Picture 3">
          <a:extLst>
            <a:ext uri="{FF2B5EF4-FFF2-40B4-BE49-F238E27FC236}">
              <a16:creationId xmlns:a16="http://schemas.microsoft.com/office/drawing/2014/main" id="{3D529388-A9C0-4D77-83C1-4E5EA687B6FC}"/>
            </a:ext>
          </a:extLst>
        </xdr:cNvPr>
        <xdr:cNvPicPr>
          <a:picLocks noChangeAspect="1"/>
        </xdr:cNvPicPr>
      </xdr:nvPicPr>
      <xdr:blipFill>
        <a:blip xmlns:r="http://schemas.openxmlformats.org/officeDocument/2006/relationships" r:embed="rId1"/>
        <a:stretch>
          <a:fillRect/>
        </a:stretch>
      </xdr:blipFill>
      <xdr:spPr>
        <a:xfrm>
          <a:off x="83343" y="119062"/>
          <a:ext cx="1981714" cy="68742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21165</xdr:colOff>
      <xdr:row>0</xdr:row>
      <xdr:rowOff>74083</xdr:rowOff>
    </xdr:from>
    <xdr:to>
      <xdr:col>3</xdr:col>
      <xdr:colOff>1357296</xdr:colOff>
      <xdr:row>3</xdr:row>
      <xdr:rowOff>147679</xdr:rowOff>
    </xdr:to>
    <xdr:pic>
      <xdr:nvPicPr>
        <xdr:cNvPr id="6" name="Picture 5">
          <a:extLst>
            <a:ext uri="{FF2B5EF4-FFF2-40B4-BE49-F238E27FC236}">
              <a16:creationId xmlns:a16="http://schemas.microsoft.com/office/drawing/2014/main" id="{D8B53308-26EE-4968-A1F2-A263EF88F48E}"/>
            </a:ext>
          </a:extLst>
        </xdr:cNvPr>
        <xdr:cNvPicPr>
          <a:picLocks noChangeAspect="1"/>
        </xdr:cNvPicPr>
      </xdr:nvPicPr>
      <xdr:blipFill>
        <a:blip xmlns:r="http://schemas.openxmlformats.org/officeDocument/2006/relationships" r:embed="rId1"/>
        <a:stretch>
          <a:fillRect/>
        </a:stretch>
      </xdr:blipFill>
      <xdr:spPr>
        <a:xfrm>
          <a:off x="21165" y="74083"/>
          <a:ext cx="1981714" cy="687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47623</xdr:colOff>
      <xdr:row>0</xdr:row>
      <xdr:rowOff>85724</xdr:rowOff>
    </xdr:from>
    <xdr:to>
      <xdr:col>1</xdr:col>
      <xdr:colOff>1848362</xdr:colOff>
      <xdr:row>4</xdr:row>
      <xdr:rowOff>125453</xdr:rowOff>
    </xdr:to>
    <xdr:pic>
      <xdr:nvPicPr>
        <xdr:cNvPr id="4" name="Picture 3">
          <a:extLst>
            <a:ext uri="{FF2B5EF4-FFF2-40B4-BE49-F238E27FC236}">
              <a16:creationId xmlns:a16="http://schemas.microsoft.com/office/drawing/2014/main" id="{978D79E7-EC9A-453E-B427-939068AE3FAE}"/>
            </a:ext>
          </a:extLst>
        </xdr:cNvPr>
        <xdr:cNvPicPr>
          <a:picLocks noChangeAspect="1"/>
        </xdr:cNvPicPr>
      </xdr:nvPicPr>
      <xdr:blipFill>
        <a:blip xmlns:r="http://schemas.openxmlformats.org/officeDocument/2006/relationships" r:embed="rId1"/>
        <a:stretch>
          <a:fillRect/>
        </a:stretch>
      </xdr:blipFill>
      <xdr:spPr>
        <a:xfrm>
          <a:off x="47623" y="85724"/>
          <a:ext cx="1981714" cy="687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47623</xdr:colOff>
      <xdr:row>1</xdr:row>
      <xdr:rowOff>38099</xdr:rowOff>
    </xdr:from>
    <xdr:to>
      <xdr:col>1</xdr:col>
      <xdr:colOff>1848362</xdr:colOff>
      <xdr:row>4</xdr:row>
      <xdr:rowOff>239753</xdr:rowOff>
    </xdr:to>
    <xdr:pic>
      <xdr:nvPicPr>
        <xdr:cNvPr id="4" name="Picture 3">
          <a:extLst>
            <a:ext uri="{FF2B5EF4-FFF2-40B4-BE49-F238E27FC236}">
              <a16:creationId xmlns:a16="http://schemas.microsoft.com/office/drawing/2014/main" id="{394203F4-A344-4364-BBBB-8E435131D2DC}"/>
            </a:ext>
          </a:extLst>
        </xdr:cNvPr>
        <xdr:cNvPicPr>
          <a:picLocks noChangeAspect="1"/>
        </xdr:cNvPicPr>
      </xdr:nvPicPr>
      <xdr:blipFill>
        <a:blip xmlns:r="http://schemas.openxmlformats.org/officeDocument/2006/relationships" r:embed="rId1"/>
        <a:stretch>
          <a:fillRect/>
        </a:stretch>
      </xdr:blipFill>
      <xdr:spPr>
        <a:xfrm>
          <a:off x="47623" y="104774"/>
          <a:ext cx="1991239" cy="6874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78439</xdr:colOff>
      <xdr:row>1</xdr:row>
      <xdr:rowOff>22410</xdr:rowOff>
    </xdr:from>
    <xdr:to>
      <xdr:col>1</xdr:col>
      <xdr:colOff>1880859</xdr:colOff>
      <xdr:row>4</xdr:row>
      <xdr:rowOff>239192</xdr:rowOff>
    </xdr:to>
    <xdr:pic>
      <xdr:nvPicPr>
        <xdr:cNvPr id="3" name="Picture 2">
          <a:extLst>
            <a:ext uri="{FF2B5EF4-FFF2-40B4-BE49-F238E27FC236}">
              <a16:creationId xmlns:a16="http://schemas.microsoft.com/office/drawing/2014/main" id="{B9E71C8D-C31B-4FB9-BD25-331640800EF4}"/>
            </a:ext>
          </a:extLst>
        </xdr:cNvPr>
        <xdr:cNvPicPr>
          <a:picLocks noChangeAspect="1"/>
        </xdr:cNvPicPr>
      </xdr:nvPicPr>
      <xdr:blipFill>
        <a:blip xmlns:r="http://schemas.openxmlformats.org/officeDocument/2006/relationships" r:embed="rId1"/>
        <a:stretch>
          <a:fillRect/>
        </a:stretch>
      </xdr:blipFill>
      <xdr:spPr>
        <a:xfrm>
          <a:off x="78439" y="179292"/>
          <a:ext cx="1981714" cy="687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2857500</xdr:colOff>
      <xdr:row>3</xdr:row>
      <xdr:rowOff>155575</xdr:rowOff>
    </xdr:to>
    <xdr:pic>
      <xdr:nvPicPr>
        <xdr:cNvPr id="2" name="Picture 1" descr="Canaccord Genuity Group Inc.">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61925"/>
          <a:ext cx="2857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78439</xdr:colOff>
      <xdr:row>1</xdr:row>
      <xdr:rowOff>22410</xdr:rowOff>
    </xdr:from>
    <xdr:to>
      <xdr:col>1</xdr:col>
      <xdr:colOff>1880859</xdr:colOff>
      <xdr:row>4</xdr:row>
      <xdr:rowOff>239192</xdr:rowOff>
    </xdr:to>
    <xdr:pic>
      <xdr:nvPicPr>
        <xdr:cNvPr id="2" name="Picture 1">
          <a:extLst>
            <a:ext uri="{FF2B5EF4-FFF2-40B4-BE49-F238E27FC236}">
              <a16:creationId xmlns:a16="http://schemas.microsoft.com/office/drawing/2014/main" id="{1F9D0770-CF2F-4A5B-8B47-F4D774E75E0E}"/>
            </a:ext>
          </a:extLst>
        </xdr:cNvPr>
        <xdr:cNvPicPr>
          <a:picLocks noChangeAspect="1"/>
        </xdr:cNvPicPr>
      </xdr:nvPicPr>
      <xdr:blipFill>
        <a:blip xmlns:r="http://schemas.openxmlformats.org/officeDocument/2006/relationships" r:embed="rId1"/>
        <a:stretch>
          <a:fillRect/>
        </a:stretch>
      </xdr:blipFill>
      <xdr:spPr>
        <a:xfrm>
          <a:off x="78439" y="174810"/>
          <a:ext cx="1983395" cy="7025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0</xdr:colOff>
      <xdr:row>33</xdr:row>
      <xdr:rowOff>0</xdr:rowOff>
    </xdr:from>
    <xdr:to>
      <xdr:col>17</xdr:col>
      <xdr:colOff>85725</xdr:colOff>
      <xdr:row>34</xdr:row>
      <xdr:rowOff>42333</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15</xdr:col>
      <xdr:colOff>0</xdr:colOff>
      <xdr:row>33</xdr:row>
      <xdr:rowOff>0</xdr:rowOff>
    </xdr:from>
    <xdr:to>
      <xdr:col>17</xdr:col>
      <xdr:colOff>85725</xdr:colOff>
      <xdr:row>34</xdr:row>
      <xdr:rowOff>42333</xdr:rowOff>
    </xdr:to>
    <xdr:pic>
      <xdr:nvPicPr>
        <xdr:cNvPr id="7" name="mtgt_A.1001" descr="http://maps.gstatic.com/mapfiles/markers2/markerTransparent.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0</xdr:col>
      <xdr:colOff>56028</xdr:colOff>
      <xdr:row>1</xdr:row>
      <xdr:rowOff>78439</xdr:rowOff>
    </xdr:from>
    <xdr:to>
      <xdr:col>1</xdr:col>
      <xdr:colOff>1858448</xdr:colOff>
      <xdr:row>4</xdr:row>
      <xdr:rowOff>295221</xdr:rowOff>
    </xdr:to>
    <xdr:pic>
      <xdr:nvPicPr>
        <xdr:cNvPr id="5" name="Picture 4">
          <a:extLst>
            <a:ext uri="{FF2B5EF4-FFF2-40B4-BE49-F238E27FC236}">
              <a16:creationId xmlns:a16="http://schemas.microsoft.com/office/drawing/2014/main" id="{BC3453C2-8890-48E0-B89E-67F3C4F1B948}"/>
            </a:ext>
          </a:extLst>
        </xdr:cNvPr>
        <xdr:cNvPicPr>
          <a:picLocks noChangeAspect="1"/>
        </xdr:cNvPicPr>
      </xdr:nvPicPr>
      <xdr:blipFill>
        <a:blip xmlns:r="http://schemas.openxmlformats.org/officeDocument/2006/relationships" r:embed="rId2"/>
        <a:stretch>
          <a:fillRect/>
        </a:stretch>
      </xdr:blipFill>
      <xdr:spPr>
        <a:xfrm>
          <a:off x="56028" y="168086"/>
          <a:ext cx="1981714" cy="6874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107156</xdr:colOff>
      <xdr:row>0</xdr:row>
      <xdr:rowOff>130968</xdr:rowOff>
    </xdr:from>
    <xdr:to>
      <xdr:col>1</xdr:col>
      <xdr:colOff>1910276</xdr:colOff>
      <xdr:row>4</xdr:row>
      <xdr:rowOff>151647</xdr:rowOff>
    </xdr:to>
    <xdr:pic>
      <xdr:nvPicPr>
        <xdr:cNvPr id="4" name="Picture 3">
          <a:extLst>
            <a:ext uri="{FF2B5EF4-FFF2-40B4-BE49-F238E27FC236}">
              <a16:creationId xmlns:a16="http://schemas.microsoft.com/office/drawing/2014/main" id="{3AB91D54-822B-4E59-B4F4-B7A61F45680B}"/>
            </a:ext>
          </a:extLst>
        </xdr:cNvPr>
        <xdr:cNvPicPr>
          <a:picLocks noChangeAspect="1"/>
        </xdr:cNvPicPr>
      </xdr:nvPicPr>
      <xdr:blipFill>
        <a:blip xmlns:r="http://schemas.openxmlformats.org/officeDocument/2006/relationships" r:embed="rId1"/>
        <a:stretch>
          <a:fillRect/>
        </a:stretch>
      </xdr:blipFill>
      <xdr:spPr>
        <a:xfrm>
          <a:off x="107156" y="130968"/>
          <a:ext cx="1981714" cy="687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X90"/>
  <sheetViews>
    <sheetView showGridLines="0" workbookViewId="0">
      <selection activeCell="J10" sqref="J10"/>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48"/>
    </row>
    <row r="5" spans="2:21" x14ac:dyDescent="0.2">
      <c r="I5" t="s">
        <v>40</v>
      </c>
    </row>
    <row r="6" spans="2:21" x14ac:dyDescent="0.2">
      <c r="C6" s="49"/>
    </row>
    <row r="13" spans="2:21" ht="28.5" customHeight="1" x14ac:dyDescent="0.4">
      <c r="D13" s="837"/>
      <c r="E13" s="838" t="s">
        <v>323</v>
      </c>
      <c r="F13" s="837"/>
      <c r="G13" s="837"/>
    </row>
    <row r="14" spans="2:21" x14ac:dyDescent="0.2">
      <c r="T14" s="61"/>
      <c r="U14" s="61"/>
    </row>
    <row r="15" spans="2:21" x14ac:dyDescent="0.2">
      <c r="T15" s="61"/>
      <c r="U15" s="61"/>
    </row>
    <row r="16" spans="2:21" ht="25.5" customHeight="1" x14ac:dyDescent="0.35">
      <c r="B16" s="2288" t="s">
        <v>41</v>
      </c>
      <c r="C16" s="2287"/>
      <c r="D16" s="2287"/>
      <c r="E16" s="2287"/>
      <c r="F16" s="2287"/>
      <c r="G16" s="2287"/>
      <c r="H16" s="2287"/>
      <c r="T16" s="61"/>
      <c r="U16" s="61"/>
    </row>
    <row r="17" spans="1:50" x14ac:dyDescent="0.2">
      <c r="T17" s="61"/>
      <c r="U17" s="61"/>
    </row>
    <row r="18" spans="1:50" ht="20.25" x14ac:dyDescent="0.3">
      <c r="E18" s="52" t="s">
        <v>665</v>
      </c>
      <c r="T18" s="61"/>
      <c r="U18" s="61"/>
    </row>
    <row r="19" spans="1:50" ht="18" customHeight="1" x14ac:dyDescent="0.2">
      <c r="B19" t="s">
        <v>40</v>
      </c>
      <c r="D19" s="53"/>
      <c r="E19" s="463" t="s">
        <v>666</v>
      </c>
      <c r="F19" s="53"/>
      <c r="T19" s="61"/>
      <c r="U19" s="61"/>
    </row>
    <row r="20" spans="1:50" x14ac:dyDescent="0.2">
      <c r="E20" s="54"/>
      <c r="T20" s="61"/>
      <c r="U20" s="61"/>
    </row>
    <row r="21" spans="1:50" x14ac:dyDescent="0.2">
      <c r="E21" s="55" t="s">
        <v>42</v>
      </c>
      <c r="T21" s="61"/>
      <c r="U21" s="61"/>
    </row>
    <row r="22" spans="1:50" x14ac:dyDescent="0.2">
      <c r="T22" s="61"/>
      <c r="U22" s="61"/>
    </row>
    <row r="23" spans="1:50" ht="29.25" customHeight="1" x14ac:dyDescent="0.35">
      <c r="E23" s="261"/>
      <c r="T23" s="61"/>
      <c r="U23" s="61"/>
    </row>
    <row r="24" spans="1:50" ht="23.25" customHeight="1" x14ac:dyDescent="0.3">
      <c r="B24" s="2286" t="s">
        <v>43</v>
      </c>
      <c r="C24" s="2287"/>
      <c r="D24" s="2287"/>
      <c r="E24" s="2287"/>
      <c r="F24" s="2287"/>
      <c r="G24" s="2287"/>
      <c r="H24" s="2287"/>
      <c r="T24" s="61"/>
      <c r="U24" s="61"/>
    </row>
    <row r="25" spans="1:50" s="480" customFormat="1" ht="23.25" customHeight="1" x14ac:dyDescent="0.3">
      <c r="B25" s="847"/>
      <c r="C25" s="848"/>
      <c r="D25" s="848"/>
      <c r="E25" s="848"/>
      <c r="F25" s="848"/>
      <c r="G25" s="848"/>
      <c r="H25" s="848"/>
      <c r="T25" s="61"/>
      <c r="U25" s="61"/>
    </row>
    <row r="27" spans="1:50" x14ac:dyDescent="0.2">
      <c r="E27" s="850" t="s">
        <v>44</v>
      </c>
    </row>
    <row r="28" spans="1:50" x14ac:dyDescent="0.2">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X28">
        <v>0</v>
      </c>
    </row>
    <row r="29" spans="1:50" ht="12.75" customHeight="1" x14ac:dyDescent="0.2">
      <c r="A29" s="432"/>
      <c r="B29" s="61" t="s">
        <v>289</v>
      </c>
      <c r="C29" s="61"/>
      <c r="D29" s="65"/>
      <c r="E29" s="185" t="s">
        <v>489</v>
      </c>
      <c r="F29" s="830"/>
      <c r="G29" s="61"/>
      <c r="H29" s="61"/>
      <c r="I29" s="65" t="s">
        <v>290</v>
      </c>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X29">
        <v>0</v>
      </c>
    </row>
    <row r="30" spans="1:50" s="480" customFormat="1" ht="12.75" customHeight="1" x14ac:dyDescent="0.2">
      <c r="A30" s="432"/>
      <c r="B30" s="61"/>
      <c r="C30" s="61"/>
      <c r="D30" s="65"/>
      <c r="E30" s="831"/>
      <c r="F30" s="846"/>
      <c r="G30" s="61"/>
      <c r="H30" s="61"/>
      <c r="I30" s="65"/>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row>
    <row r="31" spans="1:50" ht="12.75" customHeight="1" x14ac:dyDescent="0.2">
      <c r="B31" s="61" t="s">
        <v>335</v>
      </c>
      <c r="C31" s="846"/>
      <c r="D31" s="846"/>
      <c r="E31" s="849" t="s">
        <v>336</v>
      </c>
      <c r="F31" s="831"/>
      <c r="G31" s="56"/>
      <c r="H31" s="61"/>
      <c r="I31" s="839" t="s">
        <v>337</v>
      </c>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row>
    <row r="32" spans="1:50" x14ac:dyDescent="0.2">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row>
    <row r="33" spans="2:50" x14ac:dyDescent="0.2">
      <c r="D33" s="3"/>
      <c r="E33" s="57"/>
      <c r="F33" s="3"/>
      <c r="G33" s="3"/>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row>
    <row r="34" spans="2:50" x14ac:dyDescent="0.2">
      <c r="D34" s="2"/>
      <c r="E34" s="58"/>
      <c r="F34" s="2"/>
      <c r="G34" s="3"/>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row>
    <row r="35" spans="2:50" x14ac:dyDescent="0.2">
      <c r="D35" s="3"/>
      <c r="E35" s="59"/>
      <c r="F35" s="3"/>
      <c r="G35" s="3"/>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row>
    <row r="36" spans="2:50" x14ac:dyDescent="0.2">
      <c r="D36" s="3"/>
      <c r="E36" s="60"/>
      <c r="F36" s="3"/>
      <c r="G36" s="3"/>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X36" t="s">
        <v>38</v>
      </c>
    </row>
    <row r="37" spans="2:50" x14ac:dyDescent="0.2">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X37" s="480"/>
    </row>
    <row r="38" spans="2:50" x14ac:dyDescent="0.2">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row>
    <row r="39" spans="2:50" x14ac:dyDescent="0.2">
      <c r="G39" t="s">
        <v>40</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row>
    <row r="40" spans="2:50" x14ac:dyDescent="0.2">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row>
    <row r="41" spans="2:50" x14ac:dyDescent="0.2">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row>
    <row r="42" spans="2:50" x14ac:dyDescent="0.2">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row>
    <row r="43" spans="2:50" x14ac:dyDescent="0.2">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row>
    <row r="44" spans="2:50" x14ac:dyDescent="0.2">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row>
    <row r="45" spans="2:50" x14ac:dyDescent="0.2">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row>
    <row r="46" spans="2:50" x14ac:dyDescent="0.2">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row>
    <row r="47" spans="2:50" ht="14.25" x14ac:dyDescent="0.2">
      <c r="B47" s="79"/>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row>
    <row r="48" spans="2:50" x14ac:dyDescent="0.2">
      <c r="B48" s="407"/>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row>
    <row r="49" spans="1:47" x14ac:dyDescent="0.2">
      <c r="B49" s="407"/>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row>
    <row r="50" spans="1:47" x14ac:dyDescent="0.2">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row>
    <row r="53" spans="1:47" x14ac:dyDescent="0.2">
      <c r="I53" s="61"/>
      <c r="J53" s="61"/>
      <c r="K53" s="61"/>
    </row>
    <row r="54" spans="1:47" x14ac:dyDescent="0.2">
      <c r="I54" s="61"/>
      <c r="J54" s="61"/>
      <c r="K54" s="61"/>
    </row>
    <row r="55" spans="1:47" x14ac:dyDescent="0.2">
      <c r="I55" s="61"/>
      <c r="J55" s="61"/>
      <c r="K55" s="61"/>
    </row>
    <row r="56" spans="1:47" x14ac:dyDescent="0.2">
      <c r="A56" s="44"/>
      <c r="F56" s="2277"/>
      <c r="I56" s="61"/>
      <c r="J56" s="61"/>
      <c r="K56" s="61"/>
      <c r="M56" s="62"/>
      <c r="AA56" s="61"/>
      <c r="AG56" s="62"/>
    </row>
    <row r="57" spans="1:47" x14ac:dyDescent="0.2">
      <c r="A57" s="63"/>
      <c r="B57" s="64"/>
      <c r="C57" s="64"/>
      <c r="D57" s="64"/>
      <c r="E57" s="64"/>
      <c r="F57" s="64"/>
      <c r="G57" s="64"/>
      <c r="H57" s="64"/>
      <c r="I57" s="65"/>
      <c r="J57" s="65"/>
      <c r="K57" s="65"/>
      <c r="L57" s="64"/>
      <c r="M57" s="64"/>
      <c r="N57" s="64"/>
      <c r="O57" s="64"/>
      <c r="P57" s="64"/>
      <c r="Q57" s="64"/>
      <c r="R57" s="64"/>
      <c r="S57" s="64"/>
      <c r="T57" s="64"/>
      <c r="U57" s="64"/>
      <c r="V57" s="64"/>
      <c r="W57" s="64"/>
      <c r="X57" s="64"/>
      <c r="AA57" s="61"/>
    </row>
    <row r="58" spans="1:47" x14ac:dyDescent="0.2">
      <c r="I58" s="61"/>
      <c r="J58" s="61"/>
      <c r="K58" s="61"/>
      <c r="AA58" s="61"/>
    </row>
    <row r="59" spans="1:47" x14ac:dyDescent="0.2">
      <c r="I59" s="61"/>
      <c r="J59" s="61"/>
      <c r="K59" s="61"/>
    </row>
    <row r="63" spans="1:47" x14ac:dyDescent="0.2">
      <c r="T63" s="66"/>
      <c r="AH63" s="66"/>
    </row>
    <row r="74" spans="49:49" x14ac:dyDescent="0.2">
      <c r="AW74" s="347"/>
    </row>
    <row r="75" spans="49:49" x14ac:dyDescent="0.2">
      <c r="AW75" s="347"/>
    </row>
    <row r="83" spans="8:8" x14ac:dyDescent="0.2">
      <c r="H83" s="61"/>
    </row>
    <row r="84" spans="8:8" x14ac:dyDescent="0.2">
      <c r="H84" s="61"/>
    </row>
    <row r="85" spans="8:8" x14ac:dyDescent="0.2">
      <c r="H85" s="61"/>
    </row>
    <row r="86" spans="8:8" x14ac:dyDescent="0.2">
      <c r="H86" s="61"/>
    </row>
    <row r="87" spans="8:8" x14ac:dyDescent="0.2">
      <c r="H87" s="61"/>
    </row>
    <row r="88" spans="8:8" x14ac:dyDescent="0.2">
      <c r="H88" s="61"/>
    </row>
    <row r="89" spans="8:8" x14ac:dyDescent="0.2">
      <c r="H89" s="61"/>
    </row>
    <row r="90" spans="8:8" x14ac:dyDescent="0.2">
      <c r="H90" s="61"/>
    </row>
  </sheetData>
  <mergeCells count="2">
    <mergeCell ref="B24:H24"/>
    <mergeCell ref="B16:H16"/>
  </mergeCells>
  <phoneticPr fontId="0" type="noConversion"/>
  <printOptions horizontalCentered="1"/>
  <pageMargins left="0.3" right="0.3" top="0.4" bottom="0.6" header="0" footer="0.3"/>
  <pageSetup orientation="landscape" r:id="rId1"/>
  <headerFooter alignWithMargins="0">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Z92"/>
  <sheetViews>
    <sheetView topLeftCell="B1" zoomScale="110" zoomScaleNormal="110" workbookViewId="0">
      <selection activeCell="J60" sqref="J60"/>
    </sheetView>
  </sheetViews>
  <sheetFormatPr defaultColWidth="9.140625" defaultRowHeight="12.75" x14ac:dyDescent="0.2"/>
  <cols>
    <col min="1" max="1" width="2.7109375" style="1359" customWidth="1"/>
    <col min="2" max="2" width="50.42578125" style="1359" customWidth="1"/>
    <col min="3" max="3" width="11.42578125" style="2143" customWidth="1"/>
    <col min="4" max="4" width="9.7109375" style="2143" customWidth="1"/>
    <col min="5" max="5" width="1.5703125" style="2137" customWidth="1"/>
    <col min="6" max="6" width="10.140625" style="2137" customWidth="1"/>
    <col min="7" max="7" width="9.28515625" style="2144" customWidth="1"/>
    <col min="8" max="8" width="9.42578125" style="2144" customWidth="1"/>
    <col min="9" max="9" width="11.28515625" style="2144" customWidth="1"/>
    <col min="10" max="10" width="10.140625" style="2144" customWidth="1"/>
    <col min="11" max="11" width="10.85546875" style="2139" customWidth="1"/>
    <col min="12" max="12" width="9.42578125" style="2144" customWidth="1"/>
    <col min="13" max="13" width="11.28515625" style="2144" customWidth="1"/>
    <col min="14" max="14" width="10.140625" style="2144" customWidth="1"/>
    <col min="15" max="15" width="1.5703125" style="2143" customWidth="1"/>
    <col min="16" max="16" width="9.42578125" style="2143" hidden="1" customWidth="1"/>
    <col min="17" max="17" width="9" style="2143" hidden="1" customWidth="1"/>
    <col min="18" max="18" width="11.28515625" style="2145" customWidth="1"/>
    <col min="19" max="19" width="9.7109375" style="2145" customWidth="1"/>
    <col min="20" max="20" width="1.5703125" style="2143" customWidth="1"/>
    <col min="21" max="25" width="11" style="2143" customWidth="1"/>
    <col min="26" max="26" width="1.5703125" style="2133" customWidth="1"/>
    <col min="27" max="16384" width="9.140625" style="2133"/>
  </cols>
  <sheetData>
    <row r="1" spans="1:26" x14ac:dyDescent="0.2">
      <c r="C1" s="1359"/>
      <c r="D1" s="1359"/>
      <c r="E1" s="1329"/>
      <c r="F1" s="1329"/>
      <c r="G1" s="1360"/>
      <c r="H1" s="1360"/>
      <c r="I1" s="1360"/>
      <c r="J1" s="1360"/>
      <c r="K1" s="1363"/>
      <c r="L1" s="1360"/>
      <c r="M1" s="1360"/>
      <c r="N1" s="1360"/>
      <c r="O1" s="1359"/>
      <c r="P1" s="1359"/>
      <c r="Q1" s="1359"/>
      <c r="R1" s="1402"/>
      <c r="S1" s="1402"/>
      <c r="T1" s="1359"/>
      <c r="U1" s="1359"/>
      <c r="V1" s="1359"/>
      <c r="W1" s="1359"/>
      <c r="X1" s="1359"/>
      <c r="Y1" s="1359"/>
      <c r="Z1" s="1328"/>
    </row>
    <row r="2" spans="1:26" x14ac:dyDescent="0.2">
      <c r="C2" s="1359"/>
      <c r="D2" s="1359"/>
      <c r="E2" s="1329"/>
      <c r="F2" s="1329"/>
      <c r="G2" s="1360"/>
      <c r="H2" s="1360"/>
      <c r="I2" s="1360"/>
      <c r="J2" s="1360"/>
      <c r="K2" s="1363"/>
      <c r="L2" s="1360"/>
      <c r="M2" s="1360"/>
      <c r="N2" s="1360"/>
      <c r="O2" s="1359"/>
      <c r="P2" s="1359"/>
      <c r="Q2" s="1359"/>
      <c r="R2" s="1402"/>
      <c r="S2" s="1402"/>
      <c r="T2" s="1359"/>
      <c r="U2" s="1359"/>
      <c r="V2" s="1359"/>
      <c r="W2" s="1359"/>
      <c r="X2" s="1359"/>
      <c r="Y2" s="1359"/>
      <c r="Z2" s="1328"/>
    </row>
    <row r="3" spans="1:26" x14ac:dyDescent="0.2">
      <c r="C3" s="1359"/>
      <c r="D3" s="1359"/>
      <c r="E3" s="1329"/>
      <c r="F3" s="1329"/>
      <c r="G3" s="1360"/>
      <c r="H3" s="1360"/>
      <c r="I3" s="1360"/>
      <c r="J3" s="1360"/>
      <c r="K3" s="1363"/>
      <c r="L3" s="1360"/>
      <c r="M3" s="1360"/>
      <c r="N3" s="1360"/>
      <c r="O3" s="1359"/>
      <c r="P3" s="1359"/>
      <c r="Q3" s="1359"/>
      <c r="R3" s="1402"/>
      <c r="S3" s="1402"/>
      <c r="T3" s="1359"/>
      <c r="U3" s="1359"/>
      <c r="V3" s="1359"/>
      <c r="W3" s="1359"/>
      <c r="X3" s="1359"/>
      <c r="Y3" s="1359"/>
      <c r="Z3" s="1328"/>
    </row>
    <row r="4" spans="1:26" x14ac:dyDescent="0.2">
      <c r="C4" s="1359"/>
      <c r="D4" s="1359"/>
      <c r="E4" s="1329"/>
      <c r="F4" s="1329"/>
      <c r="G4" s="1360"/>
      <c r="H4" s="1360"/>
      <c r="I4" s="1360"/>
      <c r="J4" s="1360"/>
      <c r="K4" s="2209"/>
      <c r="L4" s="1360"/>
      <c r="M4" s="1360"/>
      <c r="N4" s="1360"/>
      <c r="O4" s="1359"/>
      <c r="P4" s="1359"/>
      <c r="Q4" s="1359"/>
      <c r="R4" s="1402"/>
      <c r="S4" s="1402"/>
      <c r="T4" s="1359"/>
      <c r="U4" s="1359"/>
      <c r="V4" s="1359"/>
      <c r="W4" s="1359"/>
      <c r="X4" s="1359"/>
      <c r="Y4" s="1359"/>
      <c r="Z4" s="1328"/>
    </row>
    <row r="5" spans="1:26" x14ac:dyDescent="0.2">
      <c r="A5" s="1360"/>
      <c r="B5" s="1360"/>
      <c r="C5" s="1360"/>
      <c r="D5" s="1360"/>
      <c r="E5" s="1329"/>
      <c r="F5" s="1329"/>
      <c r="G5" s="1360"/>
      <c r="H5" s="1360"/>
      <c r="I5" s="1360"/>
      <c r="J5" s="1360"/>
      <c r="K5" s="2209"/>
      <c r="L5" s="1360"/>
      <c r="M5" s="1360"/>
      <c r="N5" s="1360"/>
      <c r="O5" s="1359"/>
      <c r="P5" s="1359"/>
      <c r="Q5" s="1359"/>
      <c r="R5" s="1402"/>
      <c r="S5" s="1402"/>
      <c r="T5" s="1359"/>
      <c r="U5" s="1359"/>
      <c r="V5" s="1359"/>
      <c r="W5" s="1359"/>
      <c r="X5" s="1359"/>
      <c r="Y5" s="1359"/>
      <c r="Z5" s="1328"/>
    </row>
    <row r="6" spans="1:26" ht="18" customHeight="1" x14ac:dyDescent="0.2">
      <c r="A6" s="1361" t="s">
        <v>656</v>
      </c>
      <c r="B6" s="1360"/>
      <c r="C6" s="1360"/>
      <c r="D6" s="1360"/>
      <c r="E6" s="1329"/>
      <c r="F6" s="1329"/>
      <c r="G6" s="1360"/>
      <c r="H6" s="1360"/>
      <c r="I6" s="1360"/>
      <c r="J6" s="1360"/>
      <c r="K6" s="1363"/>
      <c r="L6" s="1360"/>
      <c r="M6" s="1360"/>
      <c r="N6" s="1360"/>
      <c r="O6" s="1359"/>
      <c r="P6" s="1359"/>
      <c r="Q6" s="1359"/>
      <c r="R6" s="1402"/>
      <c r="S6" s="1402"/>
      <c r="T6" s="1359"/>
      <c r="U6" s="1359"/>
      <c r="V6" s="1359"/>
      <c r="W6" s="1359"/>
      <c r="X6" s="1359"/>
      <c r="Y6" s="1359"/>
      <c r="Z6" s="1328"/>
    </row>
    <row r="7" spans="1:26" ht="18" customHeight="1" x14ac:dyDescent="0.2">
      <c r="A7" s="943" t="s">
        <v>556</v>
      </c>
      <c r="B7" s="1362"/>
      <c r="C7" s="1362"/>
      <c r="D7" s="1362"/>
      <c r="E7" s="1330"/>
      <c r="F7" s="1330"/>
      <c r="G7" s="1362"/>
      <c r="H7" s="1362"/>
      <c r="I7" s="1362"/>
      <c r="J7" s="1362"/>
      <c r="K7" s="1362"/>
      <c r="L7" s="1362"/>
      <c r="M7" s="1362"/>
      <c r="N7" s="1362"/>
      <c r="O7" s="1543"/>
      <c r="P7" s="1543"/>
      <c r="Q7" s="1543"/>
      <c r="R7" s="1890"/>
      <c r="S7" s="1890"/>
      <c r="T7" s="1543"/>
      <c r="U7" s="1543"/>
      <c r="V7" s="1543"/>
      <c r="W7" s="1543"/>
      <c r="X7" s="1543"/>
      <c r="Y7" s="1543"/>
      <c r="Z7" s="1673"/>
    </row>
    <row r="8" spans="1:26" ht="9.75" customHeight="1" x14ac:dyDescent="0.2">
      <c r="A8" s="1363"/>
      <c r="B8" s="1363"/>
      <c r="C8" s="1363"/>
      <c r="D8" s="1363"/>
      <c r="E8" s="1331"/>
      <c r="F8" s="1331"/>
      <c r="G8" s="1363"/>
      <c r="H8" s="1363"/>
      <c r="I8" s="1363"/>
      <c r="J8" s="1363"/>
      <c r="K8" s="1363"/>
      <c r="L8" s="1363"/>
      <c r="M8" s="1363"/>
      <c r="N8" s="1363"/>
      <c r="O8" s="1543"/>
      <c r="P8" s="1543"/>
      <c r="Q8" s="1543"/>
      <c r="R8" s="1891"/>
      <c r="S8" s="1891"/>
      <c r="T8" s="1543"/>
      <c r="U8" s="1543"/>
      <c r="V8" s="1543"/>
      <c r="W8" s="1543"/>
      <c r="X8" s="1543"/>
      <c r="Y8" s="1543"/>
      <c r="Z8" s="1673"/>
    </row>
    <row r="9" spans="1:26" x14ac:dyDescent="0.2">
      <c r="A9" s="1364" t="s">
        <v>1</v>
      </c>
      <c r="B9" s="1365"/>
      <c r="C9" s="2306" t="s">
        <v>667</v>
      </c>
      <c r="D9" s="2307"/>
      <c r="E9" s="1333"/>
      <c r="F9" s="1885"/>
      <c r="G9" s="1893"/>
      <c r="H9" s="1893"/>
      <c r="I9" s="1892"/>
      <c r="J9" s="1893"/>
      <c r="K9" s="1893"/>
      <c r="L9" s="1893"/>
      <c r="M9" s="1892"/>
      <c r="N9" s="1893"/>
      <c r="O9" s="1404"/>
      <c r="P9" s="981" t="s">
        <v>668</v>
      </c>
      <c r="Q9" s="981"/>
      <c r="R9" s="981" t="s">
        <v>551</v>
      </c>
      <c r="S9" s="982"/>
      <c r="T9" s="1405"/>
      <c r="U9" s="1774"/>
      <c r="V9" s="1774"/>
      <c r="W9" s="1406"/>
      <c r="X9" s="1406"/>
      <c r="Y9" s="1406"/>
      <c r="Z9" s="1679"/>
    </row>
    <row r="10" spans="1:26" ht="13.5" x14ac:dyDescent="0.2">
      <c r="A10" s="1364" t="s">
        <v>2</v>
      </c>
      <c r="B10" s="1365"/>
      <c r="C10" s="2412" t="s">
        <v>35</v>
      </c>
      <c r="D10" s="2413"/>
      <c r="E10" s="1335"/>
      <c r="F10" s="906" t="s">
        <v>546</v>
      </c>
      <c r="G10" s="985" t="s">
        <v>547</v>
      </c>
      <c r="H10" s="985" t="s">
        <v>548</v>
      </c>
      <c r="I10" s="986" t="s">
        <v>549</v>
      </c>
      <c r="J10" s="985" t="s">
        <v>497</v>
      </c>
      <c r="K10" s="985" t="s">
        <v>496</v>
      </c>
      <c r="L10" s="985" t="s">
        <v>495</v>
      </c>
      <c r="M10" s="986" t="s">
        <v>494</v>
      </c>
      <c r="N10" s="985" t="s">
        <v>363</v>
      </c>
      <c r="O10" s="1407"/>
      <c r="P10" s="985" t="s">
        <v>546</v>
      </c>
      <c r="Q10" s="985" t="s">
        <v>497</v>
      </c>
      <c r="R10" s="2310" t="s">
        <v>35</v>
      </c>
      <c r="S10" s="2311"/>
      <c r="T10" s="1408"/>
      <c r="U10" s="988" t="s">
        <v>550</v>
      </c>
      <c r="V10" s="988" t="s">
        <v>498</v>
      </c>
      <c r="W10" s="987" t="s">
        <v>490</v>
      </c>
      <c r="X10" s="987" t="s">
        <v>360</v>
      </c>
      <c r="Y10" s="987" t="s">
        <v>342</v>
      </c>
      <c r="Z10" s="1679"/>
    </row>
    <row r="11" spans="1:26" s="2136" customFormat="1" x14ac:dyDescent="0.2">
      <c r="A11" s="1364"/>
      <c r="B11" s="1364"/>
      <c r="C11" s="2163"/>
      <c r="D11" s="1367"/>
      <c r="E11" s="2221"/>
      <c r="F11" s="1080"/>
      <c r="G11" s="1148"/>
      <c r="H11" s="1148"/>
      <c r="I11" s="1149"/>
      <c r="J11" s="1148"/>
      <c r="K11" s="1148"/>
      <c r="L11" s="1148"/>
      <c r="M11" s="1149"/>
      <c r="N11" s="1148"/>
      <c r="O11" s="1410"/>
      <c r="P11" s="1411"/>
      <c r="Q11" s="1411"/>
      <c r="R11" s="1896"/>
      <c r="S11" s="1897"/>
      <c r="T11" s="1412"/>
      <c r="U11" s="1935"/>
      <c r="V11" s="2242"/>
      <c r="W11" s="1413"/>
      <c r="X11" s="1413"/>
      <c r="Y11" s="1413"/>
      <c r="Z11" s="1898"/>
    </row>
    <row r="12" spans="1:26" x14ac:dyDescent="0.2">
      <c r="A12" s="1368" t="s">
        <v>56</v>
      </c>
      <c r="B12" s="1369"/>
      <c r="C12" s="1899"/>
      <c r="D12" s="1900"/>
      <c r="E12" s="2222"/>
      <c r="F12" s="1332"/>
      <c r="G12" s="1365"/>
      <c r="H12" s="1365"/>
      <c r="I12" s="1900"/>
      <c r="J12" s="1365"/>
      <c r="K12" s="1365"/>
      <c r="L12" s="1365"/>
      <c r="M12" s="1900"/>
      <c r="N12" s="1365"/>
      <c r="O12" s="1448"/>
      <c r="P12" s="1365"/>
      <c r="Q12" s="1365"/>
      <c r="R12" s="1704"/>
      <c r="S12" s="1902"/>
      <c r="T12" s="1377"/>
      <c r="U12" s="1448"/>
      <c r="V12" s="1900"/>
      <c r="W12" s="1448"/>
      <c r="X12" s="1448"/>
      <c r="Y12" s="1448"/>
      <c r="Z12" s="1679"/>
    </row>
    <row r="13" spans="1:26" ht="12.75" customHeight="1" x14ac:dyDescent="0.2">
      <c r="A13" s="1365"/>
      <c r="B13" s="1900" t="s">
        <v>314</v>
      </c>
      <c r="C13" s="1375">
        <v>-23128</v>
      </c>
      <c r="D13" s="1117">
        <v>-0.29798747648620094</v>
      </c>
      <c r="E13" s="1693"/>
      <c r="F13" s="1417">
        <v>54486</v>
      </c>
      <c r="G13" s="1417">
        <v>83341</v>
      </c>
      <c r="H13" s="1417">
        <v>76972</v>
      </c>
      <c r="I13" s="1418">
        <v>45866</v>
      </c>
      <c r="J13" s="1419">
        <v>77614</v>
      </c>
      <c r="K13" s="1419">
        <v>75278</v>
      </c>
      <c r="L13" s="1417">
        <v>28830</v>
      </c>
      <c r="M13" s="1418">
        <v>34384</v>
      </c>
      <c r="N13" s="1419">
        <v>46243</v>
      </c>
      <c r="O13" s="1448"/>
      <c r="P13" s="1417">
        <v>260665</v>
      </c>
      <c r="Q13" s="1417">
        <v>216106</v>
      </c>
      <c r="R13" s="1421">
        <v>44559</v>
      </c>
      <c r="S13" s="1374">
        <v>0.20619048059748457</v>
      </c>
      <c r="T13" s="1377"/>
      <c r="U13" s="1439">
        <v>260665</v>
      </c>
      <c r="V13" s="1433">
        <v>216106</v>
      </c>
      <c r="W13" s="1456">
        <v>155411</v>
      </c>
      <c r="X13" s="1456">
        <v>131399</v>
      </c>
      <c r="Y13" s="1422">
        <v>204585</v>
      </c>
      <c r="Z13" s="1331"/>
    </row>
    <row r="14" spans="1:26" ht="12.75" customHeight="1" x14ac:dyDescent="0.2">
      <c r="A14" s="1369"/>
      <c r="B14" s="1365"/>
      <c r="C14" s="1375">
        <v>-23128</v>
      </c>
      <c r="D14" s="1117">
        <v>-0.29798747648620094</v>
      </c>
      <c r="E14" s="1693"/>
      <c r="F14" s="1417">
        <v>54486</v>
      </c>
      <c r="G14" s="1417">
        <v>83341</v>
      </c>
      <c r="H14" s="1417">
        <v>76972</v>
      </c>
      <c r="I14" s="1423">
        <v>45866</v>
      </c>
      <c r="J14" s="1417">
        <v>77614</v>
      </c>
      <c r="K14" s="1417">
        <v>75278</v>
      </c>
      <c r="L14" s="1417">
        <v>28830</v>
      </c>
      <c r="M14" s="1423">
        <v>34384</v>
      </c>
      <c r="N14" s="1417">
        <v>46243</v>
      </c>
      <c r="O14" s="1448"/>
      <c r="P14" s="1425">
        <v>260665</v>
      </c>
      <c r="Q14" s="1424">
        <v>216106</v>
      </c>
      <c r="R14" s="1426">
        <v>44559</v>
      </c>
      <c r="S14" s="1373">
        <v>0.20619048059748457</v>
      </c>
      <c r="T14" s="1377"/>
      <c r="U14" s="1637">
        <v>260665</v>
      </c>
      <c r="V14" s="1433">
        <v>216106</v>
      </c>
      <c r="W14" s="1640">
        <v>155411</v>
      </c>
      <c r="X14" s="1640">
        <v>131399</v>
      </c>
      <c r="Y14" s="1427">
        <v>204585</v>
      </c>
      <c r="Z14" s="1331"/>
    </row>
    <row r="15" spans="1:26" ht="12.75" customHeight="1" x14ac:dyDescent="0.2">
      <c r="A15" s="1368" t="s">
        <v>5</v>
      </c>
      <c r="B15" s="1365"/>
      <c r="C15" s="1562"/>
      <c r="D15" s="1135"/>
      <c r="E15" s="1693"/>
      <c r="F15" s="2256"/>
      <c r="G15" s="1429"/>
      <c r="H15" s="1429"/>
      <c r="I15" s="1430"/>
      <c r="J15" s="1428"/>
      <c r="K15" s="1428"/>
      <c r="L15" s="1420"/>
      <c r="M15" s="1418"/>
      <c r="N15" s="1428"/>
      <c r="O15" s="1899"/>
      <c r="P15" s="2281"/>
      <c r="Q15" s="1420"/>
      <c r="R15" s="2441"/>
      <c r="S15" s="1374"/>
      <c r="T15" s="1377"/>
      <c r="U15" s="1641"/>
      <c r="V15" s="2241"/>
      <c r="W15" s="1522"/>
      <c r="X15" s="1522"/>
      <c r="Y15" s="1522"/>
      <c r="Z15" s="1331"/>
    </row>
    <row r="16" spans="1:26" ht="12.75" customHeight="1" x14ac:dyDescent="0.2">
      <c r="A16" s="1369"/>
      <c r="B16" s="945" t="s">
        <v>624</v>
      </c>
      <c r="C16" s="1371">
        <v>-10175</v>
      </c>
      <c r="D16" s="1017">
        <v>-0.26101790570006672</v>
      </c>
      <c r="E16" s="1693"/>
      <c r="F16" s="1341">
        <v>28807</v>
      </c>
      <c r="G16" s="1420">
        <v>41001</v>
      </c>
      <c r="H16" s="1420">
        <v>35643</v>
      </c>
      <c r="I16" s="1418">
        <v>22755</v>
      </c>
      <c r="J16" s="1420">
        <v>38982</v>
      </c>
      <c r="K16" s="1420">
        <v>38948</v>
      </c>
      <c r="L16" s="1420">
        <v>16764</v>
      </c>
      <c r="M16" s="1418">
        <v>17961</v>
      </c>
      <c r="N16" s="1420">
        <v>23804</v>
      </c>
      <c r="O16" s="1448"/>
      <c r="P16" s="1420">
        <v>128206</v>
      </c>
      <c r="Q16" s="1431">
        <v>112655</v>
      </c>
      <c r="R16" s="1421">
        <v>15551</v>
      </c>
      <c r="S16" s="1374">
        <v>0.1380409213971861</v>
      </c>
      <c r="T16" s="1377"/>
      <c r="U16" s="1439">
        <v>128206</v>
      </c>
      <c r="V16" s="2241">
        <v>112655</v>
      </c>
      <c r="W16" s="1641">
        <v>80029</v>
      </c>
      <c r="X16" s="1641">
        <v>68316</v>
      </c>
      <c r="Y16" s="1422">
        <v>99366</v>
      </c>
      <c r="Z16" s="1679"/>
    </row>
    <row r="17" spans="1:26" ht="12.75" customHeight="1" x14ac:dyDescent="0.2">
      <c r="A17" s="1369"/>
      <c r="B17" s="1365" t="s">
        <v>61</v>
      </c>
      <c r="C17" s="1371">
        <v>1042</v>
      </c>
      <c r="D17" s="1017">
        <v>0.79846743295019162</v>
      </c>
      <c r="E17" s="1693"/>
      <c r="F17" s="1343">
        <v>2347</v>
      </c>
      <c r="G17" s="1420">
        <v>1351</v>
      </c>
      <c r="H17" s="1420">
        <v>1333</v>
      </c>
      <c r="I17" s="1418">
        <v>1325</v>
      </c>
      <c r="J17" s="1428">
        <v>1305</v>
      </c>
      <c r="K17" s="1428">
        <v>1322</v>
      </c>
      <c r="L17" s="1420">
        <v>1290</v>
      </c>
      <c r="M17" s="1418">
        <v>1464</v>
      </c>
      <c r="N17" s="1428">
        <v>1350</v>
      </c>
      <c r="O17" s="1440"/>
      <c r="P17" s="1420">
        <v>6356</v>
      </c>
      <c r="Q17" s="1420">
        <v>5381</v>
      </c>
      <c r="R17" s="1436">
        <v>975</v>
      </c>
      <c r="S17" s="1374">
        <v>0.18119308678684259</v>
      </c>
      <c r="T17" s="1904"/>
      <c r="U17" s="1439">
        <v>6356</v>
      </c>
      <c r="V17" s="2241">
        <v>5381</v>
      </c>
      <c r="W17" s="1422">
        <v>5381</v>
      </c>
      <c r="X17" s="1422">
        <v>5982</v>
      </c>
      <c r="Y17" s="1285">
        <v>5226</v>
      </c>
      <c r="Z17" s="1331"/>
    </row>
    <row r="18" spans="1:26" ht="12.75" customHeight="1" x14ac:dyDescent="0.2">
      <c r="A18" s="1369"/>
      <c r="B18" s="1365" t="s">
        <v>88</v>
      </c>
      <c r="C18" s="1371">
        <v>-697</v>
      </c>
      <c r="D18" s="1017">
        <v>-0.20713224368499258</v>
      </c>
      <c r="E18" s="1693"/>
      <c r="F18" s="1343">
        <v>2668</v>
      </c>
      <c r="G18" s="1420">
        <v>4992</v>
      </c>
      <c r="H18" s="1420">
        <v>5124</v>
      </c>
      <c r="I18" s="1418">
        <v>3127</v>
      </c>
      <c r="J18" s="1428">
        <v>3365</v>
      </c>
      <c r="K18" s="1428">
        <v>2657</v>
      </c>
      <c r="L18" s="1420">
        <v>2098</v>
      </c>
      <c r="M18" s="1418">
        <v>2723</v>
      </c>
      <c r="N18" s="1428">
        <v>3256</v>
      </c>
      <c r="O18" s="1440"/>
      <c r="P18" s="1420">
        <v>15911</v>
      </c>
      <c r="Q18" s="1420">
        <v>10843</v>
      </c>
      <c r="R18" s="1436">
        <v>5068</v>
      </c>
      <c r="S18" s="1374">
        <v>0.46739832149774047</v>
      </c>
      <c r="T18" s="1904"/>
      <c r="U18" s="1439">
        <v>15911</v>
      </c>
      <c r="V18" s="2241">
        <v>10843</v>
      </c>
      <c r="W18" s="1422">
        <v>10624</v>
      </c>
      <c r="X18" s="1422">
        <v>9962</v>
      </c>
      <c r="Y18" s="1285">
        <v>15140</v>
      </c>
      <c r="Z18" s="1331"/>
    </row>
    <row r="19" spans="1:26" ht="12.75" customHeight="1" x14ac:dyDescent="0.2">
      <c r="A19" s="1369"/>
      <c r="B19" s="1365" t="s">
        <v>63</v>
      </c>
      <c r="C19" s="1371">
        <v>-218</v>
      </c>
      <c r="D19" s="1017">
        <v>-0.1766612641815235</v>
      </c>
      <c r="E19" s="1693"/>
      <c r="F19" s="1343">
        <v>1016</v>
      </c>
      <c r="G19" s="1420">
        <v>1171</v>
      </c>
      <c r="H19" s="1420">
        <v>1066</v>
      </c>
      <c r="I19" s="1418">
        <v>1024</v>
      </c>
      <c r="J19" s="1428">
        <v>1234</v>
      </c>
      <c r="K19" s="1428">
        <v>1085</v>
      </c>
      <c r="L19" s="1420">
        <v>1110</v>
      </c>
      <c r="M19" s="1418">
        <v>1087</v>
      </c>
      <c r="N19" s="1428">
        <v>1119</v>
      </c>
      <c r="O19" s="1440"/>
      <c r="P19" s="1420">
        <v>4277</v>
      </c>
      <c r="Q19" s="1420">
        <v>4516</v>
      </c>
      <c r="R19" s="1436">
        <v>-239</v>
      </c>
      <c r="S19" s="1374">
        <v>-5.2922940655447295E-2</v>
      </c>
      <c r="T19" s="1904"/>
      <c r="U19" s="1439">
        <v>4277</v>
      </c>
      <c r="V19" s="2241">
        <v>4516</v>
      </c>
      <c r="W19" s="1422">
        <v>4255</v>
      </c>
      <c r="X19" s="1422">
        <v>4465</v>
      </c>
      <c r="Y19" s="1285">
        <v>4530</v>
      </c>
      <c r="Z19" s="1331"/>
    </row>
    <row r="20" spans="1:26" ht="12.75" customHeight="1" x14ac:dyDescent="0.2">
      <c r="A20" s="1369"/>
      <c r="B20" s="1365" t="s">
        <v>64</v>
      </c>
      <c r="C20" s="1371">
        <v>1023</v>
      </c>
      <c r="D20" s="1017">
        <v>0.57601351351351349</v>
      </c>
      <c r="E20" s="1693"/>
      <c r="F20" s="1343">
        <v>2799</v>
      </c>
      <c r="G20" s="1420">
        <v>2931</v>
      </c>
      <c r="H20" s="1420">
        <v>1455</v>
      </c>
      <c r="I20" s="1418">
        <v>1740</v>
      </c>
      <c r="J20" s="1428">
        <v>1776</v>
      </c>
      <c r="K20" s="1428">
        <v>1985</v>
      </c>
      <c r="L20" s="1420">
        <v>2081</v>
      </c>
      <c r="M20" s="1418">
        <v>1588</v>
      </c>
      <c r="N20" s="1428">
        <v>1610</v>
      </c>
      <c r="O20" s="1440"/>
      <c r="P20" s="1420">
        <v>8925</v>
      </c>
      <c r="Q20" s="1420">
        <v>7430</v>
      </c>
      <c r="R20" s="1436">
        <v>1495</v>
      </c>
      <c r="S20" s="1374">
        <v>0.20121130551816957</v>
      </c>
      <c r="T20" s="1904"/>
      <c r="U20" s="1439">
        <v>8925</v>
      </c>
      <c r="V20" s="2241">
        <v>7430</v>
      </c>
      <c r="W20" s="1422">
        <v>6633</v>
      </c>
      <c r="X20" s="1422">
        <v>6457</v>
      </c>
      <c r="Y20" s="1285">
        <v>6429</v>
      </c>
      <c r="Z20" s="1331"/>
    </row>
    <row r="21" spans="1:26" ht="12.75" customHeight="1" x14ac:dyDescent="0.2">
      <c r="A21" s="1369"/>
      <c r="B21" s="1365" t="s">
        <v>59</v>
      </c>
      <c r="C21" s="1371">
        <v>-63</v>
      </c>
      <c r="D21" s="1017">
        <v>-9.3889716840536513E-2</v>
      </c>
      <c r="E21" s="1693"/>
      <c r="F21" s="1343">
        <v>608</v>
      </c>
      <c r="G21" s="1420">
        <v>1189</v>
      </c>
      <c r="H21" s="1420">
        <v>877</v>
      </c>
      <c r="I21" s="1418">
        <v>571</v>
      </c>
      <c r="J21" s="1428">
        <v>671</v>
      </c>
      <c r="K21" s="1428">
        <v>658</v>
      </c>
      <c r="L21" s="1420">
        <v>627</v>
      </c>
      <c r="M21" s="1418">
        <v>541</v>
      </c>
      <c r="N21" s="1428">
        <v>638</v>
      </c>
      <c r="O21" s="1440"/>
      <c r="P21" s="1420">
        <v>3245</v>
      </c>
      <c r="Q21" s="1420">
        <v>2497</v>
      </c>
      <c r="R21" s="1436">
        <v>748</v>
      </c>
      <c r="S21" s="1374">
        <v>0.29955947136563876</v>
      </c>
      <c r="T21" s="1904"/>
      <c r="U21" s="1439">
        <v>3245</v>
      </c>
      <c r="V21" s="2241">
        <v>2497</v>
      </c>
      <c r="W21" s="1422">
        <v>2346</v>
      </c>
      <c r="X21" s="1422">
        <v>3061</v>
      </c>
      <c r="Y21" s="1285">
        <v>5816</v>
      </c>
      <c r="Z21" s="1331"/>
    </row>
    <row r="22" spans="1:26" ht="12.75" customHeight="1" x14ac:dyDescent="0.2">
      <c r="A22" s="1369"/>
      <c r="B22" s="1365" t="s">
        <v>65</v>
      </c>
      <c r="C22" s="1371">
        <v>-1191</v>
      </c>
      <c r="D22" s="1017">
        <v>-0.18238897396630935</v>
      </c>
      <c r="E22" s="1693"/>
      <c r="F22" s="1343">
        <v>5339</v>
      </c>
      <c r="G22" s="1420">
        <v>4740</v>
      </c>
      <c r="H22" s="1420">
        <v>3627</v>
      </c>
      <c r="I22" s="1418">
        <v>3674</v>
      </c>
      <c r="J22" s="1428">
        <v>6530</v>
      </c>
      <c r="K22" s="1428">
        <v>4359</v>
      </c>
      <c r="L22" s="1420">
        <v>3127</v>
      </c>
      <c r="M22" s="1418">
        <v>2704</v>
      </c>
      <c r="N22" s="1428">
        <v>439</v>
      </c>
      <c r="O22" s="1440"/>
      <c r="P22" s="1420">
        <v>17380</v>
      </c>
      <c r="Q22" s="1420">
        <v>16720</v>
      </c>
      <c r="R22" s="1436">
        <v>660</v>
      </c>
      <c r="S22" s="1374">
        <v>3.9473684210526314E-2</v>
      </c>
      <c r="T22" s="1904"/>
      <c r="U22" s="1439">
        <v>17380</v>
      </c>
      <c r="V22" s="2241">
        <v>16720</v>
      </c>
      <c r="W22" s="1422">
        <v>8295</v>
      </c>
      <c r="X22" s="1422">
        <v>9075</v>
      </c>
      <c r="Y22" s="1285">
        <v>11784</v>
      </c>
      <c r="Z22" s="1331"/>
    </row>
    <row r="23" spans="1:26" ht="12.75" customHeight="1" x14ac:dyDescent="0.2">
      <c r="A23" s="1369"/>
      <c r="B23" s="1365" t="s">
        <v>66</v>
      </c>
      <c r="C23" s="1371">
        <v>-252</v>
      </c>
      <c r="D23" s="1017">
        <v>-0.26723223753976671</v>
      </c>
      <c r="E23" s="2220"/>
      <c r="F23" s="1343">
        <v>691</v>
      </c>
      <c r="G23" s="1420">
        <v>739</v>
      </c>
      <c r="H23" s="1420">
        <v>935</v>
      </c>
      <c r="I23" s="1418">
        <v>949</v>
      </c>
      <c r="J23" s="1428">
        <v>943</v>
      </c>
      <c r="K23" s="1001">
        <v>945</v>
      </c>
      <c r="L23" s="1420">
        <v>923</v>
      </c>
      <c r="M23" s="1418">
        <v>853</v>
      </c>
      <c r="N23" s="1428">
        <v>840</v>
      </c>
      <c r="O23" s="1440"/>
      <c r="P23" s="1420">
        <v>3314</v>
      </c>
      <c r="Q23" s="1420">
        <v>3664</v>
      </c>
      <c r="R23" s="1436">
        <v>-350</v>
      </c>
      <c r="S23" s="1374">
        <v>-9.5524017467248909E-2</v>
      </c>
      <c r="T23" s="1904"/>
      <c r="U23" s="1439">
        <v>3314</v>
      </c>
      <c r="V23" s="2241">
        <v>3664</v>
      </c>
      <c r="W23" s="1422">
        <v>3330</v>
      </c>
      <c r="X23" s="1422">
        <v>3449</v>
      </c>
      <c r="Y23" s="1285">
        <v>5315</v>
      </c>
      <c r="Z23" s="1331"/>
    </row>
    <row r="24" spans="1:26" ht="12.75" customHeight="1" x14ac:dyDescent="0.2">
      <c r="A24" s="1365"/>
      <c r="B24" s="1365" t="s">
        <v>67</v>
      </c>
      <c r="C24" s="1371">
        <v>-97</v>
      </c>
      <c r="D24" s="1017">
        <v>-0.88990825688073394</v>
      </c>
      <c r="E24" s="1693"/>
      <c r="F24" s="1343">
        <v>12</v>
      </c>
      <c r="G24" s="1420">
        <v>26</v>
      </c>
      <c r="H24" s="1420">
        <v>27</v>
      </c>
      <c r="I24" s="1418">
        <v>7</v>
      </c>
      <c r="J24" s="1428">
        <v>109</v>
      </c>
      <c r="K24" s="1001">
        <v>15</v>
      </c>
      <c r="L24" s="1420">
        <v>48</v>
      </c>
      <c r="M24" s="1418">
        <v>33</v>
      </c>
      <c r="N24" s="1428">
        <v>45</v>
      </c>
      <c r="O24" s="1440"/>
      <c r="P24" s="1420">
        <v>72</v>
      </c>
      <c r="Q24" s="1420">
        <v>205</v>
      </c>
      <c r="R24" s="1436">
        <v>-133</v>
      </c>
      <c r="S24" s="1374">
        <v>-0.64878048780487807</v>
      </c>
      <c r="T24" s="1904"/>
      <c r="U24" s="1439">
        <v>72</v>
      </c>
      <c r="V24" s="2241">
        <v>205</v>
      </c>
      <c r="W24" s="1422">
        <v>238</v>
      </c>
      <c r="X24" s="1422">
        <v>1844</v>
      </c>
      <c r="Y24" s="1285">
        <v>330</v>
      </c>
      <c r="Z24" s="1331"/>
    </row>
    <row r="25" spans="1:26" ht="12.75" customHeight="1" x14ac:dyDescent="0.2">
      <c r="A25" s="1365"/>
      <c r="B25" s="1365" t="s">
        <v>149</v>
      </c>
      <c r="C25" s="1371">
        <v>0</v>
      </c>
      <c r="D25" s="1017">
        <v>0</v>
      </c>
      <c r="E25" s="1693"/>
      <c r="F25" s="1654">
        <v>0</v>
      </c>
      <c r="G25" s="1420">
        <v>0</v>
      </c>
      <c r="H25" s="1420">
        <v>0</v>
      </c>
      <c r="I25" s="1438">
        <v>0</v>
      </c>
      <c r="J25" s="1001">
        <v>0</v>
      </c>
      <c r="K25" s="1001">
        <v>0</v>
      </c>
      <c r="L25" s="1287">
        <v>2366</v>
      </c>
      <c r="M25" s="1438">
        <v>0</v>
      </c>
      <c r="N25" s="1001">
        <v>0</v>
      </c>
      <c r="O25" s="1439"/>
      <c r="P25" s="1420">
        <v>0</v>
      </c>
      <c r="Q25" s="1420">
        <v>2366</v>
      </c>
      <c r="R25" s="1436">
        <v>-2366</v>
      </c>
      <c r="S25" s="1374">
        <v>-1</v>
      </c>
      <c r="T25" s="1905"/>
      <c r="U25" s="1439">
        <v>0</v>
      </c>
      <c r="V25" s="2241">
        <v>2366</v>
      </c>
      <c r="W25" s="1625">
        <v>0</v>
      </c>
      <c r="X25" s="1422">
        <v>3427</v>
      </c>
      <c r="Y25" s="1285">
        <v>4006</v>
      </c>
      <c r="Z25" s="1331"/>
    </row>
    <row r="26" spans="1:26" ht="12.75" customHeight="1" x14ac:dyDescent="0.2">
      <c r="A26" s="1365"/>
      <c r="B26" s="1365" t="s">
        <v>169</v>
      </c>
      <c r="C26" s="1371">
        <v>0</v>
      </c>
      <c r="D26" s="1017">
        <v>0</v>
      </c>
      <c r="E26" s="1693"/>
      <c r="F26" s="1654">
        <v>0</v>
      </c>
      <c r="G26" s="1420">
        <v>0</v>
      </c>
      <c r="H26" s="1420">
        <v>0</v>
      </c>
      <c r="I26" s="1438">
        <v>1173</v>
      </c>
      <c r="J26" s="1001">
        <v>0</v>
      </c>
      <c r="K26" s="1001">
        <v>0</v>
      </c>
      <c r="L26" s="1287">
        <v>0</v>
      </c>
      <c r="M26" s="1438">
        <v>0</v>
      </c>
      <c r="N26" s="1001">
        <v>0</v>
      </c>
      <c r="O26" s="1439"/>
      <c r="P26" s="1420">
        <v>1173</v>
      </c>
      <c r="Q26" s="1420">
        <v>0</v>
      </c>
      <c r="R26" s="1436">
        <v>1173</v>
      </c>
      <c r="S26" s="1374" t="s">
        <v>38</v>
      </c>
      <c r="T26" s="1905"/>
      <c r="U26" s="1439">
        <v>1173</v>
      </c>
      <c r="V26" s="2241">
        <v>0</v>
      </c>
      <c r="W26" s="1625">
        <v>0</v>
      </c>
      <c r="X26" s="1625">
        <v>0</v>
      </c>
      <c r="Y26" s="1442">
        <v>0</v>
      </c>
      <c r="Z26" s="1331"/>
    </row>
    <row r="27" spans="1:26" ht="12.75" customHeight="1" x14ac:dyDescent="0.2">
      <c r="A27" s="1365"/>
      <c r="B27" s="1126" t="s">
        <v>625</v>
      </c>
      <c r="C27" s="1371">
        <v>-11657</v>
      </c>
      <c r="D27" s="1017">
        <v>-1</v>
      </c>
      <c r="E27" s="1693"/>
      <c r="F27" s="1654">
        <v>0</v>
      </c>
      <c r="G27" s="1444">
        <v>0</v>
      </c>
      <c r="H27" s="1444">
        <v>0</v>
      </c>
      <c r="I27" s="1445">
        <v>0</v>
      </c>
      <c r="J27" s="1387">
        <v>11657</v>
      </c>
      <c r="K27" s="1387">
        <v>0</v>
      </c>
      <c r="L27" s="1444">
        <v>0</v>
      </c>
      <c r="M27" s="1445">
        <v>0</v>
      </c>
      <c r="N27" s="1001">
        <v>0</v>
      </c>
      <c r="O27" s="1440"/>
      <c r="P27" s="1420">
        <v>0</v>
      </c>
      <c r="Q27" s="1420">
        <v>11657</v>
      </c>
      <c r="R27" s="1436">
        <v>-11657</v>
      </c>
      <c r="S27" s="1374">
        <v>0</v>
      </c>
      <c r="T27" s="1904"/>
      <c r="U27" s="1439">
        <v>0</v>
      </c>
      <c r="V27" s="2241">
        <v>11657</v>
      </c>
      <c r="W27" s="1625">
        <v>0</v>
      </c>
      <c r="X27" s="1625">
        <v>0</v>
      </c>
      <c r="Y27" s="1442">
        <v>0</v>
      </c>
      <c r="Z27" s="1331"/>
    </row>
    <row r="28" spans="1:26" ht="12.75" customHeight="1" x14ac:dyDescent="0.2">
      <c r="A28" s="1369"/>
      <c r="B28" s="1365"/>
      <c r="C28" s="1372">
        <v>-22285</v>
      </c>
      <c r="D28" s="1115">
        <v>-0.33475034549059662</v>
      </c>
      <c r="E28" s="1693"/>
      <c r="F28" s="1342">
        <v>44287</v>
      </c>
      <c r="G28" s="1424">
        <v>58140</v>
      </c>
      <c r="H28" s="1424">
        <v>50087</v>
      </c>
      <c r="I28" s="1430">
        <v>36345</v>
      </c>
      <c r="J28" s="1424">
        <v>66572</v>
      </c>
      <c r="K28" s="1424">
        <v>51974</v>
      </c>
      <c r="L28" s="1424">
        <v>30434</v>
      </c>
      <c r="M28" s="1430">
        <v>28954</v>
      </c>
      <c r="N28" s="1424">
        <v>33101</v>
      </c>
      <c r="O28" s="1448"/>
      <c r="P28" s="1424">
        <v>188859</v>
      </c>
      <c r="Q28" s="1424">
        <v>177934</v>
      </c>
      <c r="R28" s="1449">
        <v>10925</v>
      </c>
      <c r="S28" s="1450">
        <v>6.1399170478941632E-2</v>
      </c>
      <c r="T28" s="1365"/>
      <c r="U28" s="1637">
        <v>188859</v>
      </c>
      <c r="V28" s="1423">
        <v>177934</v>
      </c>
      <c r="W28" s="1637">
        <v>121131</v>
      </c>
      <c r="X28" s="1637">
        <v>266038</v>
      </c>
      <c r="Y28" s="1451">
        <v>157942</v>
      </c>
      <c r="Z28" s="1331"/>
    </row>
    <row r="29" spans="1:26" s="1772" customFormat="1" ht="24.95" customHeight="1" x14ac:dyDescent="0.2">
      <c r="A29" s="2394" t="s">
        <v>168</v>
      </c>
      <c r="B29" s="2393"/>
      <c r="C29" s="1372">
        <v>-843</v>
      </c>
      <c r="D29" s="1115">
        <v>-7.6344865060677419E-2</v>
      </c>
      <c r="E29" s="1693"/>
      <c r="F29" s="1347">
        <v>10199</v>
      </c>
      <c r="G29" s="1452">
        <v>25201</v>
      </c>
      <c r="H29" s="1452">
        <v>26885</v>
      </c>
      <c r="I29" s="1453">
        <v>9521</v>
      </c>
      <c r="J29" s="1452">
        <v>11042</v>
      </c>
      <c r="K29" s="1452">
        <v>23304</v>
      </c>
      <c r="L29" s="1452">
        <v>-1604</v>
      </c>
      <c r="M29" s="1453">
        <v>5430</v>
      </c>
      <c r="N29" s="1452">
        <v>13142</v>
      </c>
      <c r="O29" s="1448"/>
      <c r="P29" s="1452">
        <v>71806</v>
      </c>
      <c r="Q29" s="1452">
        <v>38172</v>
      </c>
      <c r="R29" s="1269">
        <v>33634</v>
      </c>
      <c r="S29" s="1373">
        <v>0.88111704914597089</v>
      </c>
      <c r="T29" s="1365"/>
      <c r="U29" s="1439">
        <v>71806</v>
      </c>
      <c r="V29" s="1453">
        <v>38172</v>
      </c>
      <c r="W29" s="1638">
        <v>34280</v>
      </c>
      <c r="X29" s="1638">
        <v>-134639</v>
      </c>
      <c r="Y29" s="1427">
        <v>46643</v>
      </c>
      <c r="Z29" s="1884"/>
    </row>
    <row r="30" spans="1:26" s="1772" customFormat="1" ht="12.75" customHeight="1" x14ac:dyDescent="0.2">
      <c r="A30" s="1953"/>
      <c r="B30" s="1707" t="s">
        <v>317</v>
      </c>
      <c r="C30" s="1372">
        <v>1594</v>
      </c>
      <c r="D30" s="1115">
        <v>0.61735089078233929</v>
      </c>
      <c r="E30" s="1693"/>
      <c r="F30" s="1346">
        <v>4176</v>
      </c>
      <c r="G30" s="1447">
        <v>3040</v>
      </c>
      <c r="H30" s="1447">
        <v>2524</v>
      </c>
      <c r="I30" s="1438">
        <v>2718</v>
      </c>
      <c r="J30" s="1447">
        <v>2582</v>
      </c>
      <c r="K30" s="1447">
        <v>2357</v>
      </c>
      <c r="L30" s="1447">
        <v>2397</v>
      </c>
      <c r="M30" s="1438">
        <v>2823</v>
      </c>
      <c r="N30" s="1447">
        <v>3664</v>
      </c>
      <c r="O30" s="1454"/>
      <c r="P30" s="1420">
        <v>12458</v>
      </c>
      <c r="Q30" s="1452">
        <v>10159</v>
      </c>
      <c r="R30" s="1130">
        <v>2299</v>
      </c>
      <c r="S30" s="2262">
        <v>0.22630180135840142</v>
      </c>
      <c r="T30" s="1468"/>
      <c r="U30" s="1637">
        <v>12458</v>
      </c>
      <c r="V30" s="1453">
        <v>10159</v>
      </c>
      <c r="W30" s="1422">
        <v>12271</v>
      </c>
      <c r="X30" s="1422">
        <v>12074</v>
      </c>
      <c r="Y30" s="1456">
        <v>9508</v>
      </c>
      <c r="Z30" s="1884"/>
    </row>
    <row r="31" spans="1:26" s="1772" customFormat="1" ht="13.5" thickBot="1" x14ac:dyDescent="0.25">
      <c r="A31" s="2394" t="s">
        <v>69</v>
      </c>
      <c r="B31" s="2414"/>
      <c r="C31" s="1380">
        <v>-2437</v>
      </c>
      <c r="D31" s="1125">
        <v>-0.28806146572104019</v>
      </c>
      <c r="E31" s="1693"/>
      <c r="F31" s="1351">
        <v>6023</v>
      </c>
      <c r="G31" s="1458">
        <v>22161</v>
      </c>
      <c r="H31" s="1458">
        <v>24361</v>
      </c>
      <c r="I31" s="1459">
        <v>6803</v>
      </c>
      <c r="J31" s="1458">
        <v>8460</v>
      </c>
      <c r="K31" s="1458">
        <v>20947</v>
      </c>
      <c r="L31" s="1458">
        <v>-4001</v>
      </c>
      <c r="M31" s="1459">
        <v>2607</v>
      </c>
      <c r="N31" s="1458">
        <v>9478</v>
      </c>
      <c r="O31" s="1454"/>
      <c r="P31" s="1458">
        <v>59348</v>
      </c>
      <c r="Q31" s="1458">
        <v>28013</v>
      </c>
      <c r="R31" s="1294">
        <v>31335</v>
      </c>
      <c r="S31" s="1381">
        <v>1.1185877985221147</v>
      </c>
      <c r="T31" s="1468"/>
      <c r="U31" s="2243">
        <v>59348</v>
      </c>
      <c r="V31" s="1459">
        <v>28013</v>
      </c>
      <c r="W31" s="1639">
        <v>22009</v>
      </c>
      <c r="X31" s="1639">
        <v>-146713</v>
      </c>
      <c r="Y31" s="1460">
        <v>37135</v>
      </c>
      <c r="Z31" s="1884"/>
    </row>
    <row r="32" spans="1:26" ht="12.75" customHeight="1" thickTop="1" x14ac:dyDescent="0.2">
      <c r="A32" s="1377"/>
      <c r="B32" s="1377"/>
      <c r="C32" s="1382"/>
      <c r="D32" s="1383"/>
      <c r="E32" s="1352"/>
      <c r="F32" s="1352"/>
      <c r="G32" s="1461"/>
      <c r="H32" s="1461"/>
      <c r="I32" s="1365"/>
      <c r="J32" s="1383"/>
      <c r="K32" s="1461"/>
      <c r="L32" s="1461"/>
      <c r="M32" s="1365"/>
      <c r="N32" s="1383"/>
      <c r="O32" s="1365"/>
      <c r="P32" s="1365"/>
      <c r="Q32" s="1365"/>
      <c r="R32" s="2155"/>
      <c r="S32" s="1383"/>
      <c r="T32" s="1365"/>
      <c r="U32" s="1365"/>
      <c r="V32" s="1365"/>
      <c r="W32" s="1365"/>
      <c r="X32" s="1365"/>
      <c r="Y32" s="1365"/>
      <c r="Z32" s="1331"/>
    </row>
    <row r="33" spans="1:26" ht="12.75" customHeight="1" x14ac:dyDescent="0.2">
      <c r="A33" s="1386" t="s">
        <v>71</v>
      </c>
      <c r="B33" s="1386"/>
      <c r="C33" s="1384">
        <v>2.6449873515858924</v>
      </c>
      <c r="D33" s="1383"/>
      <c r="E33" s="1352"/>
      <c r="F33" s="1353">
        <v>0.52870462137062735</v>
      </c>
      <c r="G33" s="1397">
        <v>0.49196673906000649</v>
      </c>
      <c r="H33" s="1397">
        <v>0.46306449098373437</v>
      </c>
      <c r="I33" s="1397">
        <v>0.49611912963851218</v>
      </c>
      <c r="J33" s="1397">
        <v>0.50225474785476842</v>
      </c>
      <c r="K33" s="1397">
        <v>0.51738887855681603</v>
      </c>
      <c r="L33" s="1397">
        <v>0.58147762747138398</v>
      </c>
      <c r="M33" s="1397">
        <v>0.52236505351326201</v>
      </c>
      <c r="N33" s="1397">
        <v>0.51475899054992102</v>
      </c>
      <c r="O33" s="1365"/>
      <c r="P33" s="1397">
        <v>0.49184201945025224</v>
      </c>
      <c r="Q33" s="1397">
        <v>0.52129510517986544</v>
      </c>
      <c r="R33" s="1384">
        <v>-2.9453085729613191</v>
      </c>
      <c r="S33" s="1383"/>
      <c r="T33" s="1365"/>
      <c r="U33" s="1397">
        <v>0.49184201945025224</v>
      </c>
      <c r="V33" s="1397">
        <v>0.52129510517986544</v>
      </c>
      <c r="W33" s="1397">
        <v>0.51495067916685433</v>
      </c>
      <c r="X33" s="1397">
        <v>0.51991263251622921</v>
      </c>
      <c r="Y33" s="1397">
        <v>0.48569543221643813</v>
      </c>
      <c r="Z33" s="1331"/>
    </row>
    <row r="34" spans="1:26" ht="12.75" customHeight="1" x14ac:dyDescent="0.2">
      <c r="A34" s="1129" t="s">
        <v>627</v>
      </c>
      <c r="B34" s="1386"/>
      <c r="C34" s="1384">
        <v>5.2711182050427237</v>
      </c>
      <c r="D34" s="1383"/>
      <c r="E34" s="1352"/>
      <c r="F34" s="1353">
        <v>0.57177990676504054</v>
      </c>
      <c r="G34" s="1397">
        <v>0.50817724769321226</v>
      </c>
      <c r="H34" s="1397">
        <v>0.48038247674479029</v>
      </c>
      <c r="I34" s="1397">
        <v>0.52500763092486813</v>
      </c>
      <c r="J34" s="1397">
        <v>0.51906872471461329</v>
      </c>
      <c r="K34" s="1397">
        <v>0.53495045033077393</v>
      </c>
      <c r="L34" s="1397">
        <v>0.6262226847034339</v>
      </c>
      <c r="M34" s="1397">
        <v>0.56494299674267101</v>
      </c>
      <c r="N34" s="1397">
        <v>0.54395259823108366</v>
      </c>
      <c r="O34" s="1365"/>
      <c r="P34" s="1397">
        <v>0.51622580707037768</v>
      </c>
      <c r="Q34" s="1397">
        <v>0.54619492286192883</v>
      </c>
      <c r="R34" s="1384">
        <v>-2.9969115791551149</v>
      </c>
      <c r="S34" s="1383"/>
      <c r="T34" s="1365"/>
      <c r="U34" s="1397">
        <v>0.51622580707037768</v>
      </c>
      <c r="V34" s="1397">
        <v>0.54619492286192883</v>
      </c>
      <c r="W34" s="1397">
        <v>0.54957499790877096</v>
      </c>
      <c r="X34" s="1397">
        <v>0.56543809313617299</v>
      </c>
      <c r="Y34" s="1397">
        <v>0.51123982696678638</v>
      </c>
      <c r="Z34" s="1331"/>
    </row>
    <row r="35" spans="1:26" ht="12.75" customHeight="1" x14ac:dyDescent="0.2">
      <c r="A35" s="1386" t="s">
        <v>72</v>
      </c>
      <c r="B35" s="1386"/>
      <c r="C35" s="1384">
        <v>-9.7628733629927105</v>
      </c>
      <c r="D35" s="1383"/>
      <c r="E35" s="1352"/>
      <c r="F35" s="1353">
        <v>0.24103439415629704</v>
      </c>
      <c r="G35" s="1397">
        <v>0.18943857165140807</v>
      </c>
      <c r="H35" s="1397">
        <v>0.17033466715169152</v>
      </c>
      <c r="I35" s="1397">
        <v>0.26740941002049451</v>
      </c>
      <c r="J35" s="1397">
        <v>0.33866312778622415</v>
      </c>
      <c r="K35" s="1397">
        <v>0.15547703180212014</v>
      </c>
      <c r="L35" s="1397">
        <v>0.42941380506416926</v>
      </c>
      <c r="M35" s="1397">
        <v>0.27713471382038157</v>
      </c>
      <c r="N35" s="1397">
        <v>0.17185303721644357</v>
      </c>
      <c r="O35" s="1365"/>
      <c r="P35" s="1397">
        <v>0.20830184336216984</v>
      </c>
      <c r="Q35" s="1397">
        <v>0.27716953717157322</v>
      </c>
      <c r="R35" s="1384">
        <v>-6.8867693809403381</v>
      </c>
      <c r="S35" s="1383"/>
      <c r="T35" s="1365"/>
      <c r="U35" s="1397">
        <v>0.20830184336216984</v>
      </c>
      <c r="V35" s="1397">
        <v>0.27716953717157322</v>
      </c>
      <c r="W35" s="1397">
        <v>0.22984859501579682</v>
      </c>
      <c r="X35" s="1397">
        <v>1.459219628764298</v>
      </c>
      <c r="Y35" s="1397">
        <v>0.26077180633966324</v>
      </c>
      <c r="Z35" s="1331"/>
    </row>
    <row r="36" spans="1:26" ht="12.75" customHeight="1" x14ac:dyDescent="0.2">
      <c r="A36" s="1386" t="s">
        <v>73</v>
      </c>
      <c r="B36" s="1386"/>
      <c r="C36" s="1384">
        <v>-4.4917551579499948</v>
      </c>
      <c r="D36" s="1383"/>
      <c r="E36" s="1352"/>
      <c r="F36" s="1353">
        <v>0.81281430092133755</v>
      </c>
      <c r="G36" s="1397">
        <v>0.69761581934462025</v>
      </c>
      <c r="H36" s="1397">
        <v>0.65071714389648183</v>
      </c>
      <c r="I36" s="1397">
        <v>0.79241704094536258</v>
      </c>
      <c r="J36" s="1397">
        <v>0.8577318525008375</v>
      </c>
      <c r="K36" s="1397">
        <v>0.69042748213289407</v>
      </c>
      <c r="L36" s="1397">
        <v>1.0556364897676032</v>
      </c>
      <c r="M36" s="1397">
        <v>0.84207771056305258</v>
      </c>
      <c r="N36" s="1397">
        <v>0.71580563544752718</v>
      </c>
      <c r="O36" s="1365"/>
      <c r="P36" s="1397">
        <v>0.72452765043254752</v>
      </c>
      <c r="Q36" s="1397">
        <v>0.82336446003350205</v>
      </c>
      <c r="R36" s="1384">
        <v>-9.8836809600954538</v>
      </c>
      <c r="S36" s="1383"/>
      <c r="T36" s="1365"/>
      <c r="U36" s="1397">
        <v>0.72452765043254752</v>
      </c>
      <c r="V36" s="1397">
        <v>0.82336446003350205</v>
      </c>
      <c r="W36" s="1397">
        <v>0.77942359292456775</v>
      </c>
      <c r="X36" s="1397">
        <v>2.0246577219004709</v>
      </c>
      <c r="Y36" s="1397">
        <v>0.77201163330644962</v>
      </c>
      <c r="Z36" s="1331"/>
    </row>
    <row r="37" spans="1:26" ht="12.75" customHeight="1" x14ac:dyDescent="0.2">
      <c r="A37" s="1386" t="s">
        <v>167</v>
      </c>
      <c r="B37" s="1386"/>
      <c r="C37" s="1384">
        <v>4.4917551579499895</v>
      </c>
      <c r="D37" s="1383"/>
      <c r="E37" s="1352"/>
      <c r="F37" s="1353">
        <v>0.18718569907866242</v>
      </c>
      <c r="G37" s="1397">
        <v>0.3023841806553797</v>
      </c>
      <c r="H37" s="1397">
        <v>0.34928285610351817</v>
      </c>
      <c r="I37" s="1397">
        <v>0.20758295905463742</v>
      </c>
      <c r="J37" s="1397">
        <v>0.14226814749916253</v>
      </c>
      <c r="K37" s="1397">
        <v>0.30957251786710593</v>
      </c>
      <c r="L37" s="1397">
        <v>-5.5636489767603194E-2</v>
      </c>
      <c r="M37" s="1397">
        <v>0.15792228943694742</v>
      </c>
      <c r="N37" s="1397">
        <v>0.28419436455247282</v>
      </c>
      <c r="O37" s="1365"/>
      <c r="P37" s="1397">
        <v>0.27547234956745248</v>
      </c>
      <c r="Q37" s="1397">
        <v>0.17663553996649792</v>
      </c>
      <c r="R37" s="1384">
        <v>9.8836809600954556</v>
      </c>
      <c r="S37" s="1383"/>
      <c r="T37" s="1365"/>
      <c r="U37" s="1397">
        <v>0.27547234956745248</v>
      </c>
      <c r="V37" s="1397">
        <v>0.17663553996649792</v>
      </c>
      <c r="W37" s="1397">
        <v>0.22057640707543225</v>
      </c>
      <c r="X37" s="1397">
        <v>-1.0246577219004711</v>
      </c>
      <c r="Y37" s="1397">
        <v>0.22798836669355035</v>
      </c>
      <c r="Z37" s="1331"/>
    </row>
    <row r="38" spans="1:26" ht="12.75" customHeight="1" x14ac:dyDescent="0.2">
      <c r="A38" s="1386" t="s">
        <v>74</v>
      </c>
      <c r="B38" s="1386"/>
      <c r="C38" s="1384">
        <v>0.15412041822350786</v>
      </c>
      <c r="D38" s="1383"/>
      <c r="E38" s="1352"/>
      <c r="F38" s="1353">
        <v>0.1105421576184708</v>
      </c>
      <c r="G38" s="1397">
        <v>0.2659075365066414</v>
      </c>
      <c r="H38" s="1397">
        <v>0.31649171127163123</v>
      </c>
      <c r="I38" s="1397">
        <v>0.14832337679326735</v>
      </c>
      <c r="J38" s="1397">
        <v>0.10900095343623573</v>
      </c>
      <c r="K38" s="1397">
        <v>0.27826190918993599</v>
      </c>
      <c r="L38" s="1397">
        <v>-0.13877904960110996</v>
      </c>
      <c r="M38" s="1397">
        <v>7.5820148906468127E-2</v>
      </c>
      <c r="N38" s="1397">
        <v>0.20496075081633977</v>
      </c>
      <c r="O38" s="1464"/>
      <c r="P38" s="1397">
        <v>0.22767920511000711</v>
      </c>
      <c r="Q38" s="1397">
        <v>0.12962620195644731</v>
      </c>
      <c r="R38" s="1384">
        <v>9.8053003153559803</v>
      </c>
      <c r="S38" s="1383"/>
      <c r="T38" s="1464"/>
      <c r="U38" s="1397">
        <v>0.22767920511000711</v>
      </c>
      <c r="V38" s="1397">
        <v>0.12962620195644731</v>
      </c>
      <c r="W38" s="1397">
        <v>0.14161803218562394</v>
      </c>
      <c r="X38" s="1397">
        <v>-1.1165457880196958</v>
      </c>
      <c r="Y38" s="1397">
        <v>0.18151379622161937</v>
      </c>
      <c r="Z38" s="1331"/>
    </row>
    <row r="39" spans="1:26" ht="12.75" customHeight="1" x14ac:dyDescent="0.2">
      <c r="A39" s="1386"/>
      <c r="B39" s="1386"/>
      <c r="C39" s="1384"/>
      <c r="D39" s="1383"/>
      <c r="E39" s="1352"/>
      <c r="F39" s="1352"/>
      <c r="G39" s="1383"/>
      <c r="H39" s="1383"/>
      <c r="I39" s="1383"/>
      <c r="J39" s="1383"/>
      <c r="K39" s="1383"/>
      <c r="L39" s="1383"/>
      <c r="M39" s="1383"/>
      <c r="N39" s="1383"/>
      <c r="O39" s="1365"/>
      <c r="P39" s="1365"/>
      <c r="Q39" s="1365"/>
      <c r="R39" s="1421"/>
      <c r="S39" s="1383"/>
      <c r="T39" s="1365"/>
      <c r="U39" s="1365"/>
      <c r="V39" s="1365"/>
      <c r="W39" s="1365"/>
      <c r="X39" s="1365"/>
      <c r="Y39" s="1463"/>
      <c r="Z39" s="1331"/>
    </row>
    <row r="40" spans="1:26" ht="12.75" customHeight="1" x14ac:dyDescent="0.2">
      <c r="A40" s="1386" t="s">
        <v>84</v>
      </c>
      <c r="B40" s="1386"/>
      <c r="C40" s="1387">
        <v>66</v>
      </c>
      <c r="D40" s="951">
        <v>0.34920634920634919</v>
      </c>
      <c r="E40" s="1352"/>
      <c r="F40" s="1086">
        <v>255</v>
      </c>
      <c r="G40" s="1130">
        <v>248</v>
      </c>
      <c r="H40" s="1130">
        <v>248</v>
      </c>
      <c r="I40" s="1130">
        <v>244</v>
      </c>
      <c r="J40" s="1130">
        <v>189</v>
      </c>
      <c r="K40" s="1130">
        <v>189</v>
      </c>
      <c r="L40" s="1130">
        <v>194</v>
      </c>
      <c r="M40" s="1130">
        <v>190</v>
      </c>
      <c r="N40" s="1130">
        <v>178</v>
      </c>
      <c r="O40" s="1365"/>
      <c r="P40" s="1186">
        <v>255</v>
      </c>
      <c r="Q40" s="1186">
        <v>189</v>
      </c>
      <c r="R40" s="1421">
        <v>66</v>
      </c>
      <c r="S40" s="1383">
        <v>0.34920634920634919</v>
      </c>
      <c r="T40" s="1365"/>
      <c r="U40" s="1186">
        <v>255</v>
      </c>
      <c r="V40" s="1186">
        <v>189</v>
      </c>
      <c r="W40" s="1186">
        <v>178</v>
      </c>
      <c r="X40" s="1186">
        <v>180</v>
      </c>
      <c r="Y40" s="1186">
        <v>201</v>
      </c>
      <c r="Z40" s="1331"/>
    </row>
    <row r="41" spans="1:26" x14ac:dyDescent="0.2">
      <c r="A41" s="1365"/>
      <c r="B41" s="1365"/>
      <c r="C41" s="1365"/>
      <c r="D41" s="1365"/>
      <c r="E41" s="1332"/>
      <c r="F41" s="1332"/>
      <c r="G41" s="1365"/>
      <c r="H41" s="1365"/>
      <c r="I41" s="1365"/>
      <c r="J41" s="1365"/>
      <c r="K41" s="1365"/>
      <c r="L41" s="1365"/>
      <c r="M41" s="1365"/>
      <c r="N41" s="1365"/>
      <c r="O41" s="1365"/>
      <c r="P41" s="1365"/>
      <c r="Q41" s="1365"/>
      <c r="R41" s="1704"/>
      <c r="S41" s="1704"/>
      <c r="T41" s="1365"/>
      <c r="U41" s="1365"/>
      <c r="V41" s="1365"/>
      <c r="W41" s="1365"/>
      <c r="X41" s="1365"/>
      <c r="Y41" s="1365"/>
      <c r="Z41" s="1331"/>
    </row>
    <row r="42" spans="1:26" ht="15" x14ac:dyDescent="0.2">
      <c r="A42" s="1907" t="s">
        <v>622</v>
      </c>
      <c r="B42" s="1365"/>
      <c r="C42" s="1377"/>
      <c r="D42" s="1377"/>
      <c r="E42" s="1332"/>
      <c r="F42" s="1332"/>
      <c r="G42" s="1365"/>
      <c r="H42" s="1365"/>
      <c r="I42" s="1365"/>
      <c r="J42" s="1365"/>
      <c r="K42" s="1365"/>
      <c r="L42" s="1365"/>
      <c r="M42" s="1365"/>
      <c r="N42" s="1365"/>
      <c r="O42" s="1377"/>
      <c r="P42" s="1377"/>
      <c r="Q42" s="1377"/>
      <c r="R42" s="1704"/>
      <c r="S42" s="1704"/>
      <c r="T42" s="1377"/>
      <c r="U42" s="1377"/>
      <c r="V42" s="1377"/>
      <c r="W42" s="1377"/>
      <c r="X42" s="1377"/>
      <c r="Y42" s="1377"/>
      <c r="Z42" s="1331"/>
    </row>
    <row r="43" spans="1:26" x14ac:dyDescent="0.2">
      <c r="A43" s="1908"/>
      <c r="B43" s="1365"/>
      <c r="C43" s="1377"/>
      <c r="D43" s="1377"/>
      <c r="E43" s="1332"/>
      <c r="F43" s="1332"/>
      <c r="G43" s="1544"/>
      <c r="H43" s="1544"/>
      <c r="I43" s="1365"/>
      <c r="J43" s="1365"/>
      <c r="K43" s="1544"/>
      <c r="L43" s="1544"/>
      <c r="M43" s="1365"/>
      <c r="N43" s="1365"/>
      <c r="O43" s="1377"/>
      <c r="P43" s="1377"/>
      <c r="Q43" s="1377"/>
      <c r="R43" s="1704"/>
      <c r="S43" s="1704"/>
      <c r="T43" s="1377"/>
      <c r="U43" s="1377"/>
      <c r="V43" s="1377"/>
      <c r="W43" s="1377"/>
      <c r="X43" s="1377"/>
      <c r="Y43" s="1377"/>
      <c r="Z43" s="1331"/>
    </row>
    <row r="44" spans="1:26" ht="12.75" customHeight="1" x14ac:dyDescent="0.2">
      <c r="A44" s="1364"/>
      <c r="B44" s="1365"/>
      <c r="C44" s="2410" t="s">
        <v>667</v>
      </c>
      <c r="D44" s="2411"/>
      <c r="E44" s="1333"/>
      <c r="F44" s="1885"/>
      <c r="G44" s="1363"/>
      <c r="H44" s="1363"/>
      <c r="I44" s="1892"/>
      <c r="J44" s="1893"/>
      <c r="K44" s="1893"/>
      <c r="L44" s="1363"/>
      <c r="M44" s="1892"/>
      <c r="N44" s="1893"/>
      <c r="O44" s="1404"/>
      <c r="P44" s="2410" t="s">
        <v>668</v>
      </c>
      <c r="Q44" s="2415"/>
      <c r="R44" s="981" t="s">
        <v>551</v>
      </c>
      <c r="S44" s="982"/>
      <c r="T44" s="1405"/>
      <c r="U44" s="1406"/>
      <c r="V44" s="1406"/>
      <c r="W44" s="1406"/>
      <c r="X44" s="1406"/>
      <c r="Y44" s="1406"/>
      <c r="Z44" s="1679"/>
    </row>
    <row r="45" spans="1:26" ht="12.75" customHeight="1" x14ac:dyDescent="0.2">
      <c r="A45" s="1364" t="s">
        <v>2</v>
      </c>
      <c r="B45" s="1365"/>
      <c r="C45" s="2412" t="s">
        <v>35</v>
      </c>
      <c r="D45" s="2413"/>
      <c r="E45" s="1335"/>
      <c r="F45" s="906" t="s">
        <v>546</v>
      </c>
      <c r="G45" s="985" t="s">
        <v>547</v>
      </c>
      <c r="H45" s="985" t="s">
        <v>548</v>
      </c>
      <c r="I45" s="986" t="s">
        <v>549</v>
      </c>
      <c r="J45" s="985" t="s">
        <v>497</v>
      </c>
      <c r="K45" s="985" t="s">
        <v>496</v>
      </c>
      <c r="L45" s="985" t="s">
        <v>495</v>
      </c>
      <c r="M45" s="986" t="s">
        <v>494</v>
      </c>
      <c r="N45" s="985" t="s">
        <v>363</v>
      </c>
      <c r="O45" s="1454"/>
      <c r="P45" s="1566" t="s">
        <v>546</v>
      </c>
      <c r="Q45" s="983" t="s">
        <v>497</v>
      </c>
      <c r="R45" s="2310" t="s">
        <v>35</v>
      </c>
      <c r="S45" s="2311"/>
      <c r="T45" s="1468"/>
      <c r="U45" s="989" t="s">
        <v>550</v>
      </c>
      <c r="V45" s="988" t="s">
        <v>498</v>
      </c>
      <c r="W45" s="987" t="s">
        <v>490</v>
      </c>
      <c r="X45" s="987" t="s">
        <v>360</v>
      </c>
      <c r="Y45" s="987" t="s">
        <v>342</v>
      </c>
      <c r="Z45" s="1679"/>
    </row>
    <row r="46" spans="1:26" ht="12.75" customHeight="1" x14ac:dyDescent="0.2">
      <c r="A46" s="1910"/>
      <c r="B46" s="1365" t="s">
        <v>4</v>
      </c>
      <c r="C46" s="1562">
        <v>-23128</v>
      </c>
      <c r="D46" s="1135">
        <v>-0.29798747648620094</v>
      </c>
      <c r="E46" s="1901"/>
      <c r="F46" s="1094">
        <v>54486</v>
      </c>
      <c r="G46" s="1469">
        <v>83341</v>
      </c>
      <c r="H46" s="1469">
        <v>76972</v>
      </c>
      <c r="I46" s="1489">
        <v>45866</v>
      </c>
      <c r="J46" s="1186">
        <v>77614</v>
      </c>
      <c r="K46" s="1186">
        <v>75278</v>
      </c>
      <c r="L46" s="1469">
        <v>28830</v>
      </c>
      <c r="M46" s="1489">
        <v>34384</v>
      </c>
      <c r="N46" s="1186">
        <v>46243</v>
      </c>
      <c r="O46" s="1899"/>
      <c r="P46" s="2162">
        <v>260665</v>
      </c>
      <c r="Q46" s="1521">
        <v>216106</v>
      </c>
      <c r="R46" s="1449">
        <v>44559</v>
      </c>
      <c r="S46" s="1475">
        <v>0.20619048059748457</v>
      </c>
      <c r="T46" s="1377"/>
      <c r="U46" s="2244">
        <v>260665</v>
      </c>
      <c r="V46" s="1642">
        <v>216106</v>
      </c>
      <c r="W46" s="1422">
        <v>155411</v>
      </c>
      <c r="X46" s="1422">
        <v>131399</v>
      </c>
      <c r="Y46" s="1493">
        <v>204585</v>
      </c>
      <c r="Z46" s="1679"/>
    </row>
    <row r="47" spans="1:26" ht="12.75" customHeight="1" x14ac:dyDescent="0.2">
      <c r="A47" s="1377"/>
      <c r="B47" s="1365" t="s">
        <v>77</v>
      </c>
      <c r="C47" s="1371">
        <v>-10688</v>
      </c>
      <c r="D47" s="1017">
        <v>-0.19669838231775769</v>
      </c>
      <c r="E47" s="1356"/>
      <c r="F47" s="1094">
        <v>43649</v>
      </c>
      <c r="G47" s="1469">
        <v>57502</v>
      </c>
      <c r="H47" s="1469">
        <v>49449</v>
      </c>
      <c r="I47" s="1489">
        <v>34594</v>
      </c>
      <c r="J47" s="1186">
        <v>54337</v>
      </c>
      <c r="K47" s="1186">
        <v>51396</v>
      </c>
      <c r="L47" s="1469">
        <v>27490</v>
      </c>
      <c r="M47" s="1489">
        <v>28376</v>
      </c>
      <c r="N47" s="1186">
        <v>32523</v>
      </c>
      <c r="O47" s="1899"/>
      <c r="P47" s="1688">
        <v>185194</v>
      </c>
      <c r="Q47" s="1428">
        <v>161599</v>
      </c>
      <c r="R47" s="1479">
        <v>23595</v>
      </c>
      <c r="S47" s="1480">
        <v>0.14600956689088423</v>
      </c>
      <c r="T47" s="1377"/>
      <c r="U47" s="1642">
        <v>185194</v>
      </c>
      <c r="V47" s="1936">
        <v>161599</v>
      </c>
      <c r="W47" s="1422">
        <v>118818</v>
      </c>
      <c r="X47" s="1422">
        <v>109052</v>
      </c>
      <c r="Y47" s="1493">
        <v>150216</v>
      </c>
      <c r="Z47" s="1679"/>
    </row>
    <row r="48" spans="1:26" ht="12.75" customHeight="1" x14ac:dyDescent="0.2">
      <c r="A48" s="1377"/>
      <c r="B48" s="1707" t="s">
        <v>317</v>
      </c>
      <c r="C48" s="1371">
        <v>1594</v>
      </c>
      <c r="D48" s="1017">
        <v>0.61735089078233929</v>
      </c>
      <c r="E48" s="1356"/>
      <c r="F48" s="1094">
        <v>4176</v>
      </c>
      <c r="G48" s="1469">
        <v>3040</v>
      </c>
      <c r="H48" s="1469">
        <v>2524</v>
      </c>
      <c r="I48" s="1489">
        <v>2718</v>
      </c>
      <c r="J48" s="1186">
        <v>2582</v>
      </c>
      <c r="K48" s="1186">
        <v>2357</v>
      </c>
      <c r="L48" s="1469">
        <v>2397</v>
      </c>
      <c r="M48" s="1489">
        <v>2823</v>
      </c>
      <c r="N48" s="1186">
        <v>3664</v>
      </c>
      <c r="O48" s="1899"/>
      <c r="P48" s="1688">
        <v>12458</v>
      </c>
      <c r="Q48" s="1428">
        <v>10159</v>
      </c>
      <c r="R48" s="1479">
        <v>2299</v>
      </c>
      <c r="S48" s="1480">
        <v>0.22630180135840142</v>
      </c>
      <c r="T48" s="1377"/>
      <c r="U48" s="1642">
        <v>12458</v>
      </c>
      <c r="V48" s="1936">
        <v>10159</v>
      </c>
      <c r="W48" s="1422">
        <v>12271</v>
      </c>
      <c r="X48" s="1422">
        <v>12074</v>
      </c>
      <c r="Y48" s="1493">
        <v>9508</v>
      </c>
      <c r="Z48" s="1679"/>
    </row>
    <row r="49" spans="1:26" ht="24.75" customHeight="1" x14ac:dyDescent="0.2">
      <c r="A49" s="1377"/>
      <c r="B49" s="1707" t="s">
        <v>69</v>
      </c>
      <c r="C49" s="1375">
        <v>-14034</v>
      </c>
      <c r="D49" s="1117">
        <v>-0.67813481517274699</v>
      </c>
      <c r="E49" s="1356"/>
      <c r="F49" s="1106">
        <v>6661</v>
      </c>
      <c r="G49" s="1212">
        <v>22799</v>
      </c>
      <c r="H49" s="1212">
        <v>24999</v>
      </c>
      <c r="I49" s="1498">
        <v>8554</v>
      </c>
      <c r="J49" s="1212">
        <v>20695</v>
      </c>
      <c r="K49" s="1212">
        <v>21525</v>
      </c>
      <c r="L49" s="1212">
        <v>-1057</v>
      </c>
      <c r="M49" s="1498">
        <v>3185</v>
      </c>
      <c r="N49" s="1212">
        <v>10056</v>
      </c>
      <c r="O49" s="1899"/>
      <c r="P49" s="1689">
        <v>63013</v>
      </c>
      <c r="Q49" s="1434">
        <v>44348</v>
      </c>
      <c r="R49" s="2283">
        <v>18665</v>
      </c>
      <c r="S49" s="1395">
        <v>0.42087580048705692</v>
      </c>
      <c r="T49" s="1377"/>
      <c r="U49" s="2245">
        <v>63013</v>
      </c>
      <c r="V49" s="1937">
        <v>44348</v>
      </c>
      <c r="W49" s="1499">
        <v>24322</v>
      </c>
      <c r="X49" s="1499">
        <v>10273</v>
      </c>
      <c r="Y49" s="1499">
        <v>44861</v>
      </c>
      <c r="Z49" s="1331"/>
    </row>
    <row r="50" spans="1:26" ht="12.75" customHeight="1" x14ac:dyDescent="0.2">
      <c r="A50" s="1377"/>
      <c r="B50" s="1365"/>
      <c r="C50" s="1396"/>
      <c r="D50" s="1397"/>
      <c r="E50" s="1353"/>
      <c r="F50" s="1332"/>
      <c r="G50" s="1365"/>
      <c r="H50" s="1365"/>
      <c r="I50" s="1365"/>
      <c r="J50" s="1365"/>
      <c r="K50" s="1042"/>
      <c r="L50" s="1365"/>
      <c r="M50" s="1365"/>
      <c r="N50" s="1365"/>
      <c r="O50" s="1365"/>
      <c r="P50" s="1397"/>
      <c r="Q50" s="1397"/>
      <c r="R50" s="1487"/>
      <c r="S50" s="1488"/>
      <c r="T50" s="1365"/>
      <c r="U50" s="1397"/>
      <c r="V50" s="1397"/>
      <c r="W50" s="1365"/>
      <c r="X50" s="1365"/>
      <c r="Y50" s="1365"/>
      <c r="Z50" s="1331"/>
    </row>
    <row r="51" spans="1:26" ht="12.75" customHeight="1" x14ac:dyDescent="0.2">
      <c r="A51" s="1377"/>
      <c r="B51" s="1128" t="s">
        <v>627</v>
      </c>
      <c r="C51" s="1384">
        <v>5.2711182050427237</v>
      </c>
      <c r="D51" s="1397"/>
      <c r="E51" s="1353"/>
      <c r="F51" s="1353">
        <v>0.57177990676504054</v>
      </c>
      <c r="G51" s="1397">
        <v>0.50817724769321226</v>
      </c>
      <c r="H51" s="1397">
        <v>0.48038247674479029</v>
      </c>
      <c r="I51" s="1397">
        <v>0.52500763092486813</v>
      </c>
      <c r="J51" s="1397">
        <v>0.51906872471461329</v>
      </c>
      <c r="K51" s="1397">
        <v>0.53495045033077393</v>
      </c>
      <c r="L51" s="1397">
        <v>0.6262226847034339</v>
      </c>
      <c r="M51" s="1397">
        <v>0.56494299674267101</v>
      </c>
      <c r="N51" s="1397">
        <v>0.54395259823108366</v>
      </c>
      <c r="O51" s="1365"/>
      <c r="P51" s="1397">
        <v>0.51622580707037768</v>
      </c>
      <c r="Q51" s="1397">
        <v>0.54619492286192883</v>
      </c>
      <c r="R51" s="1384">
        <v>-2.9969115791551149</v>
      </c>
      <c r="S51" s="1488"/>
      <c r="T51" s="1365"/>
      <c r="U51" s="1045">
        <v>0.51622580707037768</v>
      </c>
      <c r="V51" s="1397">
        <v>0.54619492286192883</v>
      </c>
      <c r="W51" s="1397">
        <v>0.54957499790877096</v>
      </c>
      <c r="X51" s="1397">
        <v>0.56543809313617299</v>
      </c>
      <c r="Y51" s="1397">
        <v>0.51123982696678638</v>
      </c>
      <c r="Z51" s="1331"/>
    </row>
    <row r="52" spans="1:26" ht="12.75" customHeight="1" x14ac:dyDescent="0.2">
      <c r="A52" s="1377"/>
      <c r="B52" s="1386" t="s">
        <v>72</v>
      </c>
      <c r="C52" s="1384">
        <v>4.8300922156721411</v>
      </c>
      <c r="D52" s="1397"/>
      <c r="E52" s="1353"/>
      <c r="F52" s="1353">
        <v>0.22932496421098997</v>
      </c>
      <c r="G52" s="1397">
        <v>0.18178327593861365</v>
      </c>
      <c r="H52" s="1397">
        <v>0.16204593878293405</v>
      </c>
      <c r="I52" s="1397">
        <v>0.22923298303754416</v>
      </c>
      <c r="J52" s="1397">
        <v>0.18102404205426856</v>
      </c>
      <c r="K52" s="1397">
        <v>0.14779882568612343</v>
      </c>
      <c r="L52" s="1397">
        <v>0.32729795352063823</v>
      </c>
      <c r="M52" s="1397">
        <v>0.26032456956724059</v>
      </c>
      <c r="N52" s="1397">
        <v>0.15935384814999026</v>
      </c>
      <c r="O52" s="1365"/>
      <c r="P52" s="1397">
        <v>0.19424165116145245</v>
      </c>
      <c r="Q52" s="1397">
        <v>0.20158163123652281</v>
      </c>
      <c r="R52" s="1384">
        <v>-0.73399800750703625</v>
      </c>
      <c r="S52" s="1488"/>
      <c r="T52" s="1365"/>
      <c r="U52" s="1045">
        <v>0.19424165116145245</v>
      </c>
      <c r="V52" s="1397">
        <v>0.20158163123652281</v>
      </c>
      <c r="W52" s="1397">
        <v>0.21496547863407353</v>
      </c>
      <c r="X52" s="1397">
        <v>0.26449211942252226</v>
      </c>
      <c r="Y52" s="1397">
        <v>0.22300755187330448</v>
      </c>
      <c r="Z52" s="1331"/>
    </row>
    <row r="53" spans="1:26" ht="12.75" customHeight="1" x14ac:dyDescent="0.2">
      <c r="A53" s="1377"/>
      <c r="B53" s="1386" t="s">
        <v>73</v>
      </c>
      <c r="C53" s="1384">
        <v>10.101210420714867</v>
      </c>
      <c r="D53" s="1397"/>
      <c r="E53" s="1353"/>
      <c r="F53" s="1353">
        <v>0.80110487097603056</v>
      </c>
      <c r="G53" s="1397">
        <v>0.68996052363182592</v>
      </c>
      <c r="H53" s="1397">
        <v>0.64242841552772434</v>
      </c>
      <c r="I53" s="1397">
        <v>0.75424061396241227</v>
      </c>
      <c r="J53" s="1397">
        <v>0.70009276676888188</v>
      </c>
      <c r="K53" s="1397">
        <v>0.68274927601689739</v>
      </c>
      <c r="L53" s="1397">
        <v>0.95352063822407218</v>
      </c>
      <c r="M53" s="1397">
        <v>0.8252675663099116</v>
      </c>
      <c r="N53" s="1397">
        <v>0.70330644638107387</v>
      </c>
      <c r="O53" s="1365"/>
      <c r="P53" s="1397">
        <v>0.71046745823183011</v>
      </c>
      <c r="Q53" s="1397">
        <v>0.74777655409845167</v>
      </c>
      <c r="R53" s="1384">
        <v>-3.7309095866621567</v>
      </c>
      <c r="S53" s="1488"/>
      <c r="T53" s="1365"/>
      <c r="U53" s="1045">
        <v>0.71046745823183011</v>
      </c>
      <c r="V53" s="1397">
        <v>0.74777655409845167</v>
      </c>
      <c r="W53" s="1397">
        <v>0.7645404765428444</v>
      </c>
      <c r="X53" s="1397">
        <v>0.82993021255869526</v>
      </c>
      <c r="Y53" s="1397">
        <v>0.73424737884009095</v>
      </c>
      <c r="Z53" s="1331"/>
    </row>
    <row r="54" spans="1:26" ht="12.75" customHeight="1" x14ac:dyDescent="0.2">
      <c r="A54" s="1377"/>
      <c r="B54" s="1386" t="s">
        <v>74</v>
      </c>
      <c r="C54" s="1384">
        <v>-14.438845160441344</v>
      </c>
      <c r="D54" s="1397"/>
      <c r="E54" s="1353"/>
      <c r="F54" s="1353">
        <v>0.12225158756377785</v>
      </c>
      <c r="G54" s="1397">
        <v>0.27356283221943584</v>
      </c>
      <c r="H54" s="1397">
        <v>0.32478043964038872</v>
      </c>
      <c r="I54" s="1397">
        <v>0.18649980377621767</v>
      </c>
      <c r="J54" s="1397">
        <v>0.26664003916819129</v>
      </c>
      <c r="K54" s="1397">
        <v>0.28594011530593266</v>
      </c>
      <c r="L54" s="1397">
        <v>-3.6663198057578908E-2</v>
      </c>
      <c r="M54" s="1397">
        <v>9.263029315960912E-2</v>
      </c>
      <c r="N54" s="1397">
        <v>0.21745993988279308</v>
      </c>
      <c r="O54" s="1365"/>
      <c r="P54" s="1397">
        <v>0.2417393973107245</v>
      </c>
      <c r="Q54" s="1397">
        <v>0.20521410789149769</v>
      </c>
      <c r="R54" s="1384">
        <v>3.652528941922681</v>
      </c>
      <c r="S54" s="1488"/>
      <c r="T54" s="1365"/>
      <c r="U54" s="1045">
        <v>0.2417393973107245</v>
      </c>
      <c r="V54" s="1397">
        <v>0.20521410789149769</v>
      </c>
      <c r="W54" s="1397">
        <v>0.15650114856734723</v>
      </c>
      <c r="X54" s="1397">
        <v>7.8181721322080081E-2</v>
      </c>
      <c r="Y54" s="1397">
        <v>0.21927805068797809</v>
      </c>
      <c r="Z54" s="1673"/>
    </row>
    <row r="55" spans="1:26" ht="12.75" customHeight="1" x14ac:dyDescent="0.2">
      <c r="A55" s="1377"/>
      <c r="B55" s="1386"/>
      <c r="C55" s="1911"/>
      <c r="D55" s="1397"/>
      <c r="E55" s="1353"/>
      <c r="F55" s="1353"/>
      <c r="G55" s="1397"/>
      <c r="H55" s="1397"/>
      <c r="I55" s="1397"/>
      <c r="J55" s="1397"/>
      <c r="K55" s="1397"/>
      <c r="L55" s="1397"/>
      <c r="M55" s="1397"/>
      <c r="N55" s="1397"/>
      <c r="O55" s="1365"/>
      <c r="P55" s="1397"/>
      <c r="Q55" s="1397"/>
      <c r="R55" s="1384"/>
      <c r="S55" s="1488"/>
      <c r="T55" s="1365"/>
      <c r="U55" s="1397"/>
      <c r="V55" s="1397"/>
      <c r="W55" s="1463"/>
      <c r="X55" s="1463"/>
      <c r="Y55" s="1463"/>
      <c r="Z55" s="1673"/>
    </row>
    <row r="56" spans="1:26" ht="12.75" customHeight="1" x14ac:dyDescent="0.2">
      <c r="A56" s="1912" t="s">
        <v>177</v>
      </c>
      <c r="B56" s="1386"/>
      <c r="C56" s="1365"/>
      <c r="D56" s="1365"/>
      <c r="E56" s="1332"/>
      <c r="F56" s="1332"/>
      <c r="G56" s="1365"/>
      <c r="H56" s="1365"/>
      <c r="I56" s="1365"/>
      <c r="J56" s="1365"/>
      <c r="K56" s="1365"/>
      <c r="L56" s="1365"/>
      <c r="M56" s="1365"/>
      <c r="N56" s="1365"/>
      <c r="O56" s="1365"/>
      <c r="P56" s="1365"/>
      <c r="Q56" s="1365"/>
      <c r="R56" s="1704"/>
      <c r="S56" s="1704"/>
      <c r="T56" s="1365"/>
      <c r="U56" s="1365"/>
      <c r="V56" s="1365"/>
      <c r="W56" s="1365"/>
      <c r="X56" s="1365"/>
      <c r="Y56" s="1365"/>
      <c r="Z56" s="1673"/>
    </row>
    <row r="57" spans="1:26" ht="12.75" customHeight="1" x14ac:dyDescent="0.2">
      <c r="A57" s="1543"/>
      <c r="B57" s="1543"/>
      <c r="C57" s="2410" t="s">
        <v>667</v>
      </c>
      <c r="D57" s="2411"/>
      <c r="E57" s="1333"/>
      <c r="F57" s="1895"/>
      <c r="G57" s="1893"/>
      <c r="H57" s="1893"/>
      <c r="I57" s="1892"/>
      <c r="J57" s="1894"/>
      <c r="K57" s="1893"/>
      <c r="L57" s="1893"/>
      <c r="M57" s="1892"/>
      <c r="N57" s="1894"/>
      <c r="O57" s="1448"/>
      <c r="P57" s="2410" t="s">
        <v>668</v>
      </c>
      <c r="Q57" s="2415"/>
      <c r="R57" s="981" t="s">
        <v>551</v>
      </c>
      <c r="S57" s="982"/>
      <c r="T57" s="1365"/>
      <c r="U57" s="1938"/>
      <c r="V57" s="1938"/>
      <c r="W57" s="1406"/>
      <c r="X57" s="1406"/>
      <c r="Y57" s="1406"/>
      <c r="Z57" s="1679"/>
    </row>
    <row r="58" spans="1:26" ht="12.75" customHeight="1" x14ac:dyDescent="0.2">
      <c r="A58" s="1543"/>
      <c r="B58" s="1543"/>
      <c r="C58" s="2412" t="s">
        <v>35</v>
      </c>
      <c r="D58" s="2413"/>
      <c r="E58" s="1335"/>
      <c r="F58" s="906" t="s">
        <v>546</v>
      </c>
      <c r="G58" s="985" t="s">
        <v>547</v>
      </c>
      <c r="H58" s="985" t="s">
        <v>548</v>
      </c>
      <c r="I58" s="986" t="s">
        <v>549</v>
      </c>
      <c r="J58" s="985" t="s">
        <v>497</v>
      </c>
      <c r="K58" s="985" t="s">
        <v>496</v>
      </c>
      <c r="L58" s="985" t="s">
        <v>495</v>
      </c>
      <c r="M58" s="986" t="s">
        <v>494</v>
      </c>
      <c r="N58" s="985" t="s">
        <v>363</v>
      </c>
      <c r="O58" s="1448"/>
      <c r="P58" s="987" t="s">
        <v>546</v>
      </c>
      <c r="Q58" s="985" t="s">
        <v>497</v>
      </c>
      <c r="R58" s="2310" t="s">
        <v>35</v>
      </c>
      <c r="S58" s="2311"/>
      <c r="T58" s="1365"/>
      <c r="U58" s="988" t="s">
        <v>550</v>
      </c>
      <c r="V58" s="988" t="s">
        <v>498</v>
      </c>
      <c r="W58" s="987" t="s">
        <v>490</v>
      </c>
      <c r="X58" s="987" t="s">
        <v>360</v>
      </c>
      <c r="Y58" s="987" t="s">
        <v>342</v>
      </c>
      <c r="Z58" s="1679"/>
    </row>
    <row r="59" spans="1:26" ht="12.75" customHeight="1" x14ac:dyDescent="0.2">
      <c r="A59" s="1377"/>
      <c r="B59" s="945" t="s">
        <v>609</v>
      </c>
      <c r="C59" s="1371">
        <v>3318</v>
      </c>
      <c r="D59" s="1017">
        <v>0.3035126234906696</v>
      </c>
      <c r="E59" s="1901"/>
      <c r="F59" s="1354">
        <v>14250</v>
      </c>
      <c r="G59" s="1469">
        <v>16286</v>
      </c>
      <c r="H59" s="1469">
        <v>15198</v>
      </c>
      <c r="I59" s="1489">
        <v>11021</v>
      </c>
      <c r="J59" s="1469">
        <v>10932</v>
      </c>
      <c r="K59" s="1469">
        <v>8764</v>
      </c>
      <c r="L59" s="1469">
        <v>9866</v>
      </c>
      <c r="M59" s="1489">
        <v>10278</v>
      </c>
      <c r="N59" s="1469">
        <v>12432</v>
      </c>
      <c r="O59" s="1448"/>
      <c r="P59" s="2156">
        <v>56755</v>
      </c>
      <c r="Q59" s="1428">
        <v>39840</v>
      </c>
      <c r="R59" s="1491">
        <v>16915</v>
      </c>
      <c r="S59" s="1378">
        <v>0.42457329317269077</v>
      </c>
      <c r="T59" s="1365"/>
      <c r="U59" s="1936">
        <v>56755</v>
      </c>
      <c r="V59" s="1936">
        <v>39840</v>
      </c>
      <c r="W59" s="1422">
        <v>46014</v>
      </c>
      <c r="X59" s="1422">
        <v>41088</v>
      </c>
      <c r="Y59" s="1493">
        <v>47414</v>
      </c>
      <c r="Z59" s="1679"/>
    </row>
    <row r="60" spans="1:26" ht="12.75" customHeight="1" x14ac:dyDescent="0.2">
      <c r="A60" s="1377"/>
      <c r="B60" s="945" t="s">
        <v>610</v>
      </c>
      <c r="C60" s="1371">
        <v>-12095</v>
      </c>
      <c r="D60" s="1017">
        <v>-0.29789172947145459</v>
      </c>
      <c r="E60" s="1901"/>
      <c r="F60" s="1354">
        <v>28507</v>
      </c>
      <c r="G60" s="1469">
        <v>53780</v>
      </c>
      <c r="H60" s="1469">
        <v>28069</v>
      </c>
      <c r="I60" s="1489">
        <v>24226</v>
      </c>
      <c r="J60" s="1469">
        <v>40602</v>
      </c>
      <c r="K60" s="1469">
        <v>55415</v>
      </c>
      <c r="L60" s="1469">
        <v>10228</v>
      </c>
      <c r="M60" s="1489">
        <v>18820</v>
      </c>
      <c r="N60" s="1469">
        <v>23788</v>
      </c>
      <c r="O60" s="1448"/>
      <c r="P60" s="2156">
        <v>134582</v>
      </c>
      <c r="Q60" s="1428">
        <v>125065</v>
      </c>
      <c r="R60" s="1492">
        <v>9517</v>
      </c>
      <c r="S60" s="1374">
        <v>7.6096429856474634E-2</v>
      </c>
      <c r="T60" s="1365"/>
      <c r="U60" s="1936">
        <v>134582</v>
      </c>
      <c r="V60" s="1936">
        <v>125065</v>
      </c>
      <c r="W60" s="1422">
        <v>64965</v>
      </c>
      <c r="X60" s="1422">
        <v>28062</v>
      </c>
      <c r="Y60" s="1493">
        <v>85441</v>
      </c>
      <c r="Z60" s="1679"/>
    </row>
    <row r="61" spans="1:26" ht="12.75" customHeight="1" x14ac:dyDescent="0.2">
      <c r="A61" s="1377"/>
      <c r="B61" s="945" t="s">
        <v>611</v>
      </c>
      <c r="C61" s="1371">
        <v>-14120</v>
      </c>
      <c r="D61" s="1017">
        <v>-0.67637478444146393</v>
      </c>
      <c r="E61" s="1901"/>
      <c r="F61" s="1094">
        <v>6756</v>
      </c>
      <c r="G61" s="1469">
        <v>8050</v>
      </c>
      <c r="H61" s="1469">
        <v>25931</v>
      </c>
      <c r="I61" s="1489">
        <v>8313</v>
      </c>
      <c r="J61" s="1469">
        <v>20876</v>
      </c>
      <c r="K61" s="1469">
        <v>8735</v>
      </c>
      <c r="L61" s="1469">
        <v>6856</v>
      </c>
      <c r="M61" s="1489">
        <v>3106</v>
      </c>
      <c r="N61" s="1469">
        <v>7628</v>
      </c>
      <c r="O61" s="1448"/>
      <c r="P61" s="2156">
        <v>49050</v>
      </c>
      <c r="Q61" s="1428">
        <v>39573</v>
      </c>
      <c r="R61" s="1492">
        <v>9477</v>
      </c>
      <c r="S61" s="1374">
        <v>0.23948146463497841</v>
      </c>
      <c r="T61" s="1365"/>
      <c r="U61" s="1936">
        <v>49050</v>
      </c>
      <c r="V61" s="1936">
        <v>39573</v>
      </c>
      <c r="W61" s="1422">
        <v>38290</v>
      </c>
      <c r="X61" s="1422">
        <v>59416</v>
      </c>
      <c r="Y61" s="1493">
        <v>63860</v>
      </c>
      <c r="Z61" s="1679"/>
    </row>
    <row r="62" spans="1:26" ht="12.75" customHeight="1" x14ac:dyDescent="0.2">
      <c r="A62" s="1377"/>
      <c r="B62" s="945" t="s">
        <v>612</v>
      </c>
      <c r="C62" s="1371">
        <v>4</v>
      </c>
      <c r="D62" s="1017">
        <v>2.8943560057887118E-3</v>
      </c>
      <c r="E62" s="1901"/>
      <c r="F62" s="1094">
        <v>1386</v>
      </c>
      <c r="G62" s="1469">
        <v>735</v>
      </c>
      <c r="H62" s="1469">
        <v>2461</v>
      </c>
      <c r="I62" s="1489">
        <v>198</v>
      </c>
      <c r="J62" s="1186">
        <v>1382</v>
      </c>
      <c r="K62" s="1469">
        <v>570</v>
      </c>
      <c r="L62" s="1186">
        <v>195</v>
      </c>
      <c r="M62" s="1489">
        <v>290</v>
      </c>
      <c r="N62" s="1186">
        <v>514</v>
      </c>
      <c r="O62" s="1448"/>
      <c r="P62" s="2156">
        <v>4780</v>
      </c>
      <c r="Q62" s="1428">
        <v>2437</v>
      </c>
      <c r="R62" s="1492">
        <v>2343</v>
      </c>
      <c r="S62" s="1374">
        <v>0.96142798522773898</v>
      </c>
      <c r="T62" s="1365"/>
      <c r="U62" s="1936">
        <v>4780</v>
      </c>
      <c r="V62" s="1936">
        <v>2437</v>
      </c>
      <c r="W62" s="1422">
        <v>1755</v>
      </c>
      <c r="X62" s="1422">
        <v>188</v>
      </c>
      <c r="Y62" s="1493">
        <v>2473</v>
      </c>
      <c r="Z62" s="1679"/>
    </row>
    <row r="63" spans="1:26" ht="12.75" customHeight="1" x14ac:dyDescent="0.2">
      <c r="A63" s="1377"/>
      <c r="B63" s="945" t="s">
        <v>613</v>
      </c>
      <c r="C63" s="1371">
        <v>-579</v>
      </c>
      <c r="D63" s="1017">
        <v>-0.15161036920659859</v>
      </c>
      <c r="E63" s="1901"/>
      <c r="F63" s="1354">
        <v>3240</v>
      </c>
      <c r="G63" s="1469">
        <v>3436</v>
      </c>
      <c r="H63" s="1469">
        <v>4669</v>
      </c>
      <c r="I63" s="1489">
        <v>2108</v>
      </c>
      <c r="J63" s="1469">
        <v>3819</v>
      </c>
      <c r="K63" s="1495">
        <v>1794</v>
      </c>
      <c r="L63" s="1471">
        <v>1685</v>
      </c>
      <c r="M63" s="1489">
        <v>1890</v>
      </c>
      <c r="N63" s="1469">
        <v>1875</v>
      </c>
      <c r="O63" s="1448"/>
      <c r="P63" s="2156">
        <v>13453</v>
      </c>
      <c r="Q63" s="1428">
        <v>9188</v>
      </c>
      <c r="R63" s="1479">
        <v>4265</v>
      </c>
      <c r="S63" s="1374">
        <v>0.46419242490204615</v>
      </c>
      <c r="T63" s="1365"/>
      <c r="U63" s="1936">
        <v>13453</v>
      </c>
      <c r="V63" s="1936">
        <v>9188</v>
      </c>
      <c r="W63" s="1422">
        <v>4387</v>
      </c>
      <c r="X63" s="1422">
        <v>2594</v>
      </c>
      <c r="Y63" s="1493">
        <v>5228</v>
      </c>
      <c r="Z63" s="1679"/>
    </row>
    <row r="64" spans="1:26" ht="12.75" customHeight="1" x14ac:dyDescent="0.2">
      <c r="A64" s="1908"/>
      <c r="B64" s="945" t="s">
        <v>614</v>
      </c>
      <c r="C64" s="1371">
        <v>344</v>
      </c>
      <c r="D64" s="1017" t="s">
        <v>38</v>
      </c>
      <c r="E64" s="1357"/>
      <c r="F64" s="1354">
        <v>347</v>
      </c>
      <c r="G64" s="1469">
        <v>1054</v>
      </c>
      <c r="H64" s="1469">
        <v>644</v>
      </c>
      <c r="I64" s="1165">
        <v>0</v>
      </c>
      <c r="J64" s="1186">
        <v>3</v>
      </c>
      <c r="K64" s="1495">
        <v>0</v>
      </c>
      <c r="L64" s="1692">
        <v>0</v>
      </c>
      <c r="M64" s="1165">
        <v>0</v>
      </c>
      <c r="N64" s="1186">
        <v>6</v>
      </c>
      <c r="O64" s="1448"/>
      <c r="P64" s="2156">
        <v>2045</v>
      </c>
      <c r="Q64" s="1428">
        <v>3</v>
      </c>
      <c r="R64" s="1479">
        <v>2042</v>
      </c>
      <c r="S64" s="1393" t="s">
        <v>38</v>
      </c>
      <c r="T64" s="1377"/>
      <c r="U64" s="1936">
        <v>2045</v>
      </c>
      <c r="V64" s="1936">
        <v>3</v>
      </c>
      <c r="W64" s="1625">
        <v>0</v>
      </c>
      <c r="X64" s="1422">
        <v>51</v>
      </c>
      <c r="Y64" s="1493">
        <v>169</v>
      </c>
      <c r="Z64" s="1679"/>
    </row>
    <row r="65" spans="1:26" ht="12.75" customHeight="1" x14ac:dyDescent="0.2">
      <c r="A65" s="1908"/>
      <c r="B65" s="945"/>
      <c r="C65" s="1372">
        <v>-23128</v>
      </c>
      <c r="D65" s="1115">
        <v>-0.29798747648620094</v>
      </c>
      <c r="E65" s="1913"/>
      <c r="F65" s="1886">
        <v>54486</v>
      </c>
      <c r="G65" s="1915">
        <v>83341</v>
      </c>
      <c r="H65" s="1915">
        <v>76972</v>
      </c>
      <c r="I65" s="1914">
        <v>45866</v>
      </c>
      <c r="J65" s="1915">
        <v>77614</v>
      </c>
      <c r="K65" s="1915">
        <v>75278</v>
      </c>
      <c r="L65" s="1915">
        <v>28830</v>
      </c>
      <c r="M65" s="1914">
        <v>34384</v>
      </c>
      <c r="N65" s="1915">
        <v>46243</v>
      </c>
      <c r="O65" s="1917"/>
      <c r="P65" s="1916">
        <v>260665</v>
      </c>
      <c r="Q65" s="1915">
        <v>216106</v>
      </c>
      <c r="R65" s="2157">
        <v>44559</v>
      </c>
      <c r="S65" s="1504">
        <v>0.20619048059748457</v>
      </c>
      <c r="T65" s="1543"/>
      <c r="U65" s="2246">
        <v>260665</v>
      </c>
      <c r="V65" s="1918">
        <v>216106</v>
      </c>
      <c r="W65" s="1918">
        <v>155411</v>
      </c>
      <c r="X65" s="1918">
        <v>131399</v>
      </c>
      <c r="Y65" s="1919">
        <v>204585</v>
      </c>
      <c r="Z65" s="1673"/>
    </row>
    <row r="66" spans="1:26" ht="12.75" customHeight="1" x14ac:dyDescent="0.2">
      <c r="A66" s="1908"/>
      <c r="B66" s="945"/>
      <c r="C66" s="1400"/>
      <c r="D66" s="1115"/>
      <c r="E66" s="1913"/>
      <c r="F66" s="1354"/>
      <c r="G66" s="1483"/>
      <c r="H66" s="1483"/>
      <c r="I66" s="1498"/>
      <c r="J66" s="1469"/>
      <c r="K66" s="1483"/>
      <c r="L66" s="1483"/>
      <c r="M66" s="1498"/>
      <c r="N66" s="1469"/>
      <c r="O66" s="1917"/>
      <c r="P66" s="1920"/>
      <c r="Q66" s="1483"/>
      <c r="R66" s="2158"/>
      <c r="S66" s="1508"/>
      <c r="T66" s="1543"/>
      <c r="U66" s="1493"/>
      <c r="V66" s="1499"/>
      <c r="W66" s="1921"/>
      <c r="X66" s="1921"/>
      <c r="Y66" s="1921"/>
      <c r="Z66" s="1673"/>
    </row>
    <row r="67" spans="1:26" ht="12.75" customHeight="1" x14ac:dyDescent="0.2">
      <c r="A67" s="1365"/>
      <c r="B67" s="945" t="s">
        <v>637</v>
      </c>
      <c r="C67" s="1375">
        <v>1167</v>
      </c>
      <c r="D67" s="1117" t="s">
        <v>38</v>
      </c>
      <c r="E67" s="1922"/>
      <c r="F67" s="2275">
        <v>779</v>
      </c>
      <c r="G67" s="1628">
        <v>-728</v>
      </c>
      <c r="H67" s="1628">
        <v>-882</v>
      </c>
      <c r="I67" s="1582">
        <v>-1607</v>
      </c>
      <c r="J67" s="1628">
        <v>-388</v>
      </c>
      <c r="K67" s="1628">
        <v>-1840</v>
      </c>
      <c r="L67" s="1628">
        <v>256</v>
      </c>
      <c r="M67" s="1582">
        <v>-1758</v>
      </c>
      <c r="N67" s="1628">
        <v>-1130</v>
      </c>
      <c r="O67" s="1923"/>
      <c r="P67" s="1214">
        <v>-2438</v>
      </c>
      <c r="Q67" s="1212">
        <v>-3730</v>
      </c>
      <c r="R67" s="1212">
        <v>1292</v>
      </c>
      <c r="S67" s="1887">
        <v>0.34638069705093832</v>
      </c>
      <c r="T67" s="1924"/>
      <c r="U67" s="2246">
        <v>-2438</v>
      </c>
      <c r="V67" s="1190">
        <v>-3730</v>
      </c>
      <c r="W67" s="1324">
        <v>-8225</v>
      </c>
      <c r="X67" s="1324">
        <v>-8723</v>
      </c>
      <c r="Y67" s="1715">
        <v>-7477</v>
      </c>
      <c r="Z67" s="1925"/>
    </row>
    <row r="68" spans="1:26" x14ac:dyDescent="0.2">
      <c r="A68" s="1543"/>
      <c r="B68" s="1543"/>
      <c r="C68" s="1543"/>
      <c r="D68" s="1543"/>
      <c r="E68" s="1331"/>
      <c r="F68" s="1331"/>
      <c r="G68" s="1363"/>
      <c r="H68" s="1363"/>
      <c r="I68" s="1363"/>
      <c r="J68" s="1363"/>
      <c r="K68" s="1363"/>
      <c r="L68" s="1363"/>
      <c r="M68" s="1363"/>
      <c r="N68" s="1363"/>
      <c r="O68" s="1543"/>
      <c r="P68" s="1363"/>
      <c r="Q68" s="1363"/>
      <c r="R68" s="1890"/>
      <c r="S68" s="1890"/>
      <c r="T68" s="1543"/>
      <c r="U68" s="1543"/>
      <c r="V68" s="1363"/>
      <c r="W68" s="1543"/>
      <c r="X68" s="1543"/>
      <c r="Y68" s="1543"/>
      <c r="Z68" s="1673"/>
    </row>
    <row r="69" spans="1:26" x14ac:dyDescent="0.2">
      <c r="A69" s="945" t="s">
        <v>339</v>
      </c>
      <c r="B69" s="1543"/>
      <c r="C69" s="2138"/>
      <c r="D69" s="2138"/>
      <c r="E69" s="2135"/>
      <c r="F69" s="2135"/>
      <c r="G69" s="1548"/>
      <c r="H69" s="1548"/>
      <c r="I69" s="2139"/>
      <c r="J69" s="2139"/>
      <c r="L69" s="2139"/>
      <c r="M69" s="2139"/>
      <c r="N69" s="2139"/>
      <c r="O69" s="1042"/>
      <c r="P69" s="1042"/>
      <c r="Q69" s="1042"/>
      <c r="R69" s="1623"/>
      <c r="S69" s="1623"/>
      <c r="T69" s="1042"/>
      <c r="U69" s="1042"/>
      <c r="V69" s="1042"/>
      <c r="W69" s="1042"/>
      <c r="X69" s="1042"/>
      <c r="Y69" s="1042"/>
      <c r="Z69" s="2134"/>
    </row>
    <row r="70" spans="1:26" x14ac:dyDescent="0.2">
      <c r="A70" s="968" t="s">
        <v>25</v>
      </c>
      <c r="B70" s="1543"/>
      <c r="C70" s="2138"/>
      <c r="D70" s="2138"/>
      <c r="E70" s="2135"/>
      <c r="F70" s="2135"/>
      <c r="G70" s="1548"/>
      <c r="H70" s="1548"/>
      <c r="I70" s="2139"/>
      <c r="J70" s="2139"/>
      <c r="L70" s="2139"/>
      <c r="M70" s="2139"/>
      <c r="N70" s="2139"/>
      <c r="O70" s="2139"/>
      <c r="P70" s="2139"/>
      <c r="Q70" s="2139"/>
      <c r="R70" s="2139"/>
      <c r="S70" s="2139"/>
      <c r="T70" s="2139"/>
      <c r="U70" s="2139"/>
      <c r="V70" s="2139"/>
      <c r="W70" s="2139"/>
      <c r="X70" s="2139"/>
      <c r="Y70" s="2139"/>
      <c r="Z70" s="2135"/>
    </row>
    <row r="71" spans="1:26" x14ac:dyDescent="0.2">
      <c r="A71" s="940"/>
      <c r="B71" s="1543"/>
      <c r="C71" s="2138"/>
      <c r="D71" s="2138"/>
      <c r="E71" s="2135"/>
      <c r="F71" s="2135"/>
      <c r="G71" s="1548"/>
      <c r="H71" s="1548"/>
      <c r="I71" s="2139"/>
      <c r="J71" s="2139"/>
      <c r="L71" s="2139"/>
      <c r="M71" s="2139"/>
      <c r="N71" s="2139"/>
      <c r="O71" s="2139"/>
      <c r="P71" s="2139"/>
      <c r="Q71" s="2139"/>
      <c r="R71" s="2140"/>
      <c r="S71" s="2140"/>
      <c r="T71" s="2139"/>
      <c r="U71" s="2139"/>
      <c r="V71" s="2139"/>
      <c r="W71" s="2139"/>
      <c r="X71" s="2139"/>
      <c r="Y71" s="2139"/>
      <c r="Z71" s="2134"/>
    </row>
    <row r="72" spans="1:26" x14ac:dyDescent="0.2">
      <c r="A72" s="945" t="s">
        <v>552</v>
      </c>
      <c r="B72" s="1543"/>
      <c r="C72" s="2138"/>
      <c r="D72" s="2138"/>
      <c r="E72" s="2135"/>
      <c r="F72" s="2135"/>
      <c r="G72" s="1548"/>
      <c r="H72" s="1548"/>
      <c r="I72" s="2139"/>
      <c r="J72" s="2139"/>
      <c r="L72" s="2139"/>
      <c r="M72" s="2139"/>
      <c r="N72" s="2139"/>
      <c r="O72" s="2139"/>
      <c r="P72" s="2139"/>
      <c r="Q72" s="2139"/>
      <c r="R72" s="2140"/>
      <c r="S72" s="2140"/>
      <c r="T72" s="2139"/>
      <c r="U72" s="2139"/>
      <c r="V72" s="2139"/>
      <c r="W72" s="2139"/>
      <c r="X72" s="2139"/>
      <c r="Y72" s="2139"/>
      <c r="Z72" s="2134"/>
    </row>
    <row r="73" spans="1:26" x14ac:dyDescent="0.2">
      <c r="A73" s="1543"/>
      <c r="B73" s="1543"/>
      <c r="C73" s="2138"/>
      <c r="D73" s="2138"/>
      <c r="E73" s="2135"/>
      <c r="F73" s="2135"/>
      <c r="G73" s="1548"/>
      <c r="H73" s="1548"/>
      <c r="I73" s="2139"/>
      <c r="J73" s="2139"/>
      <c r="L73" s="2139"/>
      <c r="M73" s="2139"/>
      <c r="N73" s="2139"/>
      <c r="O73" s="2139"/>
      <c r="P73" s="2139"/>
      <c r="Q73" s="2139"/>
      <c r="R73" s="2140"/>
      <c r="S73" s="2140"/>
      <c r="T73" s="2139"/>
      <c r="U73" s="2139"/>
      <c r="V73" s="2139"/>
      <c r="W73" s="2139"/>
      <c r="X73" s="2139"/>
      <c r="Y73" s="2139"/>
      <c r="Z73" s="2134"/>
    </row>
    <row r="74" spans="1:26" x14ac:dyDescent="0.2">
      <c r="A74" s="1363"/>
      <c r="B74" s="1363"/>
      <c r="C74" s="2139"/>
      <c r="D74" s="2139"/>
      <c r="E74" s="2135"/>
      <c r="F74" s="2135"/>
      <c r="G74" s="1548"/>
      <c r="H74" s="1548"/>
      <c r="I74" s="2139"/>
      <c r="J74" s="2139"/>
      <c r="L74" s="2139"/>
      <c r="M74" s="2139"/>
      <c r="N74" s="2139"/>
      <c r="O74" s="1200"/>
      <c r="P74" s="1200"/>
      <c r="Q74" s="1200"/>
      <c r="R74" s="2141"/>
      <c r="S74" s="2141"/>
      <c r="T74" s="1200"/>
      <c r="U74" s="1200"/>
      <c r="V74" s="1200"/>
      <c r="W74" s="1200"/>
      <c r="X74" s="1200"/>
      <c r="Y74" s="1200"/>
      <c r="Z74" s="2134"/>
    </row>
    <row r="75" spans="1:26" x14ac:dyDescent="0.2">
      <c r="A75" s="1543"/>
      <c r="B75" s="1543"/>
      <c r="C75" s="2138"/>
      <c r="D75" s="2138"/>
      <c r="E75" s="2135"/>
      <c r="F75" s="2135"/>
      <c r="G75" s="1548"/>
      <c r="H75" s="1548"/>
      <c r="I75" s="2139"/>
      <c r="J75" s="2139"/>
      <c r="L75" s="2139"/>
      <c r="M75" s="2139"/>
      <c r="N75" s="2139"/>
      <c r="O75" s="2139"/>
      <c r="P75" s="2139"/>
      <c r="Q75" s="2139"/>
      <c r="R75" s="2140"/>
      <c r="S75" s="2140"/>
      <c r="T75" s="2139"/>
      <c r="U75" s="2139"/>
      <c r="V75" s="2139"/>
      <c r="W75" s="2139"/>
      <c r="X75" s="2139"/>
      <c r="Y75" s="2139"/>
      <c r="Z75" s="2134"/>
    </row>
    <row r="76" spans="1:26" x14ac:dyDescent="0.2">
      <c r="A76" s="1543"/>
      <c r="B76" s="1543"/>
      <c r="C76" s="2138"/>
      <c r="D76" s="2138"/>
      <c r="E76" s="2135"/>
      <c r="F76" s="2135"/>
      <c r="G76" s="1548"/>
      <c r="H76" s="1548"/>
      <c r="I76" s="2139"/>
      <c r="J76" s="2139"/>
      <c r="L76" s="2139"/>
      <c r="M76" s="2139"/>
      <c r="N76" s="2139"/>
      <c r="O76" s="2139"/>
      <c r="P76" s="2139"/>
      <c r="Q76" s="2139"/>
      <c r="R76" s="2140"/>
      <c r="S76" s="2140"/>
      <c r="T76" s="2139"/>
      <c r="U76" s="2139"/>
      <c r="V76" s="2139"/>
      <c r="W76" s="2139"/>
      <c r="X76" s="2139"/>
      <c r="Y76" s="2139"/>
      <c r="Z76" s="2134"/>
    </row>
    <row r="77" spans="1:26" x14ac:dyDescent="0.2">
      <c r="A77" s="1543"/>
      <c r="B77" s="1543"/>
      <c r="C77" s="2138"/>
      <c r="D77" s="2138"/>
      <c r="E77" s="2135"/>
      <c r="F77" s="2135"/>
      <c r="G77" s="2139"/>
      <c r="H77" s="2139"/>
      <c r="I77" s="2139"/>
      <c r="J77" s="2139"/>
      <c r="L77" s="2139"/>
      <c r="M77" s="2139"/>
      <c r="N77" s="2139"/>
      <c r="O77" s="2138"/>
      <c r="P77" s="2139"/>
      <c r="Q77" s="2139"/>
      <c r="R77" s="2142"/>
      <c r="S77" s="2142"/>
      <c r="T77" s="2138"/>
      <c r="U77" s="2138"/>
      <c r="V77" s="2139"/>
      <c r="W77" s="2138"/>
      <c r="X77" s="2138"/>
      <c r="Y77" s="2138"/>
      <c r="Z77" s="2134"/>
    </row>
    <row r="78" spans="1:26" x14ac:dyDescent="0.2">
      <c r="A78" s="1543"/>
      <c r="B78" s="1543"/>
      <c r="C78" s="2138"/>
      <c r="D78" s="2138"/>
      <c r="E78" s="2135"/>
      <c r="F78" s="2135"/>
      <c r="G78" s="2139"/>
      <c r="H78" s="2139"/>
      <c r="I78" s="2139"/>
      <c r="J78" s="2139"/>
      <c r="L78" s="2139"/>
      <c r="M78" s="2139"/>
      <c r="N78" s="2139"/>
      <c r="O78" s="2138"/>
      <c r="P78" s="2139"/>
      <c r="Q78" s="2139"/>
      <c r="R78" s="2142"/>
      <c r="S78" s="2142"/>
      <c r="T78" s="2138"/>
      <c r="U78" s="2138"/>
      <c r="V78" s="2139"/>
      <c r="W78" s="2138"/>
      <c r="X78" s="2138"/>
      <c r="Y78" s="2138"/>
      <c r="Z78" s="2134"/>
    </row>
    <row r="79" spans="1:26" x14ac:dyDescent="0.2">
      <c r="A79" s="1543"/>
      <c r="B79" s="1543"/>
      <c r="C79" s="2138"/>
      <c r="D79" s="2138"/>
      <c r="E79" s="2135"/>
      <c r="F79" s="2135"/>
      <c r="G79" s="2139"/>
      <c r="H79" s="2139"/>
      <c r="I79" s="2139"/>
      <c r="J79" s="2139"/>
      <c r="L79" s="2139"/>
      <c r="M79" s="2139"/>
      <c r="N79" s="2139"/>
      <c r="O79" s="2138"/>
      <c r="P79" s="2139"/>
      <c r="Q79" s="2139"/>
      <c r="R79" s="2142"/>
      <c r="S79" s="2142"/>
      <c r="T79" s="2138"/>
      <c r="U79" s="2138"/>
      <c r="V79" s="2139"/>
      <c r="W79" s="2138"/>
      <c r="X79" s="2138"/>
      <c r="Y79" s="2138"/>
      <c r="Z79" s="2134"/>
    </row>
    <row r="80" spans="1:26" x14ac:dyDescent="0.2">
      <c r="A80" s="1543"/>
      <c r="B80" s="1543"/>
      <c r="C80" s="2138"/>
      <c r="D80" s="2138"/>
      <c r="E80" s="2135"/>
      <c r="F80" s="2135"/>
      <c r="G80" s="2139"/>
      <c r="H80" s="2139"/>
      <c r="I80" s="2139"/>
      <c r="J80" s="2139"/>
      <c r="L80" s="2139"/>
      <c r="M80" s="2139"/>
      <c r="N80" s="2139"/>
      <c r="O80" s="2138"/>
      <c r="P80" s="2139"/>
      <c r="Q80" s="2139"/>
      <c r="R80" s="2142"/>
      <c r="S80" s="2142"/>
      <c r="T80" s="2138"/>
      <c r="U80" s="2138"/>
      <c r="V80" s="2139"/>
      <c r="W80" s="2138"/>
      <c r="X80" s="2138"/>
      <c r="Y80" s="2138"/>
      <c r="Z80" s="2134"/>
    </row>
    <row r="81" spans="1:26" x14ac:dyDescent="0.2">
      <c r="A81" s="1543"/>
      <c r="B81" s="1543"/>
      <c r="C81" s="2138"/>
      <c r="D81" s="2138"/>
      <c r="E81" s="2135"/>
      <c r="F81" s="2135"/>
      <c r="G81" s="2139"/>
      <c r="H81" s="2139"/>
      <c r="I81" s="2139"/>
      <c r="J81" s="2139"/>
      <c r="L81" s="2139"/>
      <c r="M81" s="2139"/>
      <c r="N81" s="2139"/>
      <c r="O81" s="2138"/>
      <c r="P81" s="2139"/>
      <c r="Q81" s="2139"/>
      <c r="R81" s="2142"/>
      <c r="S81" s="2142"/>
      <c r="T81" s="2138"/>
      <c r="U81" s="2138"/>
      <c r="V81" s="2139"/>
      <c r="W81" s="2138"/>
      <c r="X81" s="2138"/>
      <c r="Y81" s="2138"/>
      <c r="Z81" s="2134"/>
    </row>
    <row r="82" spans="1:26" x14ac:dyDescent="0.2">
      <c r="A82" s="1543"/>
      <c r="B82" s="1543"/>
      <c r="C82" s="2138"/>
      <c r="D82" s="2138"/>
      <c r="E82" s="2135"/>
      <c r="F82" s="2135"/>
      <c r="G82" s="2139"/>
      <c r="H82" s="2139"/>
      <c r="I82" s="2139"/>
      <c r="J82" s="2139"/>
      <c r="L82" s="2139"/>
      <c r="M82" s="2139"/>
      <c r="N82" s="2139"/>
      <c r="O82" s="2138"/>
      <c r="P82" s="2139"/>
      <c r="Q82" s="2139"/>
      <c r="R82" s="2142"/>
      <c r="S82" s="2142"/>
      <c r="T82" s="2138"/>
      <c r="U82" s="2138"/>
      <c r="V82" s="2139"/>
      <c r="W82" s="2138"/>
      <c r="X82" s="2138"/>
      <c r="Y82" s="2138"/>
      <c r="Z82" s="2134"/>
    </row>
    <row r="83" spans="1:26" x14ac:dyDescent="0.2">
      <c r="A83" s="1543"/>
      <c r="B83" s="1543"/>
      <c r="C83" s="2138"/>
      <c r="D83" s="2138"/>
      <c r="E83" s="2135"/>
      <c r="F83" s="2135"/>
      <c r="G83" s="2139"/>
      <c r="H83" s="2139"/>
      <c r="I83" s="2139"/>
      <c r="J83" s="2139"/>
      <c r="L83" s="2139"/>
      <c r="M83" s="2139"/>
      <c r="N83" s="2139"/>
      <c r="O83" s="2138"/>
      <c r="P83" s="2139"/>
      <c r="Q83" s="2139"/>
      <c r="R83" s="2142"/>
      <c r="S83" s="2142"/>
      <c r="T83" s="2138"/>
      <c r="U83" s="2138"/>
      <c r="V83" s="2139"/>
      <c r="W83" s="2138"/>
      <c r="X83" s="2138"/>
      <c r="Y83" s="2138"/>
      <c r="Z83" s="2134"/>
    </row>
    <row r="84" spans="1:26" x14ac:dyDescent="0.2">
      <c r="A84" s="1543"/>
      <c r="B84" s="1543"/>
      <c r="C84" s="2138"/>
      <c r="D84" s="2138"/>
      <c r="E84" s="2135"/>
      <c r="F84" s="2135"/>
      <c r="G84" s="2139"/>
      <c r="H84" s="2139"/>
      <c r="I84" s="2139"/>
      <c r="J84" s="2139"/>
      <c r="L84" s="2139"/>
      <c r="M84" s="2139"/>
      <c r="N84" s="2139"/>
      <c r="O84" s="2138"/>
      <c r="P84" s="2139"/>
      <c r="Q84" s="2139"/>
      <c r="R84" s="2142"/>
      <c r="S84" s="2142"/>
      <c r="T84" s="2138"/>
      <c r="U84" s="2138"/>
      <c r="V84" s="2139"/>
      <c r="W84" s="2138"/>
      <c r="X84" s="2138"/>
      <c r="Y84" s="2138"/>
      <c r="Z84" s="2134"/>
    </row>
    <row r="85" spans="1:26" x14ac:dyDescent="0.2">
      <c r="A85" s="1543"/>
      <c r="B85" s="1543"/>
      <c r="C85" s="2138"/>
      <c r="D85" s="2138"/>
      <c r="E85" s="2135"/>
      <c r="F85" s="2135"/>
      <c r="G85" s="2139"/>
      <c r="H85" s="2139"/>
      <c r="I85" s="2139"/>
      <c r="J85" s="2139"/>
      <c r="L85" s="2139"/>
      <c r="M85" s="2139"/>
      <c r="N85" s="2139"/>
      <c r="O85" s="2138"/>
      <c r="P85" s="2139"/>
      <c r="Q85" s="2139"/>
      <c r="R85" s="2142"/>
      <c r="S85" s="2142"/>
      <c r="T85" s="2138"/>
      <c r="U85" s="2138"/>
      <c r="V85" s="2139"/>
      <c r="W85" s="2138"/>
      <c r="X85" s="2138"/>
      <c r="Y85" s="2138"/>
      <c r="Z85" s="2134"/>
    </row>
    <row r="86" spans="1:26" x14ac:dyDescent="0.2">
      <c r="A86" s="1543"/>
      <c r="B86" s="1543"/>
      <c r="C86" s="2138"/>
      <c r="D86" s="2138"/>
      <c r="E86" s="2135"/>
      <c r="F86" s="2135"/>
      <c r="G86" s="2139"/>
      <c r="H86" s="2139"/>
      <c r="I86" s="2139"/>
      <c r="J86" s="2139"/>
      <c r="L86" s="2139"/>
      <c r="M86" s="2139"/>
      <c r="N86" s="2139"/>
      <c r="O86" s="2138"/>
      <c r="P86" s="2139"/>
      <c r="Q86" s="2139"/>
      <c r="R86" s="2142"/>
      <c r="S86" s="2142"/>
      <c r="T86" s="2138"/>
      <c r="U86" s="2138"/>
      <c r="V86" s="2139"/>
      <c r="W86" s="2138"/>
      <c r="X86" s="2138"/>
      <c r="Y86" s="2138"/>
      <c r="Z86" s="2134"/>
    </row>
    <row r="87" spans="1:26" x14ac:dyDescent="0.2">
      <c r="A87" s="1543"/>
      <c r="B87" s="1543"/>
      <c r="C87" s="2138"/>
      <c r="D87" s="2138"/>
      <c r="E87" s="2135"/>
      <c r="F87" s="2135"/>
      <c r="G87" s="2139"/>
      <c r="H87" s="2139"/>
      <c r="I87" s="2139"/>
      <c r="J87" s="2139"/>
      <c r="L87" s="2139"/>
      <c r="M87" s="2139"/>
      <c r="N87" s="2139"/>
      <c r="O87" s="2138"/>
      <c r="P87" s="2139"/>
      <c r="Q87" s="2139"/>
      <c r="R87" s="2142"/>
      <c r="S87" s="2142"/>
      <c r="T87" s="2138"/>
      <c r="U87" s="2138"/>
      <c r="V87" s="2139"/>
      <c r="W87" s="2138"/>
      <c r="X87" s="2138"/>
      <c r="Y87" s="2138"/>
      <c r="Z87" s="2134"/>
    </row>
    <row r="88" spans="1:26" x14ac:dyDescent="0.2">
      <c r="A88" s="1543"/>
      <c r="B88" s="1543"/>
      <c r="C88" s="2138"/>
      <c r="D88" s="2138"/>
      <c r="E88" s="2135"/>
      <c r="F88" s="2135"/>
      <c r="G88" s="2139"/>
      <c r="H88" s="2139"/>
      <c r="I88" s="2139"/>
      <c r="J88" s="2139"/>
      <c r="L88" s="2139"/>
      <c r="M88" s="2139"/>
      <c r="N88" s="2139"/>
      <c r="O88" s="2138"/>
      <c r="P88" s="2139"/>
      <c r="Q88" s="2139"/>
      <c r="R88" s="2142"/>
      <c r="S88" s="2142"/>
      <c r="T88" s="2138"/>
      <c r="U88" s="2138"/>
      <c r="V88" s="2139"/>
      <c r="W88" s="2138"/>
      <c r="X88" s="2138"/>
      <c r="Y88" s="2138"/>
      <c r="Z88" s="2134"/>
    </row>
    <row r="89" spans="1:26" x14ac:dyDescent="0.2">
      <c r="A89" s="1543"/>
      <c r="B89" s="1543"/>
      <c r="C89" s="2138"/>
      <c r="D89" s="2138"/>
      <c r="E89" s="2135"/>
      <c r="F89" s="2135"/>
      <c r="G89" s="2139"/>
      <c r="H89" s="2139"/>
      <c r="I89" s="2139"/>
      <c r="J89" s="2139"/>
      <c r="L89" s="2139"/>
      <c r="M89" s="2139"/>
      <c r="N89" s="2139"/>
      <c r="O89" s="2138"/>
      <c r="P89" s="2139"/>
      <c r="Q89" s="2139"/>
      <c r="R89" s="2142"/>
      <c r="S89" s="2142"/>
      <c r="T89" s="2138"/>
      <c r="U89" s="2138"/>
      <c r="V89" s="2139"/>
      <c r="W89" s="2138"/>
      <c r="X89" s="2138"/>
      <c r="Y89" s="2138"/>
      <c r="Z89" s="2134"/>
    </row>
    <row r="90" spans="1:26" x14ac:dyDescent="0.2">
      <c r="A90" s="1543"/>
      <c r="B90" s="1543"/>
      <c r="C90" s="2138"/>
      <c r="D90" s="2138"/>
      <c r="E90" s="2135"/>
      <c r="F90" s="2135"/>
      <c r="G90" s="2139"/>
      <c r="H90" s="2139"/>
      <c r="I90" s="2139"/>
      <c r="J90" s="2139"/>
      <c r="L90" s="2139"/>
      <c r="M90" s="2139"/>
      <c r="N90" s="2139"/>
      <c r="O90" s="2138"/>
      <c r="P90" s="2139"/>
      <c r="Q90" s="2139"/>
      <c r="R90" s="2142"/>
      <c r="S90" s="2142"/>
      <c r="T90" s="2138"/>
      <c r="U90" s="2138"/>
      <c r="V90" s="2139"/>
      <c r="W90" s="2138"/>
      <c r="X90" s="2138"/>
      <c r="Y90" s="2138"/>
      <c r="Z90" s="2134"/>
    </row>
    <row r="91" spans="1:26" x14ac:dyDescent="0.2">
      <c r="P91" s="2144"/>
      <c r="Q91" s="2144"/>
      <c r="V91" s="2144"/>
    </row>
    <row r="92" spans="1:26" x14ac:dyDescent="0.2">
      <c r="P92" s="2144"/>
      <c r="Q92" s="2144"/>
      <c r="V92" s="2144"/>
    </row>
  </sheetData>
  <mergeCells count="13">
    <mergeCell ref="C45:D45"/>
    <mergeCell ref="R45:S45"/>
    <mergeCell ref="C57:D57"/>
    <mergeCell ref="C58:D58"/>
    <mergeCell ref="R58:S58"/>
    <mergeCell ref="P57:Q57"/>
    <mergeCell ref="C44:D44"/>
    <mergeCell ref="C9:D9"/>
    <mergeCell ref="C10:D10"/>
    <mergeCell ref="R10:S10"/>
    <mergeCell ref="A29:B29"/>
    <mergeCell ref="A31:B31"/>
    <mergeCell ref="P44:Q44"/>
  </mergeCells>
  <conditionalFormatting sqref="A42:A43 A64:A66 A56 A32:B34">
    <cfRule type="cellIs" dxfId="105" priority="11" stopIfTrue="1" operator="equal">
      <formula>0</formula>
    </cfRule>
  </conditionalFormatting>
  <conditionalFormatting sqref="Y55">
    <cfRule type="cellIs" dxfId="104" priority="7" stopIfTrue="1" operator="equal">
      <formula>0</formula>
    </cfRule>
  </conditionalFormatting>
  <conditionalFormatting sqref="X55">
    <cfRule type="cellIs" dxfId="103" priority="6" stopIfTrue="1" operator="equal">
      <formula>0</formula>
    </cfRule>
  </conditionalFormatting>
  <conditionalFormatting sqref="W55">
    <cfRule type="cellIs" dxfId="102" priority="2" stopIfTrue="1" operator="equal">
      <formula>0</formula>
    </cfRule>
  </conditionalFormatting>
  <conditionalFormatting sqref="B51">
    <cfRule type="cellIs" dxfId="101" priority="1" stopIfTrue="1" operator="equal">
      <formula>0</formula>
    </cfRule>
  </conditionalFormatting>
  <printOptions horizontalCentered="1" verticalCentered="1"/>
  <pageMargins left="0" right="0" top="0" bottom="0" header="0" footer="0"/>
  <pageSetup scale="55" orientation="landscape" r:id="rId1"/>
  <headerFooter alignWithMargins="0">
    <oddFooter>&amp;L&amp;F&amp;CPage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A1:Z95"/>
  <sheetViews>
    <sheetView topLeftCell="C10" zoomScale="120" zoomScaleNormal="120" workbookViewId="0">
      <selection activeCell="J10" sqref="J10"/>
    </sheetView>
  </sheetViews>
  <sheetFormatPr defaultColWidth="9.140625" defaultRowHeight="12.75" x14ac:dyDescent="0.2"/>
  <cols>
    <col min="1" max="1" width="2.7109375" style="1359" customWidth="1"/>
    <col min="2" max="2" width="53.5703125" style="1359" customWidth="1"/>
    <col min="3" max="4" width="10.5703125" style="2143" customWidth="1"/>
    <col min="5" max="5" width="1.5703125" style="2137" customWidth="1"/>
    <col min="6" max="6" width="9.5703125" style="2137" customWidth="1"/>
    <col min="7" max="10" width="9.5703125" style="2144" customWidth="1"/>
    <col min="11" max="11" width="9.5703125" style="2139" customWidth="1"/>
    <col min="12" max="14" width="9.5703125" style="2144" customWidth="1"/>
    <col min="15" max="15" width="1.5703125" style="2144" customWidth="1"/>
    <col min="16" max="16" width="12.5703125" style="2143" hidden="1" customWidth="1"/>
    <col min="17" max="17" width="9.140625" style="2143" hidden="1" customWidth="1"/>
    <col min="18" max="19" width="9.140625" style="2145" customWidth="1"/>
    <col min="20" max="20" width="1.5703125" style="2143" customWidth="1"/>
    <col min="21" max="21" width="9.5703125" style="2143" customWidth="1"/>
    <col min="22" max="25" width="9.7109375" style="2143" customWidth="1"/>
    <col min="26" max="26" width="1.5703125" style="2133" customWidth="1"/>
    <col min="27" max="16384" width="9.140625" style="2133"/>
  </cols>
  <sheetData>
    <row r="1" spans="1:26" x14ac:dyDescent="0.2">
      <c r="C1" s="1359"/>
      <c r="D1" s="1359"/>
      <c r="E1" s="1329"/>
      <c r="F1" s="1329"/>
      <c r="G1" s="1360"/>
      <c r="H1" s="1360"/>
      <c r="I1" s="1360"/>
      <c r="J1" s="1360"/>
      <c r="K1" s="1363"/>
      <c r="L1" s="1360"/>
      <c r="M1" s="1360"/>
      <c r="N1" s="1360"/>
      <c r="O1" s="1360"/>
      <c r="P1" s="1359"/>
      <c r="Q1" s="1359"/>
      <c r="R1" s="1402"/>
      <c r="S1" s="1402"/>
      <c r="T1" s="1359"/>
      <c r="U1" s="1359"/>
      <c r="V1" s="1359"/>
      <c r="W1" s="1359"/>
      <c r="X1" s="1359"/>
      <c r="Y1" s="1359"/>
      <c r="Z1" s="1328"/>
    </row>
    <row r="2" spans="1:26" x14ac:dyDescent="0.2">
      <c r="C2" s="1359"/>
      <c r="D2" s="1359"/>
      <c r="E2" s="1329"/>
      <c r="F2" s="1329"/>
      <c r="G2" s="1360"/>
      <c r="H2" s="1360"/>
      <c r="I2" s="1360"/>
      <c r="J2" s="1360"/>
      <c r="K2" s="1363"/>
      <c r="L2" s="1360"/>
      <c r="M2" s="1360"/>
      <c r="N2" s="1360"/>
      <c r="O2" s="1360"/>
      <c r="P2" s="1359"/>
      <c r="Q2" s="1359"/>
      <c r="R2" s="1402"/>
      <c r="S2" s="1402"/>
      <c r="T2" s="1359"/>
      <c r="U2" s="1359"/>
      <c r="V2" s="1359"/>
      <c r="W2" s="1359"/>
      <c r="X2" s="1359"/>
      <c r="Y2" s="1359"/>
      <c r="Z2" s="1328"/>
    </row>
    <row r="3" spans="1:26" x14ac:dyDescent="0.2">
      <c r="C3" s="1359"/>
      <c r="D3" s="1359"/>
      <c r="E3" s="1329"/>
      <c r="F3" s="1329"/>
      <c r="G3" s="1360"/>
      <c r="H3" s="1360"/>
      <c r="I3" s="1360"/>
      <c r="J3" s="1360"/>
      <c r="K3" s="1363"/>
      <c r="L3" s="1360"/>
      <c r="M3" s="1360"/>
      <c r="N3" s="1360"/>
      <c r="O3" s="1360"/>
      <c r="P3" s="1359"/>
      <c r="Q3" s="1359"/>
      <c r="R3" s="1402"/>
      <c r="S3" s="1402"/>
      <c r="T3" s="1359"/>
      <c r="U3" s="1359"/>
      <c r="V3" s="1359"/>
      <c r="W3" s="1359"/>
      <c r="X3" s="1359"/>
      <c r="Y3" s="1359"/>
      <c r="Z3" s="1328"/>
    </row>
    <row r="4" spans="1:26" x14ac:dyDescent="0.2">
      <c r="C4" s="1359"/>
      <c r="D4" s="1359"/>
      <c r="E4" s="1329"/>
      <c r="F4" s="1329"/>
      <c r="G4" s="1360"/>
      <c r="H4" s="1360"/>
      <c r="I4" s="1360"/>
      <c r="J4" s="1360"/>
      <c r="K4" s="1363"/>
      <c r="L4" s="1360"/>
      <c r="M4" s="1360"/>
      <c r="N4" s="1360"/>
      <c r="O4" s="1360"/>
      <c r="P4" s="1359"/>
      <c r="Q4" s="1359"/>
      <c r="R4" s="1402"/>
      <c r="S4" s="1402"/>
      <c r="T4" s="1359"/>
      <c r="U4" s="1359"/>
      <c r="V4" s="1359"/>
      <c r="W4" s="1359"/>
      <c r="X4" s="1359"/>
      <c r="Y4" s="1359"/>
      <c r="Z4" s="1328"/>
    </row>
    <row r="5" spans="1:26" x14ac:dyDescent="0.2">
      <c r="A5" s="1360"/>
      <c r="B5" s="1360"/>
      <c r="C5" s="1360"/>
      <c r="D5" s="1360"/>
      <c r="E5" s="1329"/>
      <c r="F5" s="1329"/>
      <c r="G5" s="1360"/>
      <c r="H5" s="1360"/>
      <c r="I5" s="1360"/>
      <c r="J5" s="1360"/>
      <c r="K5" s="1363"/>
      <c r="L5" s="1360"/>
      <c r="M5" s="1360"/>
      <c r="N5" s="1360"/>
      <c r="O5" s="1360"/>
      <c r="P5" s="1359"/>
      <c r="Q5" s="1359"/>
      <c r="R5" s="1402"/>
      <c r="S5" s="1402"/>
      <c r="T5" s="1359"/>
      <c r="U5" s="1359"/>
      <c r="V5" s="1359"/>
      <c r="W5" s="1359"/>
      <c r="X5" s="1359"/>
      <c r="Y5" s="1359"/>
      <c r="Z5" s="1328"/>
    </row>
    <row r="6" spans="1:26" ht="18" customHeight="1" x14ac:dyDescent="0.2">
      <c r="A6" s="1515" t="s">
        <v>657</v>
      </c>
      <c r="B6" s="1360"/>
      <c r="C6" s="1360"/>
      <c r="D6" s="1360"/>
      <c r="E6" s="1329"/>
      <c r="F6" s="1329"/>
      <c r="G6" s="1360"/>
      <c r="H6" s="1360"/>
      <c r="I6" s="1360"/>
      <c r="J6" s="1360"/>
      <c r="K6" s="1363"/>
      <c r="L6" s="1360"/>
      <c r="M6" s="1360"/>
      <c r="N6" s="1360"/>
      <c r="O6" s="1360"/>
      <c r="P6" s="1359"/>
      <c r="Q6" s="1359"/>
      <c r="R6" s="1402"/>
      <c r="S6" s="1402"/>
      <c r="T6" s="1359"/>
      <c r="U6" s="1359"/>
      <c r="V6" s="1359"/>
      <c r="W6" s="1359"/>
      <c r="X6" s="1359"/>
      <c r="Y6" s="1359"/>
      <c r="Z6" s="1328"/>
    </row>
    <row r="7" spans="1:26" ht="18" customHeight="1" x14ac:dyDescent="0.2">
      <c r="A7" s="1361" t="s">
        <v>325</v>
      </c>
      <c r="B7" s="1362"/>
      <c r="C7" s="1362"/>
      <c r="D7" s="1362"/>
      <c r="E7" s="1330"/>
      <c r="F7" s="1330"/>
      <c r="G7" s="1362"/>
      <c r="H7" s="1362"/>
      <c r="I7" s="1362"/>
      <c r="J7" s="1362"/>
      <c r="K7" s="1362"/>
      <c r="L7" s="1362"/>
      <c r="M7" s="1362"/>
      <c r="N7" s="1362"/>
      <c r="O7" s="1360"/>
      <c r="P7" s="1359"/>
      <c r="Q7" s="1359"/>
      <c r="R7" s="1402"/>
      <c r="S7" s="1402"/>
      <c r="T7" s="1359"/>
      <c r="U7" s="1359"/>
      <c r="V7" s="1359"/>
      <c r="W7" s="1359"/>
      <c r="X7" s="1359"/>
      <c r="Y7" s="1359"/>
      <c r="Z7" s="1328"/>
    </row>
    <row r="8" spans="1:26" ht="14.25" customHeight="1" x14ac:dyDescent="0.2">
      <c r="A8" s="943"/>
      <c r="B8" s="1363"/>
      <c r="C8" s="1363"/>
      <c r="D8" s="1363"/>
      <c r="E8" s="1331"/>
      <c r="F8" s="1331"/>
      <c r="G8" s="1363"/>
      <c r="H8" s="1363"/>
      <c r="I8" s="1363"/>
      <c r="J8" s="1363"/>
      <c r="K8" s="1363"/>
      <c r="L8" s="1363"/>
      <c r="M8" s="1363"/>
      <c r="N8" s="1363"/>
      <c r="O8" s="1363"/>
      <c r="P8" s="1543"/>
      <c r="Q8" s="1543"/>
      <c r="R8" s="1891"/>
      <c r="S8" s="1891"/>
      <c r="T8" s="1543"/>
      <c r="U8" s="1543"/>
      <c r="V8" s="1543"/>
      <c r="W8" s="1543"/>
      <c r="X8" s="1543"/>
      <c r="Y8" s="1543"/>
      <c r="Z8" s="1328"/>
    </row>
    <row r="9" spans="1:26" ht="9.75" customHeight="1" x14ac:dyDescent="0.2">
      <c r="A9" s="943"/>
      <c r="B9" s="1363"/>
      <c r="C9" s="1363"/>
      <c r="D9" s="1363"/>
      <c r="E9" s="1331"/>
      <c r="F9" s="1331"/>
      <c r="G9" s="1363"/>
      <c r="H9" s="1363"/>
      <c r="I9" s="1363"/>
      <c r="J9" s="1363"/>
      <c r="K9" s="1363"/>
      <c r="L9" s="1363"/>
      <c r="M9" s="1363"/>
      <c r="N9" s="1363"/>
      <c r="O9" s="1363"/>
      <c r="P9" s="1543"/>
      <c r="Q9" s="1543"/>
      <c r="R9" s="1891"/>
      <c r="S9" s="1891"/>
      <c r="T9" s="1543"/>
      <c r="U9" s="1543"/>
      <c r="V9" s="1543"/>
      <c r="W9" s="1543"/>
      <c r="X9" s="1543"/>
      <c r="Y9" s="1543"/>
      <c r="Z9" s="1328"/>
    </row>
    <row r="10" spans="1:26" x14ac:dyDescent="0.2">
      <c r="A10" s="1364" t="s">
        <v>1</v>
      </c>
      <c r="B10" s="1365"/>
      <c r="C10" s="2416" t="s">
        <v>667</v>
      </c>
      <c r="D10" s="2417"/>
      <c r="E10" s="1333"/>
      <c r="F10" s="1885"/>
      <c r="G10" s="1927"/>
      <c r="H10" s="1927"/>
      <c r="I10" s="1926"/>
      <c r="J10" s="1893"/>
      <c r="K10" s="1893"/>
      <c r="L10" s="1927"/>
      <c r="M10" s="1926"/>
      <c r="N10" s="1893"/>
      <c r="O10" s="1448"/>
      <c r="P10" s="981" t="s">
        <v>668</v>
      </c>
      <c r="Q10" s="981"/>
      <c r="R10" s="981" t="s">
        <v>551</v>
      </c>
      <c r="S10" s="982"/>
      <c r="T10" s="1405"/>
      <c r="U10" s="1406"/>
      <c r="V10" s="1406"/>
      <c r="W10" s="1406"/>
      <c r="X10" s="1406"/>
      <c r="Y10" s="1406"/>
      <c r="Z10" s="1674"/>
    </row>
    <row r="11" spans="1:26" ht="13.5" x14ac:dyDescent="0.2">
      <c r="A11" s="1364" t="s">
        <v>2</v>
      </c>
      <c r="B11" s="1365"/>
      <c r="C11" s="2412" t="s">
        <v>35</v>
      </c>
      <c r="D11" s="2413"/>
      <c r="E11" s="1335"/>
      <c r="F11" s="906" t="s">
        <v>546</v>
      </c>
      <c r="G11" s="985" t="s">
        <v>547</v>
      </c>
      <c r="H11" s="985" t="s">
        <v>548</v>
      </c>
      <c r="I11" s="986" t="s">
        <v>549</v>
      </c>
      <c r="J11" s="985" t="s">
        <v>497</v>
      </c>
      <c r="K11" s="985" t="s">
        <v>496</v>
      </c>
      <c r="L11" s="985" t="s">
        <v>495</v>
      </c>
      <c r="M11" s="986" t="s">
        <v>494</v>
      </c>
      <c r="N11" s="985" t="s">
        <v>363</v>
      </c>
      <c r="O11" s="1448"/>
      <c r="P11" s="985" t="s">
        <v>546</v>
      </c>
      <c r="Q11" s="985" t="s">
        <v>497</v>
      </c>
      <c r="R11" s="2304" t="s">
        <v>35</v>
      </c>
      <c r="S11" s="2305"/>
      <c r="T11" s="1408"/>
      <c r="U11" s="987" t="s">
        <v>550</v>
      </c>
      <c r="V11" s="987" t="s">
        <v>498</v>
      </c>
      <c r="W11" s="987" t="s">
        <v>490</v>
      </c>
      <c r="X11" s="987" t="s">
        <v>360</v>
      </c>
      <c r="Y11" s="987" t="s">
        <v>342</v>
      </c>
      <c r="Z11" s="1674"/>
    </row>
    <row r="12" spans="1:26" s="2136" customFormat="1" x14ac:dyDescent="0.2">
      <c r="A12" s="1364"/>
      <c r="B12" s="1364"/>
      <c r="C12" s="2163"/>
      <c r="D12" s="1367"/>
      <c r="E12" s="1336"/>
      <c r="F12" s="1080"/>
      <c r="G12" s="1148"/>
      <c r="H12" s="1148"/>
      <c r="I12" s="1149"/>
      <c r="J12" s="1148"/>
      <c r="K12" s="1148"/>
      <c r="L12" s="1148"/>
      <c r="M12" s="1149"/>
      <c r="N12" s="1148"/>
      <c r="O12" s="1414"/>
      <c r="P12" s="1411"/>
      <c r="Q12" s="1411"/>
      <c r="R12" s="1896"/>
      <c r="S12" s="1896"/>
      <c r="T12" s="1366"/>
      <c r="U12" s="1413"/>
      <c r="V12" s="1409"/>
      <c r="W12" s="1413"/>
      <c r="X12" s="1413"/>
      <c r="Y12" s="1413"/>
      <c r="Z12" s="1675"/>
    </row>
    <row r="13" spans="1:26" x14ac:dyDescent="0.2">
      <c r="A13" s="1368" t="s">
        <v>56</v>
      </c>
      <c r="B13" s="1369"/>
      <c r="C13" s="1899"/>
      <c r="D13" s="1900"/>
      <c r="E13" s="1901"/>
      <c r="F13" s="1332"/>
      <c r="G13" s="1365"/>
      <c r="H13" s="1365"/>
      <c r="I13" s="1900"/>
      <c r="J13" s="1365"/>
      <c r="K13" s="1365"/>
      <c r="L13" s="1365"/>
      <c r="M13" s="1900"/>
      <c r="N13" s="1365"/>
      <c r="O13" s="1448"/>
      <c r="P13" s="1365"/>
      <c r="Q13" s="1365"/>
      <c r="R13" s="1704"/>
      <c r="S13" s="1902"/>
      <c r="T13" s="1377"/>
      <c r="U13" s="1448"/>
      <c r="V13" s="1900"/>
      <c r="W13" s="1448"/>
      <c r="X13" s="1448"/>
      <c r="Y13" s="1448"/>
      <c r="Z13" s="1674"/>
    </row>
    <row r="14" spans="1:26" ht="12.75" customHeight="1" x14ac:dyDescent="0.2">
      <c r="A14" s="1365"/>
      <c r="B14" s="1370" t="s">
        <v>321</v>
      </c>
      <c r="C14" s="1375">
        <v>5285</v>
      </c>
      <c r="D14" s="1376">
        <v>7.7540420786994926E-2</v>
      </c>
      <c r="E14" s="1339"/>
      <c r="F14" s="1355">
        <v>73443</v>
      </c>
      <c r="G14" s="1471">
        <v>81208</v>
      </c>
      <c r="H14" s="1471">
        <v>72730</v>
      </c>
      <c r="I14" s="1271">
        <v>76206</v>
      </c>
      <c r="J14" s="1471">
        <v>68158</v>
      </c>
      <c r="K14" s="1471">
        <v>66603</v>
      </c>
      <c r="L14" s="1471">
        <v>46112</v>
      </c>
      <c r="M14" s="1271">
        <v>55069</v>
      </c>
      <c r="N14" s="1471">
        <v>64726</v>
      </c>
      <c r="O14" s="1448"/>
      <c r="P14" s="1419">
        <v>303587</v>
      </c>
      <c r="Q14" s="1419">
        <v>235942</v>
      </c>
      <c r="R14" s="1421">
        <v>67645</v>
      </c>
      <c r="S14" s="1374">
        <v>0.2867018165481347</v>
      </c>
      <c r="T14" s="1377"/>
      <c r="U14" s="1493">
        <v>303587</v>
      </c>
      <c r="V14" s="1498">
        <v>235942</v>
      </c>
      <c r="W14" s="1499">
        <v>234211</v>
      </c>
      <c r="X14" s="1499">
        <v>217411</v>
      </c>
      <c r="Y14" s="1493">
        <v>202972</v>
      </c>
      <c r="Z14" s="1674"/>
    </row>
    <row r="15" spans="1:26" ht="12.75" customHeight="1" x14ac:dyDescent="0.2">
      <c r="A15" s="1369"/>
      <c r="B15" s="1365"/>
      <c r="C15" s="1375">
        <v>5285</v>
      </c>
      <c r="D15" s="1376">
        <v>7.7540420786994926E-2</v>
      </c>
      <c r="E15" s="1339"/>
      <c r="F15" s="1512">
        <v>73443</v>
      </c>
      <c r="G15" s="1518">
        <v>81208</v>
      </c>
      <c r="H15" s="1518">
        <v>72730</v>
      </c>
      <c r="I15" s="1519">
        <v>76206</v>
      </c>
      <c r="J15" s="1518">
        <v>68158</v>
      </c>
      <c r="K15" s="1518">
        <v>66603</v>
      </c>
      <c r="L15" s="1518">
        <v>46112</v>
      </c>
      <c r="M15" s="1519">
        <v>55069</v>
      </c>
      <c r="N15" s="1518">
        <v>64726</v>
      </c>
      <c r="O15" s="1448"/>
      <c r="P15" s="1419">
        <v>303587</v>
      </c>
      <c r="Q15" s="1419">
        <v>235942</v>
      </c>
      <c r="R15" s="1426">
        <v>67645</v>
      </c>
      <c r="S15" s="1373">
        <v>0.2867018165481347</v>
      </c>
      <c r="T15" s="1377"/>
      <c r="U15" s="1918">
        <v>303587</v>
      </c>
      <c r="V15" s="1485">
        <v>235942</v>
      </c>
      <c r="W15" s="1482">
        <v>234211</v>
      </c>
      <c r="X15" s="1482">
        <v>217411</v>
      </c>
      <c r="Y15" s="1427">
        <v>202972</v>
      </c>
      <c r="Z15" s="1674"/>
    </row>
    <row r="16" spans="1:26" ht="12.75" customHeight="1" x14ac:dyDescent="0.2">
      <c r="A16" s="1368" t="s">
        <v>5</v>
      </c>
      <c r="B16" s="1365"/>
      <c r="C16" s="1562"/>
      <c r="D16" s="1450"/>
      <c r="E16" s="1693"/>
      <c r="F16" s="2256"/>
      <c r="G16" s="1521"/>
      <c r="H16" s="1521"/>
      <c r="I16" s="1474"/>
      <c r="J16" s="1428"/>
      <c r="K16" s="1521"/>
      <c r="L16" s="1428"/>
      <c r="M16" s="1473"/>
      <c r="N16" s="1428"/>
      <c r="O16" s="1448"/>
      <c r="P16" s="1428"/>
      <c r="Q16" s="1428"/>
      <c r="R16" s="1421"/>
      <c r="S16" s="1374"/>
      <c r="T16" s="1377"/>
      <c r="U16" s="2248"/>
      <c r="V16" s="2247"/>
      <c r="W16" s="1522"/>
      <c r="X16" s="1522"/>
      <c r="Y16" s="1522"/>
      <c r="Z16" s="1674"/>
    </row>
    <row r="17" spans="1:26" ht="12.75" customHeight="1" x14ac:dyDescent="0.2">
      <c r="A17" s="1369"/>
      <c r="B17" s="945" t="s">
        <v>624</v>
      </c>
      <c r="C17" s="1371">
        <v>2480</v>
      </c>
      <c r="D17" s="1374">
        <v>7.33792940201793E-2</v>
      </c>
      <c r="E17" s="1693"/>
      <c r="F17" s="1343">
        <v>36277</v>
      </c>
      <c r="G17" s="1428">
        <v>44077</v>
      </c>
      <c r="H17" s="1428">
        <v>38143</v>
      </c>
      <c r="I17" s="1473">
        <v>41718</v>
      </c>
      <c r="J17" s="1428">
        <v>33797</v>
      </c>
      <c r="K17" s="1428">
        <v>36594</v>
      </c>
      <c r="L17" s="1428">
        <v>27277</v>
      </c>
      <c r="M17" s="1473">
        <v>30355</v>
      </c>
      <c r="N17" s="1428">
        <v>35280</v>
      </c>
      <c r="O17" s="1448"/>
      <c r="P17" s="1428">
        <v>160215</v>
      </c>
      <c r="Q17" s="1471">
        <v>128023</v>
      </c>
      <c r="R17" s="1421">
        <v>32192</v>
      </c>
      <c r="S17" s="1374">
        <v>0.25145481671262193</v>
      </c>
      <c r="T17" s="1377"/>
      <c r="U17" s="1493">
        <v>160215</v>
      </c>
      <c r="V17" s="1540">
        <v>128023</v>
      </c>
      <c r="W17" s="1642">
        <v>126968</v>
      </c>
      <c r="X17" s="1642">
        <v>121448</v>
      </c>
      <c r="Y17" s="1493">
        <v>107787</v>
      </c>
      <c r="Z17" s="1674"/>
    </row>
    <row r="18" spans="1:26" ht="12.75" customHeight="1" x14ac:dyDescent="0.2">
      <c r="A18" s="1369"/>
      <c r="B18" s="1365" t="s">
        <v>61</v>
      </c>
      <c r="C18" s="1371">
        <v>-698</v>
      </c>
      <c r="D18" s="1374">
        <v>-0.22900262467191601</v>
      </c>
      <c r="E18" s="1693"/>
      <c r="F18" s="1343">
        <v>2350</v>
      </c>
      <c r="G18" s="1428">
        <v>2902</v>
      </c>
      <c r="H18" s="1428">
        <v>2707</v>
      </c>
      <c r="I18" s="1473">
        <v>2444</v>
      </c>
      <c r="J18" s="1428">
        <v>3048</v>
      </c>
      <c r="K18" s="1272">
        <v>3028</v>
      </c>
      <c r="L18" s="1428">
        <v>2763</v>
      </c>
      <c r="M18" s="1473">
        <v>3051</v>
      </c>
      <c r="N18" s="1428">
        <v>3266</v>
      </c>
      <c r="O18" s="1448"/>
      <c r="P18" s="1428">
        <v>10403</v>
      </c>
      <c r="Q18" s="1428">
        <v>11890</v>
      </c>
      <c r="R18" s="1421">
        <v>-1487</v>
      </c>
      <c r="S18" s="1480">
        <v>-0.12506307821698906</v>
      </c>
      <c r="T18" s="1377"/>
      <c r="U18" s="1493">
        <v>10403</v>
      </c>
      <c r="V18" s="1489">
        <v>11890</v>
      </c>
      <c r="W18" s="1476">
        <v>12551</v>
      </c>
      <c r="X18" s="1476">
        <v>11669</v>
      </c>
      <c r="Y18" s="1476">
        <v>9986</v>
      </c>
      <c r="Z18" s="1674"/>
    </row>
    <row r="19" spans="1:26" x14ac:dyDescent="0.2">
      <c r="A19" s="1369"/>
      <c r="B19" s="1365" t="s">
        <v>88</v>
      </c>
      <c r="C19" s="1371">
        <v>-407</v>
      </c>
      <c r="D19" s="1374">
        <v>-3.8906414300736068E-2</v>
      </c>
      <c r="E19" s="1693"/>
      <c r="F19" s="1343">
        <v>10054</v>
      </c>
      <c r="G19" s="1428">
        <v>13695</v>
      </c>
      <c r="H19" s="1428">
        <v>12039</v>
      </c>
      <c r="I19" s="1473">
        <v>10689</v>
      </c>
      <c r="J19" s="1428">
        <v>10461</v>
      </c>
      <c r="K19" s="1272">
        <v>8539</v>
      </c>
      <c r="L19" s="1428">
        <v>7434</v>
      </c>
      <c r="M19" s="1473">
        <v>9648</v>
      </c>
      <c r="N19" s="1428">
        <v>10119</v>
      </c>
      <c r="O19" s="1448"/>
      <c r="P19" s="1428">
        <v>46477</v>
      </c>
      <c r="Q19" s="1428">
        <v>36082</v>
      </c>
      <c r="R19" s="1421">
        <v>10395</v>
      </c>
      <c r="S19" s="1374">
        <v>0.28809378637547806</v>
      </c>
      <c r="T19" s="1377"/>
      <c r="U19" s="1493">
        <v>46477</v>
      </c>
      <c r="V19" s="1489">
        <v>36082</v>
      </c>
      <c r="W19" s="1476">
        <v>35993</v>
      </c>
      <c r="X19" s="1476">
        <v>32162</v>
      </c>
      <c r="Y19" s="1476">
        <v>27978</v>
      </c>
      <c r="Z19" s="1674"/>
    </row>
    <row r="20" spans="1:26" ht="12.75" customHeight="1" x14ac:dyDescent="0.2">
      <c r="A20" s="1369"/>
      <c r="B20" s="1365" t="s">
        <v>63</v>
      </c>
      <c r="C20" s="1371">
        <v>301</v>
      </c>
      <c r="D20" s="1374">
        <v>0.11001461988304094</v>
      </c>
      <c r="E20" s="1693"/>
      <c r="F20" s="1343">
        <v>3037</v>
      </c>
      <c r="G20" s="1428">
        <v>2892</v>
      </c>
      <c r="H20" s="1428">
        <v>2916</v>
      </c>
      <c r="I20" s="1473">
        <v>2776</v>
      </c>
      <c r="J20" s="1428">
        <v>2736</v>
      </c>
      <c r="K20" s="1272">
        <v>2636</v>
      </c>
      <c r="L20" s="1428">
        <v>2398</v>
      </c>
      <c r="M20" s="1473">
        <v>2637</v>
      </c>
      <c r="N20" s="1428">
        <v>2651</v>
      </c>
      <c r="O20" s="1448"/>
      <c r="P20" s="1428">
        <v>11621</v>
      </c>
      <c r="Q20" s="1428">
        <v>10407</v>
      </c>
      <c r="R20" s="1421">
        <v>1214</v>
      </c>
      <c r="S20" s="1374">
        <v>0.11665225329105409</v>
      </c>
      <c r="T20" s="1377"/>
      <c r="U20" s="1493">
        <v>11621</v>
      </c>
      <c r="V20" s="1489">
        <v>10407</v>
      </c>
      <c r="W20" s="1476">
        <v>10535</v>
      </c>
      <c r="X20" s="1476">
        <v>10729</v>
      </c>
      <c r="Y20" s="1476">
        <v>9252</v>
      </c>
      <c r="Z20" s="1674"/>
    </row>
    <row r="21" spans="1:26" ht="12.75" customHeight="1" x14ac:dyDescent="0.2">
      <c r="A21" s="1369"/>
      <c r="B21" s="1365" t="s">
        <v>64</v>
      </c>
      <c r="C21" s="1371">
        <v>474</v>
      </c>
      <c r="D21" s="1374">
        <v>0.11634756995581738</v>
      </c>
      <c r="E21" s="1693"/>
      <c r="F21" s="1343">
        <v>4548</v>
      </c>
      <c r="G21" s="1428">
        <v>4749</v>
      </c>
      <c r="H21" s="1428">
        <v>4185</v>
      </c>
      <c r="I21" s="1473">
        <v>4237</v>
      </c>
      <c r="J21" s="1428">
        <v>4074</v>
      </c>
      <c r="K21" s="1272">
        <v>4567</v>
      </c>
      <c r="L21" s="1428">
        <v>4363</v>
      </c>
      <c r="M21" s="1473">
        <v>4046</v>
      </c>
      <c r="N21" s="1428">
        <v>4212</v>
      </c>
      <c r="O21" s="1448"/>
      <c r="P21" s="1428">
        <v>17719</v>
      </c>
      <c r="Q21" s="1428">
        <v>17050</v>
      </c>
      <c r="R21" s="1421">
        <v>669</v>
      </c>
      <c r="S21" s="1374">
        <v>3.9237536656891496E-2</v>
      </c>
      <c r="T21" s="1377"/>
      <c r="U21" s="1493">
        <v>17719</v>
      </c>
      <c r="V21" s="1489">
        <v>17050</v>
      </c>
      <c r="W21" s="1476">
        <v>16530</v>
      </c>
      <c r="X21" s="1476">
        <v>15993</v>
      </c>
      <c r="Y21" s="1476">
        <v>13886</v>
      </c>
      <c r="Z21" s="1674"/>
    </row>
    <row r="22" spans="1:26" ht="12.75" customHeight="1" x14ac:dyDescent="0.2">
      <c r="A22" s="1369"/>
      <c r="B22" s="1365" t="s">
        <v>59</v>
      </c>
      <c r="C22" s="1371">
        <v>-284</v>
      </c>
      <c r="D22" s="1374">
        <v>-0.20099079971691436</v>
      </c>
      <c r="E22" s="1693"/>
      <c r="F22" s="1343">
        <v>1129</v>
      </c>
      <c r="G22" s="1428">
        <v>822</v>
      </c>
      <c r="H22" s="1428">
        <v>1074</v>
      </c>
      <c r="I22" s="1473">
        <v>1602</v>
      </c>
      <c r="J22" s="1428">
        <v>1413</v>
      </c>
      <c r="K22" s="1272">
        <v>619</v>
      </c>
      <c r="L22" s="1428">
        <v>1245</v>
      </c>
      <c r="M22" s="1473">
        <v>1465</v>
      </c>
      <c r="N22" s="1428">
        <v>1211</v>
      </c>
      <c r="O22" s="1448"/>
      <c r="P22" s="1428">
        <v>4627</v>
      </c>
      <c r="Q22" s="1428">
        <v>4742</v>
      </c>
      <c r="R22" s="1421">
        <v>-115</v>
      </c>
      <c r="S22" s="1374">
        <v>-2.4251370729649935E-2</v>
      </c>
      <c r="T22" s="1377"/>
      <c r="U22" s="1493">
        <v>4627</v>
      </c>
      <c r="V22" s="1489">
        <v>4742</v>
      </c>
      <c r="W22" s="1476">
        <v>4945</v>
      </c>
      <c r="X22" s="1476">
        <v>3149</v>
      </c>
      <c r="Y22" s="1476">
        <v>3708</v>
      </c>
      <c r="Z22" s="1674"/>
    </row>
    <row r="23" spans="1:26" ht="12.75" customHeight="1" x14ac:dyDescent="0.2">
      <c r="A23" s="1369"/>
      <c r="B23" s="1365" t="s">
        <v>65</v>
      </c>
      <c r="C23" s="1371">
        <v>1125</v>
      </c>
      <c r="D23" s="1374">
        <v>0.25903753166014276</v>
      </c>
      <c r="E23" s="1693"/>
      <c r="F23" s="1343">
        <v>5468</v>
      </c>
      <c r="G23" s="1428">
        <v>5575</v>
      </c>
      <c r="H23" s="1428">
        <v>4408</v>
      </c>
      <c r="I23" s="1473">
        <v>3873</v>
      </c>
      <c r="J23" s="1428">
        <v>4343</v>
      </c>
      <c r="K23" s="1272">
        <v>4232</v>
      </c>
      <c r="L23" s="1428">
        <v>3608</v>
      </c>
      <c r="M23" s="1473">
        <v>4785</v>
      </c>
      <c r="N23" s="1428">
        <v>3690</v>
      </c>
      <c r="O23" s="1448"/>
      <c r="P23" s="1428">
        <v>19324</v>
      </c>
      <c r="Q23" s="1428">
        <v>16968</v>
      </c>
      <c r="R23" s="1421">
        <v>2356</v>
      </c>
      <c r="S23" s="1374">
        <v>0.13884959924563886</v>
      </c>
      <c r="T23" s="1377"/>
      <c r="U23" s="1493">
        <v>19324</v>
      </c>
      <c r="V23" s="1489">
        <v>16968</v>
      </c>
      <c r="W23" s="1476">
        <v>18356</v>
      </c>
      <c r="X23" s="1476">
        <v>21632</v>
      </c>
      <c r="Y23" s="1476">
        <v>20225</v>
      </c>
      <c r="Z23" s="1674"/>
    </row>
    <row r="24" spans="1:26" ht="12.75" customHeight="1" x14ac:dyDescent="0.2">
      <c r="A24" s="1369"/>
      <c r="B24" s="1365" t="s">
        <v>66</v>
      </c>
      <c r="C24" s="1371">
        <v>-33</v>
      </c>
      <c r="D24" s="1374">
        <v>-7.1739130434782611E-2</v>
      </c>
      <c r="E24" s="2220"/>
      <c r="F24" s="1343">
        <v>427</v>
      </c>
      <c r="G24" s="1428">
        <v>427</v>
      </c>
      <c r="H24" s="1428">
        <v>446</v>
      </c>
      <c r="I24" s="1473">
        <v>465</v>
      </c>
      <c r="J24" s="1428">
        <v>460</v>
      </c>
      <c r="K24" s="1272">
        <v>457</v>
      </c>
      <c r="L24" s="1428">
        <v>449</v>
      </c>
      <c r="M24" s="1473">
        <v>484</v>
      </c>
      <c r="N24" s="1428">
        <v>473</v>
      </c>
      <c r="O24" s="1448"/>
      <c r="P24" s="1428">
        <v>1765</v>
      </c>
      <c r="Q24" s="1428">
        <v>1850</v>
      </c>
      <c r="R24" s="1421">
        <v>-85</v>
      </c>
      <c r="S24" s="1374">
        <v>-4.5945945945945948E-2</v>
      </c>
      <c r="T24" s="1377"/>
      <c r="U24" s="1493">
        <v>1765</v>
      </c>
      <c r="V24" s="1489">
        <v>1850</v>
      </c>
      <c r="W24" s="1476">
        <v>1978</v>
      </c>
      <c r="X24" s="1476">
        <v>1580</v>
      </c>
      <c r="Y24" s="1476">
        <v>1370</v>
      </c>
      <c r="Z24" s="1674"/>
    </row>
    <row r="25" spans="1:26" ht="12.75" customHeight="1" x14ac:dyDescent="0.2">
      <c r="A25" s="1365"/>
      <c r="B25" s="1365" t="s">
        <v>67</v>
      </c>
      <c r="C25" s="1371">
        <v>-31</v>
      </c>
      <c r="D25" s="1374">
        <v>-0.28703703703703703</v>
      </c>
      <c r="E25" s="1693"/>
      <c r="F25" s="1343">
        <v>77</v>
      </c>
      <c r="G25" s="1428">
        <v>109</v>
      </c>
      <c r="H25" s="1428">
        <v>55</v>
      </c>
      <c r="I25" s="1523">
        <v>43</v>
      </c>
      <c r="J25" s="1420">
        <v>108</v>
      </c>
      <c r="K25" s="1272">
        <v>73</v>
      </c>
      <c r="L25" s="1428">
        <v>208</v>
      </c>
      <c r="M25" s="1523">
        <v>77</v>
      </c>
      <c r="N25" s="1420">
        <v>269</v>
      </c>
      <c r="O25" s="1448"/>
      <c r="P25" s="1428">
        <v>284</v>
      </c>
      <c r="Q25" s="1428">
        <v>466</v>
      </c>
      <c r="R25" s="1421">
        <v>-182</v>
      </c>
      <c r="S25" s="1374">
        <v>-0.3905579399141631</v>
      </c>
      <c r="T25" s="1377"/>
      <c r="U25" s="1493">
        <v>284</v>
      </c>
      <c r="V25" s="1489">
        <v>466</v>
      </c>
      <c r="W25" s="1476">
        <v>1474</v>
      </c>
      <c r="X25" s="1476">
        <v>2844</v>
      </c>
      <c r="Y25" s="1476">
        <v>4946</v>
      </c>
      <c r="Z25" s="1674"/>
    </row>
    <row r="26" spans="1:26" ht="12.75" customHeight="1" x14ac:dyDescent="0.2">
      <c r="A26" s="1369"/>
      <c r="B26" s="1365" t="s">
        <v>149</v>
      </c>
      <c r="C26" s="1371">
        <v>0</v>
      </c>
      <c r="D26" s="1374">
        <v>0</v>
      </c>
      <c r="E26" s="1693"/>
      <c r="F26" s="1654">
        <v>0</v>
      </c>
      <c r="G26" s="1387">
        <v>0</v>
      </c>
      <c r="H26" s="1387">
        <v>0</v>
      </c>
      <c r="I26" s="1019">
        <v>0</v>
      </c>
      <c r="J26" s="1446">
        <v>0</v>
      </c>
      <c r="K26" s="1001">
        <v>0</v>
      </c>
      <c r="L26" s="1387">
        <v>1890</v>
      </c>
      <c r="M26" s="1019">
        <v>0</v>
      </c>
      <c r="N26" s="1446">
        <v>0</v>
      </c>
      <c r="O26" s="1448"/>
      <c r="P26" s="1038">
        <v>0</v>
      </c>
      <c r="Q26" s="1428">
        <v>1890</v>
      </c>
      <c r="R26" s="1421">
        <v>-1890</v>
      </c>
      <c r="S26" s="1374">
        <v>-1</v>
      </c>
      <c r="T26" s="1377"/>
      <c r="U26" s="1180">
        <v>0</v>
      </c>
      <c r="V26" s="1165">
        <v>1890</v>
      </c>
      <c r="W26" s="1542">
        <v>0</v>
      </c>
      <c r="X26" s="1476">
        <v>2039</v>
      </c>
      <c r="Y26" s="1524">
        <v>7348</v>
      </c>
      <c r="Z26" s="1674"/>
    </row>
    <row r="27" spans="1:26" ht="12.75" customHeight="1" x14ac:dyDescent="0.2">
      <c r="A27" s="1369"/>
      <c r="B27" s="953" t="s">
        <v>169</v>
      </c>
      <c r="C27" s="1371">
        <v>803</v>
      </c>
      <c r="D27" s="1374">
        <v>0</v>
      </c>
      <c r="E27" s="1693"/>
      <c r="F27" s="1343">
        <v>803</v>
      </c>
      <c r="G27" s="1387">
        <v>0</v>
      </c>
      <c r="H27" s="1387">
        <v>0</v>
      </c>
      <c r="I27" s="1019">
        <v>0</v>
      </c>
      <c r="J27" s="1446">
        <v>0</v>
      </c>
      <c r="K27" s="1001">
        <v>0</v>
      </c>
      <c r="L27" s="1387">
        <v>0</v>
      </c>
      <c r="M27" s="1019">
        <v>0</v>
      </c>
      <c r="N27" s="1446">
        <v>0</v>
      </c>
      <c r="O27" s="1448"/>
      <c r="P27" s="1428">
        <v>803</v>
      </c>
      <c r="Q27" s="1038">
        <v>0</v>
      </c>
      <c r="R27" s="1421">
        <v>803</v>
      </c>
      <c r="S27" s="1374" t="s">
        <v>38</v>
      </c>
      <c r="T27" s="1377"/>
      <c r="U27" s="1182">
        <v>803</v>
      </c>
      <c r="V27" s="1165">
        <v>0</v>
      </c>
      <c r="W27" s="1542">
        <v>0</v>
      </c>
      <c r="X27" s="1476">
        <v>0</v>
      </c>
      <c r="Y27" s="1524">
        <v>0</v>
      </c>
      <c r="Z27" s="1674"/>
    </row>
    <row r="28" spans="1:26" ht="12.75" customHeight="1" x14ac:dyDescent="0.2">
      <c r="A28" s="1369"/>
      <c r="B28" s="1126" t="s">
        <v>625</v>
      </c>
      <c r="C28" s="1371">
        <v>-17872</v>
      </c>
      <c r="D28" s="1374">
        <v>-1</v>
      </c>
      <c r="E28" s="1693"/>
      <c r="F28" s="1654">
        <v>0</v>
      </c>
      <c r="G28" s="1387">
        <v>0</v>
      </c>
      <c r="H28" s="1387">
        <v>0</v>
      </c>
      <c r="I28" s="1019">
        <v>0</v>
      </c>
      <c r="J28" s="1446">
        <v>17872</v>
      </c>
      <c r="K28" s="1001"/>
      <c r="L28" s="1387"/>
      <c r="M28" s="1019"/>
      <c r="N28" s="1446"/>
      <c r="O28" s="1448"/>
      <c r="P28" s="1038">
        <v>0</v>
      </c>
      <c r="Q28" s="1428">
        <v>17872</v>
      </c>
      <c r="R28" s="1421">
        <v>-17872</v>
      </c>
      <c r="S28" s="1374">
        <v>0</v>
      </c>
      <c r="T28" s="1377"/>
      <c r="U28" s="1180">
        <v>0</v>
      </c>
      <c r="V28" s="1165">
        <v>17872</v>
      </c>
      <c r="W28" s="1542">
        <v>0</v>
      </c>
      <c r="X28" s="1542">
        <v>0</v>
      </c>
      <c r="Y28" s="1542">
        <v>0</v>
      </c>
      <c r="Z28" s="1674"/>
    </row>
    <row r="29" spans="1:26" ht="12.75" customHeight="1" x14ac:dyDescent="0.2">
      <c r="A29" s="1365"/>
      <c r="B29" s="1365" t="s">
        <v>361</v>
      </c>
      <c r="C29" s="1375">
        <v>0</v>
      </c>
      <c r="D29" s="1376">
        <v>0</v>
      </c>
      <c r="E29" s="1693"/>
      <c r="F29" s="1654">
        <v>0</v>
      </c>
      <c r="G29" s="1437">
        <v>0</v>
      </c>
      <c r="H29" s="1437">
        <v>0</v>
      </c>
      <c r="I29" s="1523">
        <v>0</v>
      </c>
      <c r="J29" s="1001">
        <v>0</v>
      </c>
      <c r="K29" s="1001">
        <v>0</v>
      </c>
      <c r="L29" s="1437">
        <v>0</v>
      </c>
      <c r="M29" s="1523">
        <v>0</v>
      </c>
      <c r="N29" s="1001">
        <v>0</v>
      </c>
      <c r="O29" s="1443"/>
      <c r="P29" s="1038">
        <v>0</v>
      </c>
      <c r="Q29" s="1038">
        <v>0</v>
      </c>
      <c r="R29" s="1421">
        <v>0</v>
      </c>
      <c r="S29" s="1374">
        <v>0</v>
      </c>
      <c r="T29" s="1525"/>
      <c r="U29" s="1180">
        <v>0</v>
      </c>
      <c r="V29" s="1670">
        <v>0</v>
      </c>
      <c r="W29" s="1542">
        <v>0</v>
      </c>
      <c r="X29" s="1476">
        <v>15957</v>
      </c>
      <c r="Y29" s="1524">
        <v>0</v>
      </c>
      <c r="Z29" s="1674"/>
    </row>
    <row r="30" spans="1:26" ht="12.75" customHeight="1" x14ac:dyDescent="0.2">
      <c r="A30" s="1369"/>
      <c r="B30" s="1365"/>
      <c r="C30" s="1372">
        <v>-14142</v>
      </c>
      <c r="D30" s="1373">
        <v>-0.18058535090407601</v>
      </c>
      <c r="E30" s="1339"/>
      <c r="F30" s="1512">
        <v>64170</v>
      </c>
      <c r="G30" s="1518">
        <v>75248</v>
      </c>
      <c r="H30" s="1518">
        <v>65973</v>
      </c>
      <c r="I30" s="1474">
        <v>67847</v>
      </c>
      <c r="J30" s="1518">
        <v>78312</v>
      </c>
      <c r="K30" s="1518">
        <v>60745</v>
      </c>
      <c r="L30" s="1518">
        <v>51635</v>
      </c>
      <c r="M30" s="1474">
        <v>56548</v>
      </c>
      <c r="N30" s="1518">
        <v>61171</v>
      </c>
      <c r="O30" s="1448"/>
      <c r="P30" s="1518">
        <v>273238</v>
      </c>
      <c r="Q30" s="1518">
        <v>247240</v>
      </c>
      <c r="R30" s="1449">
        <v>25998</v>
      </c>
      <c r="S30" s="1450">
        <v>0.1051528878822197</v>
      </c>
      <c r="T30" s="1365"/>
      <c r="U30" s="1918">
        <v>273238</v>
      </c>
      <c r="V30" s="1519">
        <v>247240</v>
      </c>
      <c r="W30" s="1643">
        <v>229330</v>
      </c>
      <c r="X30" s="1643">
        <v>239202</v>
      </c>
      <c r="Y30" s="1451">
        <v>206486</v>
      </c>
      <c r="Z30" s="1674"/>
    </row>
    <row r="31" spans="1:26" s="1772" customFormat="1" ht="24.95" customHeight="1" x14ac:dyDescent="0.2">
      <c r="A31" s="2394" t="s">
        <v>168</v>
      </c>
      <c r="B31" s="2393"/>
      <c r="C31" s="1372">
        <v>19427</v>
      </c>
      <c r="D31" s="1373">
        <v>-1.913236163088438</v>
      </c>
      <c r="E31" s="1339"/>
      <c r="F31" s="1347">
        <v>9273</v>
      </c>
      <c r="G31" s="1452">
        <v>5960</v>
      </c>
      <c r="H31" s="1452">
        <v>6757</v>
      </c>
      <c r="I31" s="1453">
        <v>8359</v>
      </c>
      <c r="J31" s="1452">
        <v>-10154</v>
      </c>
      <c r="K31" s="1452">
        <v>5858</v>
      </c>
      <c r="L31" s="1452">
        <v>-5523</v>
      </c>
      <c r="M31" s="1453">
        <v>-1479</v>
      </c>
      <c r="N31" s="1452">
        <v>3555</v>
      </c>
      <c r="O31" s="1440"/>
      <c r="P31" s="1452">
        <v>30349</v>
      </c>
      <c r="Q31" s="1452">
        <v>-11298</v>
      </c>
      <c r="R31" s="1269">
        <v>41647</v>
      </c>
      <c r="S31" s="1373" t="s">
        <v>38</v>
      </c>
      <c r="T31" s="1388"/>
      <c r="U31" s="1493">
        <v>30349</v>
      </c>
      <c r="V31" s="1453">
        <v>-11298</v>
      </c>
      <c r="W31" s="1638">
        <v>4881</v>
      </c>
      <c r="X31" s="1638">
        <v>-21791</v>
      </c>
      <c r="Y31" s="1277">
        <v>-3514</v>
      </c>
      <c r="Z31" s="1676"/>
    </row>
    <row r="32" spans="1:26" s="1772" customFormat="1" ht="12.75" customHeight="1" x14ac:dyDescent="0.2">
      <c r="A32" s="1953"/>
      <c r="B32" s="1707" t="s">
        <v>313</v>
      </c>
      <c r="C32" s="1372">
        <v>-86</v>
      </c>
      <c r="D32" s="1373">
        <v>-9.7949886104783598E-2</v>
      </c>
      <c r="E32" s="1339"/>
      <c r="F32" s="1513">
        <v>792</v>
      </c>
      <c r="G32" s="1528">
        <v>745</v>
      </c>
      <c r="H32" s="1528">
        <v>754</v>
      </c>
      <c r="I32" s="1274">
        <v>746</v>
      </c>
      <c r="J32" s="1528">
        <v>878</v>
      </c>
      <c r="K32" s="1528">
        <v>747</v>
      </c>
      <c r="L32" s="1528">
        <v>734</v>
      </c>
      <c r="M32" s="1274">
        <v>754</v>
      </c>
      <c r="N32" s="1528">
        <v>749</v>
      </c>
      <c r="O32" s="1530"/>
      <c r="P32" s="1269">
        <v>3037</v>
      </c>
      <c r="Q32" s="1529">
        <v>3113</v>
      </c>
      <c r="R32" s="1269">
        <v>-76</v>
      </c>
      <c r="S32" s="1373">
        <v>-2.4413748795374238E-2</v>
      </c>
      <c r="T32" s="1570"/>
      <c r="U32" s="1918">
        <v>3037</v>
      </c>
      <c r="V32" s="1489">
        <v>3113</v>
      </c>
      <c r="W32" s="1476">
        <v>2993</v>
      </c>
      <c r="X32" s="1476">
        <v>3001</v>
      </c>
      <c r="Y32" s="1531">
        <v>3004</v>
      </c>
      <c r="Z32" s="1676"/>
    </row>
    <row r="33" spans="1:26" s="1772" customFormat="1" ht="18.75" customHeight="1" thickBot="1" x14ac:dyDescent="0.25">
      <c r="A33" s="2394" t="s">
        <v>69</v>
      </c>
      <c r="B33" s="2414"/>
      <c r="C33" s="1372">
        <v>19513</v>
      </c>
      <c r="D33" s="1373">
        <v>-1.7687635968092821</v>
      </c>
      <c r="E33" s="1339"/>
      <c r="F33" s="1231">
        <v>8481</v>
      </c>
      <c r="G33" s="1294">
        <v>5215</v>
      </c>
      <c r="H33" s="1294">
        <v>6003</v>
      </c>
      <c r="I33" s="1298">
        <v>7613</v>
      </c>
      <c r="J33" s="1294">
        <v>-11032</v>
      </c>
      <c r="K33" s="1294">
        <v>5111</v>
      </c>
      <c r="L33" s="1294">
        <v>-6257</v>
      </c>
      <c r="M33" s="1298">
        <v>-2233</v>
      </c>
      <c r="N33" s="1294">
        <v>2806</v>
      </c>
      <c r="O33" s="1530"/>
      <c r="P33" s="1294">
        <v>27312</v>
      </c>
      <c r="Q33" s="1294">
        <v>-14411</v>
      </c>
      <c r="R33" s="1294">
        <v>41723</v>
      </c>
      <c r="S33" s="1381">
        <v>2.8952189299840398</v>
      </c>
      <c r="T33" s="1455"/>
      <c r="U33" s="2249">
        <v>27312</v>
      </c>
      <c r="V33" s="1298">
        <v>-14411</v>
      </c>
      <c r="W33" s="1300">
        <v>1888</v>
      </c>
      <c r="X33" s="1300">
        <v>-24792</v>
      </c>
      <c r="Y33" s="1300">
        <v>-6518</v>
      </c>
      <c r="Z33" s="1676"/>
    </row>
    <row r="34" spans="1:26" ht="12.75" customHeight="1" thickTop="1" x14ac:dyDescent="0.2">
      <c r="A34" s="1377"/>
      <c r="B34" s="1377"/>
      <c r="C34" s="1382"/>
      <c r="D34" s="1383"/>
      <c r="E34" s="1352"/>
      <c r="F34" s="1352"/>
      <c r="G34" s="1461"/>
      <c r="H34" s="1461"/>
      <c r="I34" s="1365"/>
      <c r="J34" s="1383"/>
      <c r="K34" s="1461"/>
      <c r="L34" s="1461"/>
      <c r="M34" s="1365"/>
      <c r="N34" s="1383"/>
      <c r="O34" s="1365"/>
      <c r="P34" s="1365"/>
      <c r="Q34" s="1388"/>
      <c r="R34" s="1421"/>
      <c r="S34" s="1383"/>
      <c r="T34" s="1388"/>
      <c r="U34" s="1388"/>
      <c r="V34" s="1388"/>
      <c r="W34" s="1388"/>
      <c r="X34" s="1388"/>
      <c r="Y34" s="1388"/>
      <c r="Z34" s="1329"/>
    </row>
    <row r="35" spans="1:26" ht="12.75" customHeight="1" x14ac:dyDescent="0.2">
      <c r="A35" s="1385" t="s">
        <v>71</v>
      </c>
      <c r="B35" s="1386"/>
      <c r="C35" s="1384">
        <v>-0.19148673302842312</v>
      </c>
      <c r="D35" s="1383"/>
      <c r="E35" s="1352"/>
      <c r="F35" s="1353">
        <v>0.493947687322141</v>
      </c>
      <c r="G35" s="1397">
        <v>0.54276672249039504</v>
      </c>
      <c r="H35" s="1397">
        <v>0.52444658325312798</v>
      </c>
      <c r="I35" s="1397">
        <v>0.54743720966853004</v>
      </c>
      <c r="J35" s="1397">
        <v>0.49586255465242524</v>
      </c>
      <c r="K35" s="1397">
        <v>0.54943471014819156</v>
      </c>
      <c r="L35" s="1397">
        <v>0.5915379944482998</v>
      </c>
      <c r="M35" s="1397">
        <v>0.55121756342043615</v>
      </c>
      <c r="N35" s="1397">
        <v>0.54506689738281366</v>
      </c>
      <c r="O35" s="1365"/>
      <c r="P35" s="1397">
        <v>0.52773998886645346</v>
      </c>
      <c r="Q35" s="1462">
        <v>0.5426036907375541</v>
      </c>
      <c r="R35" s="1384">
        <v>-1.4863701871100643</v>
      </c>
      <c r="S35" s="1383"/>
      <c r="T35" s="1388"/>
      <c r="U35" s="1397">
        <v>0.52773998886645346</v>
      </c>
      <c r="V35" s="1397">
        <v>0.5426036907375541</v>
      </c>
      <c r="W35" s="1397">
        <v>0.54210946539658689</v>
      </c>
      <c r="X35" s="1397">
        <v>0.55861018991679356</v>
      </c>
      <c r="Y35" s="1462">
        <v>0.53104369075537516</v>
      </c>
      <c r="Z35" s="1329"/>
    </row>
    <row r="36" spans="1:26" ht="12.75" customHeight="1" x14ac:dyDescent="0.2">
      <c r="A36" s="1128" t="s">
        <v>627</v>
      </c>
      <c r="B36" s="1386"/>
      <c r="C36" s="1384">
        <v>-1.463688580119038</v>
      </c>
      <c r="D36" s="1383"/>
      <c r="E36" s="1352"/>
      <c r="F36" s="1353">
        <v>0.52594529090587261</v>
      </c>
      <c r="G36" s="1397">
        <v>0.57850211801792928</v>
      </c>
      <c r="H36" s="1397">
        <v>0.56166643750859346</v>
      </c>
      <c r="I36" s="1397">
        <v>0.57950817520930109</v>
      </c>
      <c r="J36" s="1397">
        <v>0.54058217670706299</v>
      </c>
      <c r="K36" s="1397">
        <v>0.59489812771196493</v>
      </c>
      <c r="L36" s="1397">
        <v>0.65145732130464951</v>
      </c>
      <c r="M36" s="1397">
        <v>0.6066207848335724</v>
      </c>
      <c r="N36" s="1397">
        <v>0.59552575471989622</v>
      </c>
      <c r="O36" s="1365"/>
      <c r="P36" s="1397">
        <v>0.56200693705593452</v>
      </c>
      <c r="Q36" s="1462">
        <v>0.592997431572166</v>
      </c>
      <c r="R36" s="1384">
        <v>-3.0990494516231482</v>
      </c>
      <c r="S36" s="1383"/>
      <c r="T36" s="1388"/>
      <c r="U36" s="1397">
        <v>0.56200693705593452</v>
      </c>
      <c r="V36" s="1397">
        <v>0.592997431572166</v>
      </c>
      <c r="W36" s="1397">
        <v>0.59569789634133319</v>
      </c>
      <c r="X36" s="1397">
        <v>0.61228272718491705</v>
      </c>
      <c r="Y36" s="1462">
        <v>0.58024259503773923</v>
      </c>
      <c r="Z36" s="1329"/>
    </row>
    <row r="37" spans="1:26" ht="12.75" customHeight="1" x14ac:dyDescent="0.2">
      <c r="A37" s="1385" t="s">
        <v>72</v>
      </c>
      <c r="B37" s="1386"/>
      <c r="C37" s="1384">
        <v>-26.060167243677846</v>
      </c>
      <c r="D37" s="1383"/>
      <c r="E37" s="1352"/>
      <c r="F37" s="1353">
        <v>0.34779352695287502</v>
      </c>
      <c r="G37" s="1397">
        <v>0.34810609792138708</v>
      </c>
      <c r="H37" s="1397">
        <v>0.34542829643888356</v>
      </c>
      <c r="I37" s="1397">
        <v>0.3108022990315723</v>
      </c>
      <c r="J37" s="1397">
        <v>0.60839519938965347</v>
      </c>
      <c r="K37" s="1397">
        <v>0.3171478762217918</v>
      </c>
      <c r="L37" s="1397">
        <v>0.46831627342123527</v>
      </c>
      <c r="M37" s="1397">
        <v>0.42023643065971783</v>
      </c>
      <c r="N37" s="1397">
        <v>0.34955041250811114</v>
      </c>
      <c r="O37" s="1397"/>
      <c r="P37" s="1397">
        <v>0.33802501424632808</v>
      </c>
      <c r="Q37" s="1462">
        <v>0.45488721804511278</v>
      </c>
      <c r="R37" s="1384">
        <v>-11.686220379878471</v>
      </c>
      <c r="S37" s="1383"/>
      <c r="T37" s="1388"/>
      <c r="U37" s="1397">
        <v>0.33802501424632808</v>
      </c>
      <c r="V37" s="1397">
        <v>0.45488721804511278</v>
      </c>
      <c r="W37" s="1397">
        <v>0.3834619210882495</v>
      </c>
      <c r="X37" s="1397">
        <v>0.48794679202064295</v>
      </c>
      <c r="Y37" s="1462">
        <v>0.43707013775299058</v>
      </c>
      <c r="Z37" s="1329"/>
    </row>
    <row r="38" spans="1:26" ht="12.75" customHeight="1" x14ac:dyDescent="0.2">
      <c r="A38" s="1385" t="s">
        <v>73</v>
      </c>
      <c r="B38" s="1385"/>
      <c r="C38" s="1384">
        <v>-27.523855823796872</v>
      </c>
      <c r="D38" s="1383"/>
      <c r="E38" s="1352"/>
      <c r="F38" s="1353">
        <v>0.87373881785874763</v>
      </c>
      <c r="G38" s="1397">
        <v>0.9266082159393163</v>
      </c>
      <c r="H38" s="1397">
        <v>0.90709473394747697</v>
      </c>
      <c r="I38" s="1397">
        <v>0.8903104742408734</v>
      </c>
      <c r="J38" s="1397">
        <v>1.1489773760967164</v>
      </c>
      <c r="K38" s="1397">
        <v>0.91204600393375679</v>
      </c>
      <c r="L38" s="1397">
        <v>1.1197735947258849</v>
      </c>
      <c r="M38" s="1397">
        <v>1.0268572154932902</v>
      </c>
      <c r="N38" s="1397">
        <v>0.94507616722800725</v>
      </c>
      <c r="O38" s="1365"/>
      <c r="P38" s="1397">
        <v>0.90003195130226266</v>
      </c>
      <c r="Q38" s="1462">
        <v>1.0478846496172789</v>
      </c>
      <c r="R38" s="1384">
        <v>-14.785269831501624</v>
      </c>
      <c r="S38" s="1383"/>
      <c r="T38" s="1388"/>
      <c r="U38" s="1397">
        <v>0.90003195130226266</v>
      </c>
      <c r="V38" s="1397">
        <v>1.0478846496172789</v>
      </c>
      <c r="W38" s="1397">
        <v>0.97915981742958269</v>
      </c>
      <c r="X38" s="1397">
        <v>1.10022951920556</v>
      </c>
      <c r="Y38" s="1462">
        <v>1.0173127327907296</v>
      </c>
      <c r="Z38" s="1329"/>
    </row>
    <row r="39" spans="1:26" ht="12.75" customHeight="1" x14ac:dyDescent="0.2">
      <c r="A39" s="1385" t="s">
        <v>167</v>
      </c>
      <c r="B39" s="1385"/>
      <c r="C39" s="1384">
        <v>27.523855823796882</v>
      </c>
      <c r="D39" s="1383"/>
      <c r="E39" s="1352"/>
      <c r="F39" s="1353">
        <v>0.1262611821412524</v>
      </c>
      <c r="G39" s="1397">
        <v>7.3391784060683682E-2</v>
      </c>
      <c r="H39" s="1397">
        <v>9.2905266052523028E-2</v>
      </c>
      <c r="I39" s="1397">
        <v>0.10968952575912658</v>
      </c>
      <c r="J39" s="1397">
        <v>-0.14897737609671646</v>
      </c>
      <c r="K39" s="1397">
        <v>8.7953996066243267E-2</v>
      </c>
      <c r="L39" s="1397">
        <v>-0.11977359472588481</v>
      </c>
      <c r="M39" s="1397">
        <v>-2.6857215493290235E-2</v>
      </c>
      <c r="N39" s="1397">
        <v>5.4923832771992705E-2</v>
      </c>
      <c r="O39" s="1365"/>
      <c r="P39" s="1397">
        <v>9.9968048697737386E-2</v>
      </c>
      <c r="Q39" s="1397">
        <v>-4.788464961727882E-2</v>
      </c>
      <c r="R39" s="1384">
        <v>14.785269831501621</v>
      </c>
      <c r="S39" s="1383"/>
      <c r="T39" s="1388"/>
      <c r="U39" s="1397">
        <v>9.9968048697737386E-2</v>
      </c>
      <c r="V39" s="1397">
        <v>-4.788464961727882E-2</v>
      </c>
      <c r="W39" s="1397">
        <v>2.0840182570417275E-2</v>
      </c>
      <c r="X39" s="1397">
        <v>-0.10022951920555997</v>
      </c>
      <c r="Y39" s="1397">
        <v>-1.7312732790729757E-2</v>
      </c>
      <c r="Z39" s="1329"/>
    </row>
    <row r="40" spans="1:26" ht="12.75" customHeight="1" x14ac:dyDescent="0.2">
      <c r="A40" s="1385" t="s">
        <v>74</v>
      </c>
      <c r="B40" s="1385"/>
      <c r="C40" s="1384">
        <v>27.733651841730495</v>
      </c>
      <c r="D40" s="1383"/>
      <c r="E40" s="1352"/>
      <c r="F40" s="1353">
        <v>0.1154773089334586</v>
      </c>
      <c r="G40" s="1397">
        <v>6.421781105309822E-2</v>
      </c>
      <c r="H40" s="1397">
        <v>8.2538154819194284E-2</v>
      </c>
      <c r="I40" s="1397">
        <v>9.990027031992231E-2</v>
      </c>
      <c r="J40" s="1397">
        <v>-0.16185920948384636</v>
      </c>
      <c r="K40" s="1397">
        <v>7.6738285062234429E-2</v>
      </c>
      <c r="L40" s="1397">
        <v>-0.13569136016655101</v>
      </c>
      <c r="M40" s="1397">
        <v>-4.0549129274183297E-2</v>
      </c>
      <c r="N40" s="1397">
        <v>4.335197602200043E-2</v>
      </c>
      <c r="O40" s="1464"/>
      <c r="P40" s="1397">
        <v>8.9964326535721229E-2</v>
      </c>
      <c r="Q40" s="1462">
        <v>-6.10785701570725E-2</v>
      </c>
      <c r="R40" s="1384">
        <v>15.104289669279373</v>
      </c>
      <c r="S40" s="1383"/>
      <c r="T40" s="1465"/>
      <c r="U40" s="1397">
        <v>8.9964326535721229E-2</v>
      </c>
      <c r="V40" s="1397">
        <v>-6.10785701570725E-2</v>
      </c>
      <c r="W40" s="1397">
        <v>8.0611072921425546E-3</v>
      </c>
      <c r="X40" s="1397">
        <v>-0.11403286862210284</v>
      </c>
      <c r="Y40" s="1462">
        <v>-3.2112803736475966E-2</v>
      </c>
      <c r="Z40" s="1329"/>
    </row>
    <row r="41" spans="1:26" ht="12.75" customHeight="1" x14ac:dyDescent="0.2">
      <c r="A41" s="1386"/>
      <c r="B41" s="1386"/>
      <c r="C41" s="1384"/>
      <c r="D41" s="1383"/>
      <c r="E41" s="1352"/>
      <c r="F41" s="1352"/>
      <c r="G41" s="1383"/>
      <c r="H41" s="1383"/>
      <c r="I41" s="1383"/>
      <c r="J41" s="1383"/>
      <c r="K41" s="1383"/>
      <c r="L41" s="1383"/>
      <c r="M41" s="1383"/>
      <c r="N41" s="1383"/>
      <c r="O41" s="1365"/>
      <c r="P41" s="1365"/>
      <c r="Q41" s="1388"/>
      <c r="R41" s="1421"/>
      <c r="S41" s="1383"/>
      <c r="T41" s="1388"/>
      <c r="U41" s="1365"/>
      <c r="V41" s="1365"/>
      <c r="W41" s="1365"/>
      <c r="X41" s="1365"/>
      <c r="Y41" s="1463"/>
      <c r="Z41" s="1329"/>
    </row>
    <row r="42" spans="1:26" ht="12.75" customHeight="1" x14ac:dyDescent="0.2">
      <c r="A42" s="1365"/>
      <c r="B42" s="1365"/>
      <c r="C42" s="1388"/>
      <c r="D42" s="1388"/>
      <c r="E42" s="1338"/>
      <c r="F42" s="1338"/>
      <c r="G42" s="1365"/>
      <c r="H42" s="1365"/>
      <c r="I42" s="1365"/>
      <c r="J42" s="1388"/>
      <c r="K42" s="1365"/>
      <c r="L42" s="1365"/>
      <c r="M42" s="1365"/>
      <c r="N42" s="1388"/>
      <c r="O42" s="1365"/>
      <c r="P42" s="1365"/>
      <c r="Q42" s="1388"/>
      <c r="R42" s="1416"/>
      <c r="S42" s="1416"/>
      <c r="T42" s="1388"/>
      <c r="U42" s="1365"/>
      <c r="V42" s="1365"/>
      <c r="W42" s="1365"/>
      <c r="X42" s="1365"/>
      <c r="Y42" s="1388"/>
      <c r="Z42" s="1329"/>
    </row>
    <row r="43" spans="1:26" ht="12.75" customHeight="1" x14ac:dyDescent="0.2">
      <c r="A43" s="1386" t="s">
        <v>84</v>
      </c>
      <c r="B43" s="1386"/>
      <c r="C43" s="1130">
        <v>52</v>
      </c>
      <c r="D43" s="1383">
        <v>0.203125</v>
      </c>
      <c r="E43" s="1352"/>
      <c r="F43" s="1086">
        <v>308</v>
      </c>
      <c r="G43" s="1130">
        <v>260</v>
      </c>
      <c r="H43" s="1130">
        <v>260</v>
      </c>
      <c r="I43" s="1130">
        <v>263</v>
      </c>
      <c r="J43" s="1130">
        <v>256</v>
      </c>
      <c r="K43" s="1130">
        <v>257</v>
      </c>
      <c r="L43" s="1130">
        <v>258</v>
      </c>
      <c r="M43" s="1130">
        <v>275</v>
      </c>
      <c r="N43" s="1130">
        <v>275</v>
      </c>
      <c r="O43" s="1186"/>
      <c r="P43" s="1186">
        <v>308</v>
      </c>
      <c r="Q43" s="1166">
        <v>256</v>
      </c>
      <c r="R43" s="1421">
        <v>52</v>
      </c>
      <c r="S43" s="1383">
        <v>0.203125</v>
      </c>
      <c r="T43" s="1388"/>
      <c r="U43" s="1186">
        <v>308</v>
      </c>
      <c r="V43" s="1186">
        <v>256</v>
      </c>
      <c r="W43" s="1186">
        <v>275</v>
      </c>
      <c r="X43" s="1186">
        <v>291</v>
      </c>
      <c r="Y43" s="1186">
        <v>269</v>
      </c>
      <c r="Z43" s="1329"/>
    </row>
    <row r="44" spans="1:26" ht="12.75" customHeight="1" x14ac:dyDescent="0.2">
      <c r="A44" s="1386"/>
      <c r="B44" s="1386"/>
      <c r="C44" s="1384"/>
      <c r="D44" s="1383"/>
      <c r="E44" s="1352"/>
      <c r="F44" s="1352"/>
      <c r="G44" s="1383"/>
      <c r="H44" s="1383"/>
      <c r="I44" s="1130"/>
      <c r="J44" s="1383"/>
      <c r="K44" s="1383"/>
      <c r="L44" s="1383"/>
      <c r="M44" s="1130"/>
      <c r="N44" s="1383"/>
      <c r="O44" s="1186"/>
      <c r="P44" s="1186"/>
      <c r="Q44" s="1166"/>
      <c r="R44" s="1421"/>
      <c r="S44" s="1383"/>
      <c r="T44" s="1388"/>
      <c r="U44" s="1186"/>
      <c r="V44" s="1186"/>
      <c r="W44" s="1186"/>
      <c r="X44" s="1186"/>
      <c r="Y44" s="1186"/>
      <c r="Z44" s="1329"/>
    </row>
    <row r="45" spans="1:26" ht="18" customHeight="1" x14ac:dyDescent="0.2">
      <c r="A45" s="1389" t="s">
        <v>622</v>
      </c>
      <c r="B45" s="1365"/>
      <c r="C45" s="1390"/>
      <c r="D45" s="1390"/>
      <c r="E45" s="1338"/>
      <c r="F45" s="1338"/>
      <c r="G45" s="1388"/>
      <c r="H45" s="1388"/>
      <c r="I45" s="1388"/>
      <c r="J45" s="1388"/>
      <c r="K45" s="1365"/>
      <c r="L45" s="1388"/>
      <c r="M45" s="1388"/>
      <c r="N45" s="1388"/>
      <c r="O45" s="1388"/>
      <c r="P45" s="1390"/>
      <c r="Q45" s="1390"/>
      <c r="R45" s="1416"/>
      <c r="S45" s="1416"/>
      <c r="T45" s="1390"/>
      <c r="U45" s="1390"/>
      <c r="V45" s="1390"/>
      <c r="W45" s="1390"/>
      <c r="X45" s="1390"/>
      <c r="Y45" s="1390"/>
      <c r="Z45" s="1329"/>
    </row>
    <row r="46" spans="1:26" ht="12.75" customHeight="1" x14ac:dyDescent="0.2">
      <c r="A46" s="1391"/>
      <c r="B46" s="1365"/>
      <c r="C46" s="1390"/>
      <c r="D46" s="1390"/>
      <c r="E46" s="1338"/>
      <c r="F46" s="1338"/>
      <c r="G46" s="1466"/>
      <c r="H46" s="1466"/>
      <c r="I46" s="1388"/>
      <c r="J46" s="1388"/>
      <c r="K46" s="1365"/>
      <c r="L46" s="1466"/>
      <c r="M46" s="1388"/>
      <c r="N46" s="1388"/>
      <c r="O46" s="1388"/>
      <c r="P46" s="1390"/>
      <c r="Q46" s="1390"/>
      <c r="R46" s="1416"/>
      <c r="S46" s="1416"/>
      <c r="T46" s="1390"/>
      <c r="U46" s="1390"/>
      <c r="V46" s="1390"/>
      <c r="W46" s="1390"/>
      <c r="X46" s="1390"/>
      <c r="Y46" s="1390"/>
      <c r="Z46" s="1329"/>
    </row>
    <row r="47" spans="1:26" ht="12.75" customHeight="1" x14ac:dyDescent="0.2">
      <c r="A47" s="1364"/>
      <c r="B47" s="1365"/>
      <c r="C47" s="2416" t="s">
        <v>667</v>
      </c>
      <c r="D47" s="2417"/>
      <c r="E47" s="1333"/>
      <c r="F47" s="1334"/>
      <c r="G47" s="1516"/>
      <c r="H47" s="1516"/>
      <c r="I47" s="1517"/>
      <c r="J47" s="1403"/>
      <c r="K47" s="1893"/>
      <c r="L47" s="1516"/>
      <c r="M47" s="1517"/>
      <c r="N47" s="1403"/>
      <c r="O47" s="1415"/>
      <c r="P47" s="981" t="s">
        <v>668</v>
      </c>
      <c r="Q47" s="981"/>
      <c r="R47" s="981" t="s">
        <v>551</v>
      </c>
      <c r="S47" s="982"/>
      <c r="T47" s="1405"/>
      <c r="U47" s="1406"/>
      <c r="V47" s="1406"/>
      <c r="W47" s="1406"/>
      <c r="X47" s="1406"/>
      <c r="Y47" s="1406"/>
      <c r="Z47" s="1674"/>
    </row>
    <row r="48" spans="1:26" ht="12.75" customHeight="1" x14ac:dyDescent="0.2">
      <c r="A48" s="1364" t="s">
        <v>2</v>
      </c>
      <c r="B48" s="1365"/>
      <c r="C48" s="2412" t="s">
        <v>35</v>
      </c>
      <c r="D48" s="2413"/>
      <c r="E48" s="1335"/>
      <c r="F48" s="906" t="s">
        <v>546</v>
      </c>
      <c r="G48" s="985" t="s">
        <v>547</v>
      </c>
      <c r="H48" s="985" t="s">
        <v>548</v>
      </c>
      <c r="I48" s="986" t="s">
        <v>549</v>
      </c>
      <c r="J48" s="985" t="s">
        <v>497</v>
      </c>
      <c r="K48" s="985" t="s">
        <v>496</v>
      </c>
      <c r="L48" s="985" t="s">
        <v>495</v>
      </c>
      <c r="M48" s="986" t="s">
        <v>494</v>
      </c>
      <c r="N48" s="985" t="s">
        <v>363</v>
      </c>
      <c r="O48" s="1415"/>
      <c r="P48" s="983" t="s">
        <v>546</v>
      </c>
      <c r="Q48" s="983" t="s">
        <v>497</v>
      </c>
      <c r="R48" s="2310" t="s">
        <v>35</v>
      </c>
      <c r="S48" s="2311"/>
      <c r="T48" s="1408"/>
      <c r="U48" s="987" t="s">
        <v>550</v>
      </c>
      <c r="V48" s="987" t="s">
        <v>498</v>
      </c>
      <c r="W48" s="987" t="s">
        <v>490</v>
      </c>
      <c r="X48" s="987" t="s">
        <v>360</v>
      </c>
      <c r="Y48" s="987" t="s">
        <v>342</v>
      </c>
      <c r="Z48" s="1674"/>
    </row>
    <row r="49" spans="1:26" ht="12.75" customHeight="1" x14ac:dyDescent="0.2">
      <c r="A49" s="1392"/>
      <c r="B49" s="1388" t="s">
        <v>4</v>
      </c>
      <c r="C49" s="1562">
        <v>5285</v>
      </c>
      <c r="D49" s="1450">
        <v>7.7540420786994926E-2</v>
      </c>
      <c r="E49" s="1337"/>
      <c r="F49" s="1354">
        <v>73443</v>
      </c>
      <c r="G49" s="1469">
        <v>81208</v>
      </c>
      <c r="H49" s="1469">
        <v>72730</v>
      </c>
      <c r="I49" s="1489">
        <v>76206</v>
      </c>
      <c r="J49" s="1469">
        <v>68158</v>
      </c>
      <c r="K49" s="1186">
        <v>66603</v>
      </c>
      <c r="L49" s="1469">
        <v>46112</v>
      </c>
      <c r="M49" s="1489">
        <v>55069</v>
      </c>
      <c r="N49" s="1469">
        <v>64726</v>
      </c>
      <c r="O49" s="2235"/>
      <c r="P49" s="2162">
        <v>303587</v>
      </c>
      <c r="Q49" s="1521">
        <v>235942</v>
      </c>
      <c r="R49" s="1449">
        <v>67645</v>
      </c>
      <c r="S49" s="1450">
        <v>0.2867018165481347</v>
      </c>
      <c r="T49" s="1390"/>
      <c r="U49" s="1644">
        <v>303587</v>
      </c>
      <c r="V49" s="1476">
        <v>235942</v>
      </c>
      <c r="W49" s="1476">
        <v>234211</v>
      </c>
      <c r="X49" s="1476">
        <v>217411</v>
      </c>
      <c r="Y49" s="1476">
        <v>202972</v>
      </c>
      <c r="Z49" s="1674"/>
    </row>
    <row r="50" spans="1:26" ht="12.75" customHeight="1" x14ac:dyDescent="0.2">
      <c r="A50" s="1390"/>
      <c r="B50" s="1388" t="s">
        <v>77</v>
      </c>
      <c r="C50" s="1371">
        <v>2927</v>
      </c>
      <c r="D50" s="1374">
        <v>4.8428994523403761E-2</v>
      </c>
      <c r="E50" s="1356"/>
      <c r="F50" s="1354">
        <v>63366</v>
      </c>
      <c r="G50" s="1469">
        <v>75247</v>
      </c>
      <c r="H50" s="1469">
        <v>65972</v>
      </c>
      <c r="I50" s="1470">
        <v>67846</v>
      </c>
      <c r="J50" s="1469">
        <v>60439</v>
      </c>
      <c r="K50" s="1186">
        <v>60744</v>
      </c>
      <c r="L50" s="1469">
        <v>49744</v>
      </c>
      <c r="M50" s="1470">
        <v>56546</v>
      </c>
      <c r="N50" s="1469">
        <v>61170</v>
      </c>
      <c r="O50" s="2235"/>
      <c r="P50" s="1688">
        <v>272431</v>
      </c>
      <c r="Q50" s="1428">
        <v>227473</v>
      </c>
      <c r="R50" s="1479">
        <v>44958</v>
      </c>
      <c r="S50" s="1480">
        <v>0.19764103871668287</v>
      </c>
      <c r="T50" s="1390"/>
      <c r="U50" s="1476">
        <v>272431</v>
      </c>
      <c r="V50" s="1476">
        <v>227473</v>
      </c>
      <c r="W50" s="1476">
        <v>229328</v>
      </c>
      <c r="X50" s="1476">
        <v>221203.6</v>
      </c>
      <c r="Y50" s="1476">
        <v>199133</v>
      </c>
      <c r="Z50" s="1674"/>
    </row>
    <row r="51" spans="1:26" ht="12.75" customHeight="1" x14ac:dyDescent="0.2">
      <c r="A51" s="1390"/>
      <c r="B51" s="1379" t="s">
        <v>313</v>
      </c>
      <c r="C51" s="1371">
        <v>-86</v>
      </c>
      <c r="D51" s="1374">
        <v>-9.7949886104783598E-2</v>
      </c>
      <c r="E51" s="1356"/>
      <c r="F51" s="1094">
        <v>792</v>
      </c>
      <c r="G51" s="1469">
        <v>745</v>
      </c>
      <c r="H51" s="1469">
        <v>754</v>
      </c>
      <c r="I51" s="1470">
        <v>746</v>
      </c>
      <c r="J51" s="1186">
        <v>878</v>
      </c>
      <c r="K51" s="1186">
        <v>747</v>
      </c>
      <c r="L51" s="1469">
        <v>734</v>
      </c>
      <c r="M51" s="1470">
        <v>754</v>
      </c>
      <c r="N51" s="1186">
        <v>749</v>
      </c>
      <c r="O51" s="2235"/>
      <c r="P51" s="1688">
        <v>3037</v>
      </c>
      <c r="Q51" s="1428">
        <v>3113</v>
      </c>
      <c r="R51" s="1479">
        <v>-76</v>
      </c>
      <c r="S51" s="1480">
        <v>-2.4413748795374238E-2</v>
      </c>
      <c r="T51" s="1390"/>
      <c r="U51" s="1476">
        <v>3037</v>
      </c>
      <c r="V51" s="1476">
        <v>3113</v>
      </c>
      <c r="W51" s="1476">
        <v>2993</v>
      </c>
      <c r="X51" s="1476">
        <v>3001</v>
      </c>
      <c r="Y51" s="1476">
        <v>3004</v>
      </c>
      <c r="Z51" s="1674"/>
    </row>
    <row r="52" spans="1:26" ht="24.75" customHeight="1" x14ac:dyDescent="0.2">
      <c r="A52" s="1390"/>
      <c r="B52" s="1379" t="s">
        <v>69</v>
      </c>
      <c r="C52" s="1375">
        <v>2444</v>
      </c>
      <c r="D52" s="1376">
        <v>0.35725771086098523</v>
      </c>
      <c r="E52" s="1356"/>
      <c r="F52" s="1106">
        <v>9285</v>
      </c>
      <c r="G52" s="1212">
        <v>5216</v>
      </c>
      <c r="H52" s="1212">
        <v>6004</v>
      </c>
      <c r="I52" s="1309">
        <v>7614</v>
      </c>
      <c r="J52" s="1212">
        <v>6841</v>
      </c>
      <c r="K52" s="1212">
        <v>5112</v>
      </c>
      <c r="L52" s="1212">
        <v>-4366</v>
      </c>
      <c r="M52" s="1309">
        <v>-2231</v>
      </c>
      <c r="N52" s="1212">
        <v>2807</v>
      </c>
      <c r="O52" s="1323"/>
      <c r="P52" s="1689">
        <v>28119</v>
      </c>
      <c r="Q52" s="1434">
        <v>5356</v>
      </c>
      <c r="R52" s="2283">
        <v>22763</v>
      </c>
      <c r="S52" s="1395" t="s">
        <v>38</v>
      </c>
      <c r="T52" s="1390"/>
      <c r="U52" s="1486">
        <v>28119</v>
      </c>
      <c r="V52" s="1190">
        <v>5356</v>
      </c>
      <c r="W52" s="1190">
        <v>1890</v>
      </c>
      <c r="X52" s="1190">
        <v>-6793.6000000000058</v>
      </c>
      <c r="Y52" s="1486">
        <v>835</v>
      </c>
      <c r="Z52" s="1329"/>
    </row>
    <row r="53" spans="1:26" ht="12.75" customHeight="1" x14ac:dyDescent="0.2">
      <c r="A53" s="1390"/>
      <c r="B53" s="1388"/>
      <c r="C53" s="1396"/>
      <c r="D53" s="1397"/>
      <c r="E53" s="1353"/>
      <c r="F53" s="1332"/>
      <c r="G53" s="1365"/>
      <c r="H53" s="1365"/>
      <c r="I53" s="1388"/>
      <c r="J53" s="1365"/>
      <c r="K53" s="1365"/>
      <c r="L53" s="1365"/>
      <c r="M53" s="1388"/>
      <c r="N53" s="1365"/>
      <c r="O53" s="1388"/>
      <c r="P53" s="1397"/>
      <c r="Q53" s="1397"/>
      <c r="R53" s="1487"/>
      <c r="S53" s="1488"/>
      <c r="T53" s="1388"/>
      <c r="U53" s="1388"/>
      <c r="V53" s="1388"/>
      <c r="W53" s="1388"/>
      <c r="X53" s="1388"/>
      <c r="Y53" s="1388"/>
      <c r="Z53" s="1329"/>
    </row>
    <row r="54" spans="1:26" ht="12.75" customHeight="1" x14ac:dyDescent="0.2">
      <c r="A54" s="1390"/>
      <c r="B54" s="1128" t="s">
        <v>627</v>
      </c>
      <c r="C54" s="1384">
        <v>-1.463688580119038</v>
      </c>
      <c r="D54" s="1397"/>
      <c r="E54" s="1353"/>
      <c r="F54" s="1353">
        <v>0.52594529090587261</v>
      </c>
      <c r="G54" s="1397">
        <v>0.57850211801792928</v>
      </c>
      <c r="H54" s="1397">
        <v>0.56166643750859346</v>
      </c>
      <c r="I54" s="1397">
        <v>0.57950817520930109</v>
      </c>
      <c r="J54" s="1397">
        <v>0.54058217670706299</v>
      </c>
      <c r="K54" s="1397">
        <v>0.59489812771196493</v>
      </c>
      <c r="L54" s="1397">
        <v>0.65145732130464951</v>
      </c>
      <c r="M54" s="1397">
        <v>0.6066207848335724</v>
      </c>
      <c r="N54" s="1397">
        <v>0.59552575471989622</v>
      </c>
      <c r="O54" s="1388"/>
      <c r="P54" s="1397">
        <v>0.56200693705593452</v>
      </c>
      <c r="Q54" s="1397">
        <v>0.592997431572166</v>
      </c>
      <c r="R54" s="1384">
        <v>-3.0990494516231482</v>
      </c>
      <c r="S54" s="1488"/>
      <c r="T54" s="1388"/>
      <c r="U54" s="1397">
        <v>0.56200693705593452</v>
      </c>
      <c r="V54" s="1397">
        <v>0.592997431572166</v>
      </c>
      <c r="W54" s="1397">
        <v>0.59569789634133319</v>
      </c>
      <c r="X54" s="1397">
        <v>0.61228272718491705</v>
      </c>
      <c r="Y54" s="1397">
        <v>0.58024259503773923</v>
      </c>
      <c r="Z54" s="1329"/>
    </row>
    <row r="55" spans="1:26" ht="12.75" customHeight="1" x14ac:dyDescent="0.2">
      <c r="A55" s="1390"/>
      <c r="B55" s="1385" t="s">
        <v>72</v>
      </c>
      <c r="C55" s="1384">
        <v>-0.93199990203063354</v>
      </c>
      <c r="D55" s="1397"/>
      <c r="E55" s="1353"/>
      <c r="F55" s="1353">
        <v>0.33684626172678134</v>
      </c>
      <c r="G55" s="1397">
        <v>0.34809378386365875</v>
      </c>
      <c r="H55" s="1397">
        <v>0.3454145469544892</v>
      </c>
      <c r="I55" s="1397">
        <v>0.31078917670524631</v>
      </c>
      <c r="J55" s="1397">
        <v>0.34616626074708767</v>
      </c>
      <c r="K55" s="1397">
        <v>0.31713286188309836</v>
      </c>
      <c r="L55" s="1397">
        <v>0.42730742539902844</v>
      </c>
      <c r="M55" s="1397">
        <v>0.42020011258602846</v>
      </c>
      <c r="N55" s="1397">
        <v>0.34953496276612178</v>
      </c>
      <c r="O55" s="1388"/>
      <c r="P55" s="1397">
        <v>0.33536679765602612</v>
      </c>
      <c r="Q55" s="1397">
        <v>0.37110815369879036</v>
      </c>
      <c r="R55" s="1384">
        <v>-3.5741356042764236</v>
      </c>
      <c r="S55" s="1488"/>
      <c r="T55" s="1388"/>
      <c r="U55" s="1397">
        <v>0.33536679765602612</v>
      </c>
      <c r="V55" s="1397">
        <v>0.37110815369879036</v>
      </c>
      <c r="W55" s="1397">
        <v>0.3834533817796773</v>
      </c>
      <c r="X55" s="1397">
        <v>0.40516165235429674</v>
      </c>
      <c r="Y55" s="1397">
        <v>0.40084346609384547</v>
      </c>
      <c r="Z55" s="1329"/>
    </row>
    <row r="56" spans="1:26" ht="12.75" customHeight="1" x14ac:dyDescent="0.2">
      <c r="A56" s="1390"/>
      <c r="B56" s="1385" t="s">
        <v>73</v>
      </c>
      <c r="C56" s="1384">
        <v>-2.3956884821496716</v>
      </c>
      <c r="D56" s="1397"/>
      <c r="E56" s="1353"/>
      <c r="F56" s="1353">
        <v>0.86279155263265395</v>
      </c>
      <c r="G56" s="1397">
        <v>0.92659590188158802</v>
      </c>
      <c r="H56" s="1397">
        <v>0.90708098446308261</v>
      </c>
      <c r="I56" s="1397">
        <v>0.8902973519145474</v>
      </c>
      <c r="J56" s="1397">
        <v>0.88674843745415066</v>
      </c>
      <c r="K56" s="1397">
        <v>0.91203098959506324</v>
      </c>
      <c r="L56" s="1397">
        <v>1.0787647467036781</v>
      </c>
      <c r="M56" s="1397">
        <v>1.0268208974196009</v>
      </c>
      <c r="N56" s="1397">
        <v>0.94506071748601794</v>
      </c>
      <c r="O56" s="1388"/>
      <c r="P56" s="1397">
        <v>0.89737373471196069</v>
      </c>
      <c r="Q56" s="1397">
        <v>0.96410558527095647</v>
      </c>
      <c r="R56" s="1384">
        <v>-6.6731850558995776</v>
      </c>
      <c r="S56" s="1488"/>
      <c r="T56" s="1388"/>
      <c r="U56" s="1397">
        <v>0.89737373471196069</v>
      </c>
      <c r="V56" s="1397">
        <v>0.96410558527095647</v>
      </c>
      <c r="W56" s="1397">
        <v>0.97915127812101055</v>
      </c>
      <c r="X56" s="1397">
        <v>1.0174443795392139</v>
      </c>
      <c r="Y56" s="1397">
        <v>0.9810860611315847</v>
      </c>
      <c r="Z56" s="1329"/>
    </row>
    <row r="57" spans="1:26" ht="12.75" customHeight="1" x14ac:dyDescent="0.2">
      <c r="A57" s="1390"/>
      <c r="B57" s="1385" t="s">
        <v>74</v>
      </c>
      <c r="C57" s="1384">
        <v>2.6054845000832856</v>
      </c>
      <c r="D57" s="1397"/>
      <c r="E57" s="1353"/>
      <c r="F57" s="1353">
        <v>0.1264245741595523</v>
      </c>
      <c r="G57" s="1397">
        <v>6.4230125110826514E-2</v>
      </c>
      <c r="H57" s="1397">
        <v>8.2551904303588622E-2</v>
      </c>
      <c r="I57" s="1397">
        <v>9.9913392646248322E-2</v>
      </c>
      <c r="J57" s="1397">
        <v>0.10036972915871945</v>
      </c>
      <c r="K57" s="1397">
        <v>7.6753299400927885E-2</v>
      </c>
      <c r="L57" s="1397">
        <v>-9.46825121443442E-2</v>
      </c>
      <c r="M57" s="1397">
        <v>-4.0512811200493923E-2</v>
      </c>
      <c r="N57" s="1397">
        <v>4.3367425763989741E-2</v>
      </c>
      <c r="O57" s="1388"/>
      <c r="P57" s="1397">
        <v>9.262254312602318E-2</v>
      </c>
      <c r="Q57" s="1397">
        <v>2.2700494189249902E-2</v>
      </c>
      <c r="R57" s="1384">
        <v>6.9922048936773287</v>
      </c>
      <c r="S57" s="1488"/>
      <c r="T57" s="1388"/>
      <c r="U57" s="1397">
        <v>9.262254312602318E-2</v>
      </c>
      <c r="V57" s="1397">
        <v>2.2700494189249902E-2</v>
      </c>
      <c r="W57" s="1397">
        <v>8.0696466007147399E-3</v>
      </c>
      <c r="X57" s="1397">
        <v>-3.1247728955756636E-2</v>
      </c>
      <c r="Y57" s="1397">
        <v>4.1138679226691366E-3</v>
      </c>
      <c r="Z57" s="1328"/>
    </row>
    <row r="58" spans="1:26" ht="12.75" customHeight="1" x14ac:dyDescent="0.2">
      <c r="A58" s="1390"/>
      <c r="B58" s="1385"/>
      <c r="C58" s="1398"/>
      <c r="D58" s="1397"/>
      <c r="E58" s="1353"/>
      <c r="F58" s="1353"/>
      <c r="G58" s="1397"/>
      <c r="H58" s="1397"/>
      <c r="I58" s="1397"/>
      <c r="J58" s="1397"/>
      <c r="K58" s="1397"/>
      <c r="L58" s="1397"/>
      <c r="M58" s="1397"/>
      <c r="N58" s="1397"/>
      <c r="O58" s="1388"/>
      <c r="P58" s="1397"/>
      <c r="Q58" s="1397"/>
      <c r="R58" s="1384"/>
      <c r="S58" s="1488"/>
      <c r="T58" s="1388"/>
      <c r="U58" s="1463"/>
      <c r="V58" s="1463"/>
      <c r="W58" s="1463"/>
      <c r="X58" s="1463"/>
      <c r="Y58" s="1463"/>
      <c r="Z58" s="1328"/>
    </row>
    <row r="59" spans="1:26" ht="12.75" customHeight="1" x14ac:dyDescent="0.2">
      <c r="A59" s="1399" t="s">
        <v>177</v>
      </c>
      <c r="B59" s="1385"/>
      <c r="C59" s="1388"/>
      <c r="D59" s="1388"/>
      <c r="E59" s="1338"/>
      <c r="F59" s="1332"/>
      <c r="G59" s="1365"/>
      <c r="H59" s="1365"/>
      <c r="I59" s="1365"/>
      <c r="J59" s="1365"/>
      <c r="K59" s="1365"/>
      <c r="L59" s="1388"/>
      <c r="M59" s="1388"/>
      <c r="N59" s="1388"/>
      <c r="O59" s="1388"/>
      <c r="P59" s="1388"/>
      <c r="Q59" s="1388"/>
      <c r="R59" s="1416"/>
      <c r="S59" s="1416"/>
      <c r="T59" s="1388"/>
      <c r="U59" s="1388"/>
      <c r="V59" s="1388"/>
      <c r="W59" s="1388"/>
      <c r="X59" s="1388"/>
      <c r="Y59" s="1388"/>
      <c r="Z59" s="1328"/>
    </row>
    <row r="60" spans="1:26" ht="12.75" customHeight="1" x14ac:dyDescent="0.2">
      <c r="C60" s="2416" t="s">
        <v>667</v>
      </c>
      <c r="D60" s="2417"/>
      <c r="E60" s="1333"/>
      <c r="F60" s="1885"/>
      <c r="G60" s="1927"/>
      <c r="H60" s="1927"/>
      <c r="I60" s="1926"/>
      <c r="J60" s="1893"/>
      <c r="K60" s="1893"/>
      <c r="L60" s="1516"/>
      <c r="M60" s="1517"/>
      <c r="N60" s="1403"/>
      <c r="O60" s="1415"/>
      <c r="P60" s="981" t="s">
        <v>668</v>
      </c>
      <c r="Q60" s="981"/>
      <c r="R60" s="981" t="s">
        <v>551</v>
      </c>
      <c r="S60" s="982"/>
      <c r="T60" s="1388"/>
      <c r="U60" s="1406"/>
      <c r="V60" s="1406"/>
      <c r="W60" s="1406"/>
      <c r="X60" s="1406"/>
      <c r="Y60" s="1406"/>
      <c r="Z60" s="1674"/>
    </row>
    <row r="61" spans="1:26" ht="12.75" customHeight="1" x14ac:dyDescent="0.2">
      <c r="C61" s="2418" t="s">
        <v>35</v>
      </c>
      <c r="D61" s="2419"/>
      <c r="E61" s="1335"/>
      <c r="F61" s="906" t="s">
        <v>546</v>
      </c>
      <c r="G61" s="985" t="s">
        <v>547</v>
      </c>
      <c r="H61" s="985" t="s">
        <v>548</v>
      </c>
      <c r="I61" s="986" t="s">
        <v>549</v>
      </c>
      <c r="J61" s="985" t="s">
        <v>497</v>
      </c>
      <c r="K61" s="985" t="s">
        <v>496</v>
      </c>
      <c r="L61" s="985" t="s">
        <v>495</v>
      </c>
      <c r="M61" s="986" t="s">
        <v>494</v>
      </c>
      <c r="N61" s="985" t="s">
        <v>363</v>
      </c>
      <c r="O61" s="1415"/>
      <c r="P61" s="985" t="s">
        <v>546</v>
      </c>
      <c r="Q61" s="985" t="s">
        <v>497</v>
      </c>
      <c r="R61" s="2304" t="s">
        <v>35</v>
      </c>
      <c r="S61" s="2305"/>
      <c r="T61" s="1388"/>
      <c r="U61" s="987" t="s">
        <v>550</v>
      </c>
      <c r="V61" s="987" t="s">
        <v>498</v>
      </c>
      <c r="W61" s="987" t="s">
        <v>490</v>
      </c>
      <c r="X61" s="987" t="s">
        <v>360</v>
      </c>
      <c r="Y61" s="987" t="s">
        <v>342</v>
      </c>
      <c r="Z61" s="1674"/>
    </row>
    <row r="62" spans="1:26" ht="12.75" customHeight="1" x14ac:dyDescent="0.2">
      <c r="A62" s="1390"/>
      <c r="B62" s="945" t="s">
        <v>609</v>
      </c>
      <c r="C62" s="1562">
        <v>462</v>
      </c>
      <c r="D62" s="1450">
        <v>2.7287224617565414E-2</v>
      </c>
      <c r="E62" s="2233"/>
      <c r="F62" s="1343">
        <v>17393</v>
      </c>
      <c r="G62" s="1469">
        <v>23811</v>
      </c>
      <c r="H62" s="1469">
        <v>18810</v>
      </c>
      <c r="I62" s="1489">
        <v>17563</v>
      </c>
      <c r="J62" s="1469">
        <v>16931</v>
      </c>
      <c r="K62" s="1469">
        <v>16652</v>
      </c>
      <c r="L62" s="1469">
        <v>16093</v>
      </c>
      <c r="M62" s="1489">
        <v>19808</v>
      </c>
      <c r="N62" s="1469">
        <v>19758</v>
      </c>
      <c r="O62" s="1415"/>
      <c r="P62" s="1478">
        <v>77577</v>
      </c>
      <c r="Q62" s="1428">
        <v>69484</v>
      </c>
      <c r="R62" s="1491">
        <v>8093</v>
      </c>
      <c r="S62" s="1374">
        <v>0.11647285706061827</v>
      </c>
      <c r="T62" s="1388"/>
      <c r="U62" s="1476">
        <v>77577</v>
      </c>
      <c r="V62" s="1476">
        <v>69484</v>
      </c>
      <c r="W62" s="1476">
        <v>77398</v>
      </c>
      <c r="X62" s="1476">
        <v>72844</v>
      </c>
      <c r="Y62" s="1476">
        <v>67927</v>
      </c>
      <c r="Z62" s="1674"/>
    </row>
    <row r="63" spans="1:26" ht="12.75" customHeight="1" x14ac:dyDescent="0.2">
      <c r="A63" s="1390"/>
      <c r="B63" s="945" t="s">
        <v>610</v>
      </c>
      <c r="C63" s="1371">
        <v>-2062</v>
      </c>
      <c r="D63" s="1374">
        <v>-0.13460408642861807</v>
      </c>
      <c r="E63" s="2233"/>
      <c r="F63" s="1343">
        <v>13257</v>
      </c>
      <c r="G63" s="1469">
        <v>16732</v>
      </c>
      <c r="H63" s="1469">
        <v>20210</v>
      </c>
      <c r="I63" s="1489">
        <v>23549</v>
      </c>
      <c r="J63" s="1469">
        <v>15319</v>
      </c>
      <c r="K63" s="1469">
        <v>13992</v>
      </c>
      <c r="L63" s="1469">
        <v>5281</v>
      </c>
      <c r="M63" s="1489">
        <v>6489</v>
      </c>
      <c r="N63" s="1469">
        <v>14219</v>
      </c>
      <c r="O63" s="1415"/>
      <c r="P63" s="1478">
        <v>73748</v>
      </c>
      <c r="Q63" s="1428">
        <v>41081</v>
      </c>
      <c r="R63" s="1492">
        <v>32667</v>
      </c>
      <c r="S63" s="1374">
        <v>0.79518512207589886</v>
      </c>
      <c r="T63" s="1388"/>
      <c r="U63" s="1476">
        <v>73748</v>
      </c>
      <c r="V63" s="1476">
        <v>41081</v>
      </c>
      <c r="W63" s="1476">
        <v>42800</v>
      </c>
      <c r="X63" s="1476">
        <v>38611</v>
      </c>
      <c r="Y63" s="1476">
        <v>56362</v>
      </c>
      <c r="Z63" s="1674"/>
    </row>
    <row r="64" spans="1:26" ht="12.75" customHeight="1" x14ac:dyDescent="0.2">
      <c r="A64" s="1390"/>
      <c r="B64" s="945" t="s">
        <v>611</v>
      </c>
      <c r="C64" s="1371">
        <v>8005</v>
      </c>
      <c r="D64" s="1374">
        <v>1.0599841101694916</v>
      </c>
      <c r="E64" s="2233"/>
      <c r="F64" s="1343">
        <v>15557</v>
      </c>
      <c r="G64" s="1469">
        <v>12988</v>
      </c>
      <c r="H64" s="1469">
        <v>11451</v>
      </c>
      <c r="I64" s="1489">
        <v>9137</v>
      </c>
      <c r="J64" s="1469">
        <v>7552</v>
      </c>
      <c r="K64" s="1469">
        <v>11033</v>
      </c>
      <c r="L64" s="1469">
        <v>7436</v>
      </c>
      <c r="M64" s="1489">
        <v>7083</v>
      </c>
      <c r="N64" s="1469">
        <v>6797</v>
      </c>
      <c r="O64" s="1415"/>
      <c r="P64" s="1478">
        <v>49133</v>
      </c>
      <c r="Q64" s="1428">
        <v>33104</v>
      </c>
      <c r="R64" s="1494">
        <v>16029</v>
      </c>
      <c r="S64" s="1374">
        <v>0.48420130497825037</v>
      </c>
      <c r="T64" s="1388"/>
      <c r="U64" s="1476">
        <v>49133</v>
      </c>
      <c r="V64" s="1476">
        <v>33104</v>
      </c>
      <c r="W64" s="1476">
        <v>22377</v>
      </c>
      <c r="X64" s="1476">
        <v>31234</v>
      </c>
      <c r="Y64" s="1476">
        <v>20046</v>
      </c>
      <c r="Z64" s="1674"/>
    </row>
    <row r="65" spans="1:26" ht="12.75" customHeight="1" x14ac:dyDescent="0.2">
      <c r="A65" s="1390"/>
      <c r="B65" s="945" t="s">
        <v>612</v>
      </c>
      <c r="C65" s="1371">
        <v>-1330</v>
      </c>
      <c r="D65" s="1374">
        <v>-4.7515272766246293E-2</v>
      </c>
      <c r="E65" s="2233"/>
      <c r="F65" s="1343">
        <v>26661</v>
      </c>
      <c r="G65" s="1469">
        <v>27191</v>
      </c>
      <c r="H65" s="1469">
        <v>21747</v>
      </c>
      <c r="I65" s="1489">
        <v>24477</v>
      </c>
      <c r="J65" s="1469">
        <v>27991</v>
      </c>
      <c r="K65" s="1396">
        <v>24601</v>
      </c>
      <c r="L65" s="1469">
        <v>16899</v>
      </c>
      <c r="M65" s="1489">
        <v>20897</v>
      </c>
      <c r="N65" s="1469">
        <v>23640</v>
      </c>
      <c r="O65" s="1415"/>
      <c r="P65" s="1478">
        <v>100076</v>
      </c>
      <c r="Q65" s="1428">
        <v>90388</v>
      </c>
      <c r="R65" s="1494">
        <v>9688</v>
      </c>
      <c r="S65" s="1374">
        <v>0.10718236934106297</v>
      </c>
      <c r="T65" s="1388"/>
      <c r="U65" s="1476">
        <v>100076</v>
      </c>
      <c r="V65" s="1476">
        <v>90388</v>
      </c>
      <c r="W65" s="1476">
        <v>88282</v>
      </c>
      <c r="X65" s="1476">
        <v>72804</v>
      </c>
      <c r="Y65" s="1476">
        <v>54970</v>
      </c>
      <c r="Z65" s="1674"/>
    </row>
    <row r="66" spans="1:26" ht="12.75" customHeight="1" x14ac:dyDescent="0.2">
      <c r="A66" s="1390"/>
      <c r="B66" s="945" t="s">
        <v>613</v>
      </c>
      <c r="C66" s="1371">
        <v>14</v>
      </c>
      <c r="D66" s="1374">
        <v>0.16279069767441862</v>
      </c>
      <c r="E66" s="2233"/>
      <c r="F66" s="1343">
        <v>100</v>
      </c>
      <c r="G66" s="1471">
        <v>59</v>
      </c>
      <c r="H66" s="1471">
        <v>59</v>
      </c>
      <c r="I66" s="1489">
        <v>45</v>
      </c>
      <c r="J66" s="1469">
        <v>86</v>
      </c>
      <c r="K66" s="1495">
        <v>114</v>
      </c>
      <c r="L66" s="1471">
        <v>71</v>
      </c>
      <c r="M66" s="1489">
        <v>57</v>
      </c>
      <c r="N66" s="1469">
        <v>66</v>
      </c>
      <c r="O66" s="1415"/>
      <c r="P66" s="1478">
        <v>263</v>
      </c>
      <c r="Q66" s="1428">
        <v>328</v>
      </c>
      <c r="R66" s="1494">
        <v>-65</v>
      </c>
      <c r="S66" s="1374">
        <v>-0.19817073170731708</v>
      </c>
      <c r="T66" s="1388"/>
      <c r="U66" s="1476">
        <v>263</v>
      </c>
      <c r="V66" s="1476">
        <v>328</v>
      </c>
      <c r="W66" s="1476">
        <v>251</v>
      </c>
      <c r="X66" s="1476">
        <v>537</v>
      </c>
      <c r="Y66" s="1476">
        <v>1158</v>
      </c>
      <c r="Z66" s="1674"/>
    </row>
    <row r="67" spans="1:26" ht="12.75" customHeight="1" x14ac:dyDescent="0.2">
      <c r="A67" s="1391"/>
      <c r="B67" s="945" t="s">
        <v>614</v>
      </c>
      <c r="C67" s="1375">
        <v>196</v>
      </c>
      <c r="D67" s="1376">
        <v>0.70250896057347667</v>
      </c>
      <c r="E67" s="2234"/>
      <c r="F67" s="1343">
        <v>475</v>
      </c>
      <c r="G67" s="1419">
        <v>427</v>
      </c>
      <c r="H67" s="1419">
        <v>453</v>
      </c>
      <c r="I67" s="1498">
        <v>1435</v>
      </c>
      <c r="J67" s="1469">
        <v>279</v>
      </c>
      <c r="K67" s="1495">
        <v>211</v>
      </c>
      <c r="L67" s="1419">
        <v>332</v>
      </c>
      <c r="M67" s="1498">
        <v>735</v>
      </c>
      <c r="N67" s="1469">
        <v>246</v>
      </c>
      <c r="O67" s="1415"/>
      <c r="P67" s="1478">
        <v>2790</v>
      </c>
      <c r="Q67" s="1428">
        <v>1557</v>
      </c>
      <c r="R67" s="1494">
        <v>1233</v>
      </c>
      <c r="S67" s="1374">
        <v>0.79190751445086704</v>
      </c>
      <c r="T67" s="1390"/>
      <c r="U67" s="1476">
        <v>2790</v>
      </c>
      <c r="V67" s="1476">
        <v>1557</v>
      </c>
      <c r="W67" s="1476">
        <v>3103</v>
      </c>
      <c r="X67" s="1476">
        <v>1381</v>
      </c>
      <c r="Y67" s="1476">
        <v>2509</v>
      </c>
      <c r="Z67" s="1674"/>
    </row>
    <row r="68" spans="1:26" ht="12.75" customHeight="1" x14ac:dyDescent="0.2">
      <c r="A68" s="1391"/>
      <c r="B68" s="945"/>
      <c r="C68" s="1372">
        <v>5285</v>
      </c>
      <c r="D68" s="1373">
        <v>7.7540420786994926E-2</v>
      </c>
      <c r="E68" s="1358"/>
      <c r="F68" s="1886">
        <v>73443</v>
      </c>
      <c r="G68" s="1915">
        <v>81208</v>
      </c>
      <c r="H68" s="1915">
        <v>72730</v>
      </c>
      <c r="I68" s="1914">
        <v>76206</v>
      </c>
      <c r="J68" s="1915">
        <v>68158</v>
      </c>
      <c r="K68" s="1915">
        <v>66603</v>
      </c>
      <c r="L68" s="1500">
        <v>46112</v>
      </c>
      <c r="M68" s="1501">
        <v>55069</v>
      </c>
      <c r="N68" s="1500">
        <v>64726</v>
      </c>
      <c r="O68" s="1502"/>
      <c r="P68" s="1500">
        <v>303587</v>
      </c>
      <c r="Q68" s="1500">
        <v>235942</v>
      </c>
      <c r="R68" s="1503">
        <v>67645</v>
      </c>
      <c r="S68" s="1504">
        <v>0.2867018165481347</v>
      </c>
      <c r="T68" s="1359"/>
      <c r="U68" s="1569">
        <v>303587</v>
      </c>
      <c r="V68" s="1569">
        <v>235942</v>
      </c>
      <c r="W68" s="1569">
        <v>234211</v>
      </c>
      <c r="X68" s="1569">
        <v>217411</v>
      </c>
      <c r="Y68" s="1505">
        <v>202972</v>
      </c>
      <c r="Z68" s="1328"/>
    </row>
    <row r="69" spans="1:26" ht="12.75" customHeight="1" x14ac:dyDescent="0.2">
      <c r="A69" s="1391"/>
      <c r="B69" s="945"/>
      <c r="C69" s="1394"/>
      <c r="D69" s="1376"/>
      <c r="E69" s="1358"/>
      <c r="F69" s="1354"/>
      <c r="G69" s="1483"/>
      <c r="H69" s="1483"/>
      <c r="I69" s="1498"/>
      <c r="J69" s="1469"/>
      <c r="K69" s="1915"/>
      <c r="L69" s="1506"/>
      <c r="M69" s="1484"/>
      <c r="N69" s="1507"/>
      <c r="O69" s="1502"/>
      <c r="P69" s="1506"/>
      <c r="Q69" s="1506"/>
      <c r="R69" s="1533"/>
      <c r="S69" s="1508"/>
      <c r="T69" s="1359"/>
      <c r="U69" s="1541"/>
      <c r="V69" s="1509"/>
      <c r="W69" s="1509"/>
      <c r="X69" s="1509"/>
      <c r="Y69" s="1509"/>
      <c r="Z69" s="1328"/>
    </row>
    <row r="70" spans="1:26" ht="12.75" customHeight="1" x14ac:dyDescent="0.2">
      <c r="A70" s="1365"/>
      <c r="B70" s="945" t="s">
        <v>637</v>
      </c>
      <c r="C70" s="1372">
        <v>-159</v>
      </c>
      <c r="D70" s="1373">
        <v>0.26411960132890366</v>
      </c>
      <c r="E70" s="1514"/>
      <c r="F70" s="2278">
        <v>-761</v>
      </c>
      <c r="G70" s="2210">
        <v>-801</v>
      </c>
      <c r="H70" s="2210">
        <v>-473</v>
      </c>
      <c r="I70" s="1678">
        <v>-729</v>
      </c>
      <c r="J70" s="2210">
        <v>-602</v>
      </c>
      <c r="K70" s="2210">
        <v>-1043</v>
      </c>
      <c r="L70" s="1534">
        <v>-1040</v>
      </c>
      <c r="M70" s="1678">
        <v>-853</v>
      </c>
      <c r="N70" s="1534">
        <v>-720</v>
      </c>
      <c r="O70" s="1536"/>
      <c r="P70" s="1535">
        <v>-2764</v>
      </c>
      <c r="Q70" s="1535">
        <v>-3538</v>
      </c>
      <c r="R70" s="1172">
        <v>774</v>
      </c>
      <c r="S70" s="1537">
        <v>0.21876766534765404</v>
      </c>
      <c r="T70" s="1538"/>
      <c r="U70" s="1317">
        <v>-2764</v>
      </c>
      <c r="V70" s="1325">
        <v>-3538</v>
      </c>
      <c r="W70" s="1325">
        <v>-3321</v>
      </c>
      <c r="X70" s="1325">
        <v>-3950</v>
      </c>
      <c r="Y70" s="1317">
        <v>-4054</v>
      </c>
      <c r="Z70" s="1677"/>
    </row>
    <row r="71" spans="1:26" x14ac:dyDescent="0.2">
      <c r="C71" s="1359"/>
      <c r="D71" s="1359"/>
      <c r="E71" s="1329"/>
      <c r="F71" s="1331"/>
      <c r="G71" s="1363"/>
      <c r="H71" s="1363"/>
      <c r="I71" s="1363"/>
      <c r="J71" s="1363"/>
      <c r="K71" s="1363"/>
      <c r="L71" s="1360"/>
      <c r="M71" s="1360"/>
      <c r="N71" s="1360"/>
      <c r="O71" s="1360"/>
      <c r="P71" s="1360"/>
      <c r="Q71" s="1360"/>
      <c r="R71" s="1402"/>
      <c r="S71" s="1402"/>
      <c r="T71" s="1359"/>
      <c r="U71" s="1359"/>
      <c r="V71" s="1359"/>
      <c r="W71" s="1359"/>
      <c r="X71" s="1359"/>
      <c r="Y71" s="1359"/>
      <c r="Z71" s="1328"/>
    </row>
    <row r="72" spans="1:26" x14ac:dyDescent="0.2">
      <c r="A72" s="945" t="s">
        <v>339</v>
      </c>
      <c r="F72" s="2135"/>
      <c r="G72" s="2139"/>
      <c r="H72" s="2139"/>
      <c r="I72" s="2139"/>
      <c r="J72" s="2139"/>
      <c r="O72" s="1042"/>
      <c r="P72" s="1042"/>
      <c r="Q72" s="1042"/>
      <c r="R72" s="1623"/>
      <c r="S72" s="1623"/>
      <c r="T72" s="1042"/>
      <c r="U72" s="1042"/>
      <c r="V72" s="1042"/>
      <c r="W72" s="1042"/>
      <c r="X72" s="1042"/>
      <c r="Y72" s="1042"/>
    </row>
    <row r="73" spans="1:26" x14ac:dyDescent="0.2">
      <c r="A73" s="968" t="s">
        <v>25</v>
      </c>
      <c r="F73" s="2135"/>
      <c r="G73" s="1548"/>
      <c r="H73" s="1548"/>
      <c r="I73" s="2139"/>
      <c r="J73" s="2139"/>
      <c r="P73" s="2144"/>
      <c r="Q73" s="2144"/>
      <c r="R73" s="2147"/>
      <c r="S73" s="2147"/>
      <c r="T73" s="2144"/>
      <c r="U73" s="2144"/>
      <c r="V73" s="2144"/>
      <c r="W73" s="2144"/>
      <c r="X73" s="2144"/>
      <c r="Y73" s="2144"/>
      <c r="Z73" s="2137"/>
    </row>
    <row r="74" spans="1:26" x14ac:dyDescent="0.2">
      <c r="A74" s="940"/>
      <c r="F74" s="2280"/>
      <c r="G74" s="1548"/>
      <c r="H74" s="1548"/>
      <c r="I74" s="2139"/>
      <c r="J74" s="2139"/>
      <c r="P74" s="2144"/>
      <c r="Q74" s="2144"/>
      <c r="R74" s="2147"/>
      <c r="S74" s="2147"/>
      <c r="T74" s="2144"/>
      <c r="U74" s="2144"/>
      <c r="V74" s="2144"/>
      <c r="W74" s="2144"/>
      <c r="X74" s="2144"/>
      <c r="Y74" s="2144"/>
    </row>
    <row r="75" spans="1:26" x14ac:dyDescent="0.2">
      <c r="A75" s="945" t="s">
        <v>552</v>
      </c>
      <c r="F75" s="2135"/>
      <c r="G75" s="1548"/>
      <c r="H75" s="1548"/>
      <c r="I75" s="2139"/>
      <c r="J75" s="2139"/>
      <c r="P75" s="2144"/>
      <c r="Q75" s="2144"/>
      <c r="R75" s="2147"/>
      <c r="S75" s="2147"/>
      <c r="T75" s="2144"/>
      <c r="U75" s="2144"/>
      <c r="V75" s="2144"/>
      <c r="W75" s="2144"/>
      <c r="X75" s="2144"/>
      <c r="Y75" s="2144"/>
    </row>
    <row r="76" spans="1:26" x14ac:dyDescent="0.2">
      <c r="F76" s="2135"/>
      <c r="G76" s="1548"/>
      <c r="H76" s="1548"/>
      <c r="I76" s="2139"/>
      <c r="J76" s="2139"/>
      <c r="P76" s="2144"/>
      <c r="Q76" s="2144"/>
      <c r="R76" s="2147"/>
      <c r="S76" s="2147"/>
      <c r="T76" s="2144"/>
      <c r="U76" s="2144"/>
      <c r="V76" s="2144"/>
      <c r="W76" s="2144"/>
      <c r="X76" s="2144"/>
      <c r="Y76" s="2144"/>
    </row>
    <row r="77" spans="1:26" x14ac:dyDescent="0.2">
      <c r="A77" s="1360"/>
      <c r="B77" s="1360"/>
      <c r="C77" s="2144"/>
      <c r="D77" s="2144"/>
      <c r="F77" s="2135"/>
      <c r="G77" s="1548"/>
      <c r="H77" s="1548"/>
      <c r="I77" s="2139"/>
      <c r="J77" s="2139"/>
      <c r="O77" s="1629"/>
      <c r="P77" s="1304"/>
      <c r="Q77" s="1304"/>
      <c r="R77" s="2148"/>
      <c r="S77" s="2148"/>
      <c r="T77" s="1304"/>
      <c r="U77" s="1304"/>
      <c r="V77" s="1304"/>
      <c r="W77" s="1304"/>
      <c r="X77" s="1304"/>
      <c r="Y77" s="1304"/>
    </row>
    <row r="78" spans="1:26" x14ac:dyDescent="0.2">
      <c r="F78" s="2135"/>
      <c r="G78" s="1548"/>
      <c r="H78" s="1548"/>
      <c r="I78" s="2139"/>
      <c r="J78" s="2139"/>
      <c r="P78" s="2144"/>
      <c r="Q78" s="2144"/>
      <c r="R78" s="2144"/>
      <c r="S78" s="2144"/>
      <c r="T78" s="2144"/>
      <c r="U78" s="2144"/>
      <c r="V78" s="2144"/>
      <c r="W78" s="2144"/>
      <c r="X78" s="2144"/>
      <c r="Y78" s="2144"/>
    </row>
    <row r="79" spans="1:26" x14ac:dyDescent="0.2">
      <c r="G79" s="1548"/>
      <c r="P79" s="2144"/>
      <c r="Q79" s="2144"/>
      <c r="R79" s="2147"/>
      <c r="S79" s="2147"/>
      <c r="T79" s="2144"/>
      <c r="U79" s="2144"/>
      <c r="V79" s="2144"/>
      <c r="W79" s="2144"/>
      <c r="X79" s="2144"/>
      <c r="Y79" s="2144"/>
    </row>
    <row r="80" spans="1:26" x14ac:dyDescent="0.2">
      <c r="P80" s="2144"/>
      <c r="Q80" s="2144"/>
    </row>
    <row r="81" spans="1:26" x14ac:dyDescent="0.2">
      <c r="P81" s="2144"/>
      <c r="Q81" s="2144"/>
    </row>
    <row r="82" spans="1:26" x14ac:dyDescent="0.2">
      <c r="P82" s="2144"/>
      <c r="Q82" s="2144"/>
    </row>
    <row r="83" spans="1:26" x14ac:dyDescent="0.2">
      <c r="P83" s="2144"/>
      <c r="Q83" s="2144"/>
    </row>
    <row r="84" spans="1:26" x14ac:dyDescent="0.2">
      <c r="P84" s="2144"/>
      <c r="Q84" s="2144"/>
    </row>
    <row r="85" spans="1:26" x14ac:dyDescent="0.2">
      <c r="P85" s="2144"/>
      <c r="Q85" s="2144"/>
    </row>
    <row r="86" spans="1:26" x14ac:dyDescent="0.2">
      <c r="P86" s="2144"/>
      <c r="Q86" s="2144"/>
    </row>
    <row r="87" spans="1:26" x14ac:dyDescent="0.2">
      <c r="P87" s="2144"/>
      <c r="Q87" s="2144"/>
    </row>
    <row r="88" spans="1:26" x14ac:dyDescent="0.2">
      <c r="P88" s="2144"/>
      <c r="Q88" s="2144"/>
    </row>
    <row r="89" spans="1:26" x14ac:dyDescent="0.2">
      <c r="P89" s="2144"/>
      <c r="Q89" s="2144"/>
    </row>
    <row r="90" spans="1:26" x14ac:dyDescent="0.2">
      <c r="P90" s="2144"/>
      <c r="Q90" s="2144"/>
    </row>
    <row r="91" spans="1:26" x14ac:dyDescent="0.2">
      <c r="P91" s="2144"/>
      <c r="Q91" s="2144"/>
    </row>
    <row r="92" spans="1:26" x14ac:dyDescent="0.2">
      <c r="P92" s="2144"/>
      <c r="Q92" s="2144"/>
    </row>
    <row r="93" spans="1:26" x14ac:dyDescent="0.2">
      <c r="P93" s="2144"/>
      <c r="Q93" s="2144"/>
    </row>
    <row r="94" spans="1:26" x14ac:dyDescent="0.2">
      <c r="P94" s="2144"/>
      <c r="Q94" s="2144"/>
    </row>
    <row r="95" spans="1:26" s="2146" customFormat="1" x14ac:dyDescent="0.2">
      <c r="A95" s="1359"/>
      <c r="B95" s="1359"/>
      <c r="C95" s="2143"/>
      <c r="D95" s="2143"/>
      <c r="E95" s="2137"/>
      <c r="F95" s="2137"/>
      <c r="G95" s="2144"/>
      <c r="H95" s="2144"/>
      <c r="I95" s="2144"/>
      <c r="J95" s="2144"/>
      <c r="K95" s="2139"/>
      <c r="L95" s="2144"/>
      <c r="M95" s="2144"/>
      <c r="N95" s="2144"/>
      <c r="O95" s="2144"/>
      <c r="P95" s="2144"/>
      <c r="Q95" s="2144"/>
      <c r="R95" s="2145"/>
      <c r="S95" s="2145"/>
      <c r="T95" s="2143"/>
      <c r="U95" s="2143"/>
      <c r="V95" s="2143"/>
      <c r="W95" s="2143"/>
      <c r="X95" s="2143"/>
      <c r="Y95" s="2143"/>
      <c r="Z95" s="2133"/>
    </row>
  </sheetData>
  <mergeCells count="11">
    <mergeCell ref="C48:D48"/>
    <mergeCell ref="R48:S48"/>
    <mergeCell ref="C60:D60"/>
    <mergeCell ref="C61:D61"/>
    <mergeCell ref="R61:S61"/>
    <mergeCell ref="C47:D47"/>
    <mergeCell ref="C10:D10"/>
    <mergeCell ref="C11:D11"/>
    <mergeCell ref="R11:S11"/>
    <mergeCell ref="A31:B31"/>
    <mergeCell ref="A33:B33"/>
  </mergeCells>
  <conditionalFormatting sqref="A45:A46 A66:A68 A58 A34:B36">
    <cfRule type="cellIs" dxfId="100" priority="10" stopIfTrue="1" operator="equal">
      <formula>0</formula>
    </cfRule>
  </conditionalFormatting>
  <conditionalFormatting sqref="Y57">
    <cfRule type="cellIs" dxfId="99" priority="7" stopIfTrue="1" operator="equal">
      <formula>0</formula>
    </cfRule>
  </conditionalFormatting>
  <conditionalFormatting sqref="X57">
    <cfRule type="cellIs" dxfId="98" priority="6" stopIfTrue="1" operator="equal">
      <formula>0</formula>
    </cfRule>
  </conditionalFormatting>
  <conditionalFormatting sqref="W57">
    <cfRule type="cellIs" dxfId="97" priority="5" stopIfTrue="1" operator="equal">
      <formula>0</formula>
    </cfRule>
  </conditionalFormatting>
  <conditionalFormatting sqref="V57">
    <cfRule type="cellIs" dxfId="96" priority="3" stopIfTrue="1" operator="equal">
      <formula>0</formula>
    </cfRule>
  </conditionalFormatting>
  <conditionalFormatting sqref="B54">
    <cfRule type="cellIs" dxfId="95" priority="2" stopIfTrue="1" operator="equal">
      <formula>0</formula>
    </cfRule>
  </conditionalFormatting>
  <printOptions horizontalCentered="1" verticalCentered="1"/>
  <pageMargins left="0" right="0" top="0" bottom="0" header="0" footer="0"/>
  <pageSetup scale="58" orientation="landscape" r:id="rId1"/>
  <headerFooter alignWithMargins="0">
    <oddFooter>&amp;L&amp;F&amp;CPage 6</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Z81"/>
  <sheetViews>
    <sheetView zoomScale="110" zoomScaleNormal="110" workbookViewId="0">
      <selection activeCell="J10" sqref="J10"/>
    </sheetView>
  </sheetViews>
  <sheetFormatPr defaultColWidth="9.140625" defaultRowHeight="12.75" x14ac:dyDescent="0.2"/>
  <cols>
    <col min="1" max="1" width="2.7109375" style="1359" customWidth="1"/>
    <col min="2" max="2" width="47.85546875" style="1359" customWidth="1"/>
    <col min="3" max="3" width="10.140625" style="2143" customWidth="1"/>
    <col min="4" max="4" width="9.7109375" style="2143" customWidth="1"/>
    <col min="5" max="5" width="1.5703125" style="2137" customWidth="1"/>
    <col min="6" max="6" width="10.28515625" style="2137" customWidth="1"/>
    <col min="7" max="8" width="10.140625" style="2144" customWidth="1"/>
    <col min="9" max="9" width="11.140625" style="2144" customWidth="1"/>
    <col min="10" max="10" width="10.28515625" style="2144" customWidth="1"/>
    <col min="11" max="11" width="10.28515625" style="2139" customWidth="1"/>
    <col min="12" max="12" width="10.140625" style="2144" customWidth="1"/>
    <col min="13" max="13" width="11.140625" style="2144" customWidth="1"/>
    <col min="14" max="14" width="10.28515625" style="2144" customWidth="1"/>
    <col min="15" max="15" width="2.140625" style="2144" customWidth="1"/>
    <col min="16" max="17" width="9.42578125" style="2143" hidden="1" customWidth="1"/>
    <col min="18" max="18" width="10.140625" style="2145" customWidth="1"/>
    <col min="19" max="19" width="9.7109375" style="2145" customWidth="1"/>
    <col min="20" max="20" width="2" style="2143" customWidth="1"/>
    <col min="21" max="25" width="9.7109375" style="2143" customWidth="1"/>
    <col min="26" max="26" width="1.5703125" style="2133" customWidth="1"/>
    <col min="27" max="16384" width="9.140625" style="2133"/>
  </cols>
  <sheetData>
    <row r="1" spans="1:26" x14ac:dyDescent="0.2">
      <c r="C1" s="1359"/>
      <c r="D1" s="1359"/>
      <c r="E1" s="1329"/>
      <c r="F1" s="1329"/>
      <c r="G1" s="1360"/>
      <c r="H1" s="1360"/>
      <c r="I1" s="1360"/>
      <c r="J1" s="1360"/>
      <c r="K1" s="1363"/>
      <c r="L1" s="1360"/>
      <c r="M1" s="1360"/>
      <c r="N1" s="1360"/>
      <c r="O1" s="1360"/>
      <c r="P1" s="1359"/>
      <c r="Q1" s="1359"/>
      <c r="R1" s="1402"/>
      <c r="S1" s="1402"/>
      <c r="T1" s="1359"/>
      <c r="U1" s="1359"/>
      <c r="V1" s="1359"/>
      <c r="W1" s="1359"/>
      <c r="X1" s="1359"/>
      <c r="Y1" s="1359"/>
      <c r="Z1" s="1328"/>
    </row>
    <row r="2" spans="1:26" x14ac:dyDescent="0.2">
      <c r="C2" s="1359"/>
      <c r="D2" s="1359"/>
      <c r="E2" s="1329"/>
      <c r="F2" s="1329"/>
      <c r="G2" s="1360"/>
      <c r="H2" s="1360"/>
      <c r="I2" s="1360"/>
      <c r="J2" s="1360"/>
      <c r="K2" s="1363"/>
      <c r="L2" s="1360"/>
      <c r="M2" s="1360"/>
      <c r="N2" s="1360"/>
      <c r="O2" s="1360"/>
      <c r="P2" s="1359"/>
      <c r="Q2" s="1359"/>
      <c r="R2" s="1402"/>
      <c r="S2" s="1402"/>
      <c r="T2" s="1359"/>
      <c r="U2" s="1359"/>
      <c r="V2" s="1359"/>
      <c r="W2" s="1359"/>
      <c r="X2" s="1359"/>
      <c r="Y2" s="1359"/>
      <c r="Z2" s="1328"/>
    </row>
    <row r="3" spans="1:26" x14ac:dyDescent="0.2">
      <c r="C3" s="1359"/>
      <c r="D3" s="1359"/>
      <c r="E3" s="1329"/>
      <c r="F3" s="1329"/>
      <c r="G3" s="1360"/>
      <c r="H3" s="1360"/>
      <c r="I3" s="1360"/>
      <c r="J3" s="1360"/>
      <c r="K3" s="1363"/>
      <c r="L3" s="1360"/>
      <c r="M3" s="1360"/>
      <c r="N3" s="1360"/>
      <c r="O3" s="1360"/>
      <c r="P3" s="1359"/>
      <c r="Q3" s="1359"/>
      <c r="R3" s="1402"/>
      <c r="S3" s="1402"/>
      <c r="T3" s="1359"/>
      <c r="U3" s="1359"/>
      <c r="V3" s="1359"/>
      <c r="W3" s="1359"/>
      <c r="X3" s="1359"/>
      <c r="Y3" s="1359"/>
      <c r="Z3" s="1328"/>
    </row>
    <row r="4" spans="1:26" x14ac:dyDescent="0.2">
      <c r="C4" s="1359"/>
      <c r="D4" s="1359"/>
      <c r="E4" s="1329"/>
      <c r="F4" s="1329"/>
      <c r="G4" s="1360"/>
      <c r="H4" s="1360"/>
      <c r="I4" s="1360"/>
      <c r="J4" s="1360"/>
      <c r="K4" s="1363"/>
      <c r="L4" s="1360"/>
      <c r="M4" s="1360"/>
      <c r="N4" s="1360"/>
      <c r="O4" s="1360"/>
      <c r="P4" s="1359"/>
      <c r="Q4" s="1359"/>
      <c r="R4" s="1402"/>
      <c r="S4" s="1402"/>
      <c r="T4" s="1359"/>
      <c r="U4" s="1359"/>
      <c r="V4" s="1359"/>
      <c r="W4" s="1359"/>
      <c r="X4" s="1359"/>
      <c r="Y4" s="1359"/>
      <c r="Z4" s="1328"/>
    </row>
    <row r="5" spans="1:26" ht="6" customHeight="1" x14ac:dyDescent="0.2">
      <c r="A5" s="1360"/>
      <c r="B5" s="1360"/>
      <c r="C5" s="1360"/>
      <c r="D5" s="1360"/>
      <c r="E5" s="1329"/>
      <c r="F5" s="1329"/>
      <c r="G5" s="1360"/>
      <c r="H5" s="1360"/>
      <c r="I5" s="1360"/>
      <c r="J5" s="1360"/>
      <c r="K5" s="1363"/>
      <c r="L5" s="1360"/>
      <c r="M5" s="1360"/>
      <c r="N5" s="1360"/>
      <c r="O5" s="1360"/>
      <c r="P5" s="1359"/>
      <c r="Q5" s="1359"/>
      <c r="R5" s="1402"/>
      <c r="S5" s="1402"/>
      <c r="T5" s="1359"/>
      <c r="U5" s="1359"/>
      <c r="V5" s="1359"/>
      <c r="W5" s="1359"/>
      <c r="X5" s="1359"/>
      <c r="Y5" s="1359"/>
      <c r="Z5" s="1328"/>
    </row>
    <row r="6" spans="1:26" ht="18" customHeight="1" x14ac:dyDescent="0.2">
      <c r="A6" s="1694" t="s">
        <v>658</v>
      </c>
      <c r="B6" s="1363"/>
      <c r="C6" s="1363"/>
      <c r="D6" s="1363"/>
      <c r="E6" s="1331"/>
      <c r="F6" s="1331"/>
      <c r="G6" s="1363"/>
      <c r="H6" s="1363"/>
      <c r="I6" s="1363"/>
      <c r="J6" s="1363"/>
      <c r="K6" s="1363"/>
      <c r="L6" s="1363"/>
      <c r="M6" s="1363"/>
      <c r="N6" s="1363"/>
      <c r="O6" s="1360"/>
      <c r="P6" s="1359"/>
      <c r="Q6" s="1359"/>
      <c r="R6" s="1402"/>
      <c r="S6" s="1402"/>
      <c r="T6" s="1359"/>
      <c r="U6" s="1359"/>
      <c r="V6" s="1359"/>
      <c r="W6" s="1359"/>
      <c r="X6" s="1359"/>
      <c r="Y6" s="1359"/>
      <c r="Z6" s="1328"/>
    </row>
    <row r="7" spans="1:26" ht="18" customHeight="1" x14ac:dyDescent="0.2">
      <c r="A7" s="1701" t="s">
        <v>638</v>
      </c>
      <c r="B7" s="1362"/>
      <c r="C7" s="1362"/>
      <c r="D7" s="1362"/>
      <c r="E7" s="1330"/>
      <c r="F7" s="1330"/>
      <c r="G7" s="1362"/>
      <c r="H7" s="1362"/>
      <c r="I7" s="1362"/>
      <c r="J7" s="1362"/>
      <c r="K7" s="1362"/>
      <c r="L7" s="1362"/>
      <c r="M7" s="1362"/>
      <c r="N7" s="1362"/>
      <c r="O7" s="1363"/>
      <c r="P7" s="1543"/>
      <c r="Q7" s="1543"/>
      <c r="R7" s="1929"/>
      <c r="S7" s="1890"/>
      <c r="T7" s="1543"/>
      <c r="U7" s="1543"/>
      <c r="V7" s="1543"/>
      <c r="W7" s="1543"/>
      <c r="X7" s="1543"/>
      <c r="Y7" s="1359"/>
      <c r="Z7" s="1328"/>
    </row>
    <row r="8" spans="1:26" ht="16.5" customHeight="1" x14ac:dyDescent="0.2">
      <c r="A8" s="943"/>
      <c r="B8" s="1363"/>
      <c r="C8" s="1363"/>
      <c r="D8" s="1363"/>
      <c r="E8" s="1331"/>
      <c r="F8" s="1331"/>
      <c r="G8" s="2211"/>
      <c r="H8" s="2211"/>
      <c r="I8" s="1363"/>
      <c r="J8" s="1363"/>
      <c r="K8" s="1363"/>
      <c r="L8" s="2211"/>
      <c r="M8" s="1363"/>
      <c r="N8" s="1363"/>
      <c r="O8" s="1363"/>
      <c r="P8" s="1543"/>
      <c r="Q8" s="1543"/>
      <c r="R8" s="1891"/>
      <c r="S8" s="1891"/>
      <c r="T8" s="1543"/>
      <c r="U8" s="1543"/>
      <c r="V8" s="1543"/>
      <c r="W8" s="1543"/>
      <c r="X8" s="1543"/>
      <c r="Y8" s="1359"/>
      <c r="Z8" s="1328"/>
    </row>
    <row r="9" spans="1:26" ht="16.5" customHeight="1" x14ac:dyDescent="0.2">
      <c r="A9" s="943"/>
      <c r="B9" s="1363"/>
      <c r="C9" s="1363"/>
      <c r="D9" s="1363"/>
      <c r="E9" s="1331"/>
      <c r="F9" s="1331"/>
      <c r="G9" s="1363"/>
      <c r="H9" s="1363"/>
      <c r="I9" s="1363"/>
      <c r="J9" s="1363"/>
      <c r="K9" s="1363"/>
      <c r="L9" s="1363"/>
      <c r="M9" s="1363"/>
      <c r="N9" s="1363"/>
      <c r="O9" s="1363"/>
      <c r="P9" s="1543"/>
      <c r="Q9" s="1543"/>
      <c r="R9" s="1891"/>
      <c r="S9" s="1891"/>
      <c r="T9" s="1543"/>
      <c r="U9" s="1543"/>
      <c r="V9" s="1543"/>
      <c r="W9" s="1543"/>
      <c r="X9" s="1543"/>
      <c r="Y9" s="1359"/>
      <c r="Z9" s="1328"/>
    </row>
    <row r="10" spans="1:26" x14ac:dyDescent="0.2">
      <c r="A10" s="1364" t="s">
        <v>1</v>
      </c>
      <c r="B10" s="1365"/>
      <c r="C10" s="2306" t="s">
        <v>667</v>
      </c>
      <c r="D10" s="2307"/>
      <c r="E10" s="1333"/>
      <c r="F10" s="1895"/>
      <c r="G10" s="1893"/>
      <c r="H10" s="1893"/>
      <c r="I10" s="1893"/>
      <c r="J10" s="1894"/>
      <c r="K10" s="1893"/>
      <c r="L10" s="1893"/>
      <c r="M10" s="1893"/>
      <c r="N10" s="1894"/>
      <c r="O10" s="1917"/>
      <c r="P10" s="981" t="s">
        <v>668</v>
      </c>
      <c r="Q10" s="981"/>
      <c r="R10" s="981" t="s">
        <v>551</v>
      </c>
      <c r="S10" s="982"/>
      <c r="T10" s="1405"/>
      <c r="U10" s="1406"/>
      <c r="V10" s="1406"/>
      <c r="W10" s="1406"/>
      <c r="X10" s="1406"/>
      <c r="Y10" s="1406"/>
      <c r="Z10" s="1674"/>
    </row>
    <row r="11" spans="1:26" x14ac:dyDescent="0.2">
      <c r="A11" s="1364" t="s">
        <v>482</v>
      </c>
      <c r="B11" s="1365"/>
      <c r="C11" s="2412" t="s">
        <v>35</v>
      </c>
      <c r="D11" s="2413"/>
      <c r="E11" s="1335"/>
      <c r="F11" s="1652" t="s">
        <v>546</v>
      </c>
      <c r="G11" s="985" t="s">
        <v>547</v>
      </c>
      <c r="H11" s="985" t="s">
        <v>548</v>
      </c>
      <c r="I11" s="985" t="s">
        <v>549</v>
      </c>
      <c r="J11" s="987" t="s">
        <v>497</v>
      </c>
      <c r="K11" s="985" t="s">
        <v>496</v>
      </c>
      <c r="L11" s="985" t="s">
        <v>495</v>
      </c>
      <c r="M11" s="985" t="s">
        <v>494</v>
      </c>
      <c r="N11" s="987" t="s">
        <v>363</v>
      </c>
      <c r="O11" s="1404"/>
      <c r="P11" s="983" t="s">
        <v>546</v>
      </c>
      <c r="Q11" s="983" t="s">
        <v>497</v>
      </c>
      <c r="R11" s="2310" t="s">
        <v>35</v>
      </c>
      <c r="S11" s="2311"/>
      <c r="T11" s="1408"/>
      <c r="U11" s="987" t="s">
        <v>550</v>
      </c>
      <c r="V11" s="987" t="s">
        <v>498</v>
      </c>
      <c r="W11" s="987" t="s">
        <v>490</v>
      </c>
      <c r="X11" s="987" t="s">
        <v>360</v>
      </c>
      <c r="Y11" s="987" t="s">
        <v>342</v>
      </c>
      <c r="Z11" s="1674"/>
    </row>
    <row r="12" spans="1:26" x14ac:dyDescent="0.2">
      <c r="A12" s="1368" t="s">
        <v>56</v>
      </c>
      <c r="B12" s="1369"/>
      <c r="C12" s="1928"/>
      <c r="D12" s="1926"/>
      <c r="E12" s="1901"/>
      <c r="F12" s="1903"/>
      <c r="G12" s="1365"/>
      <c r="H12" s="1365"/>
      <c r="I12" s="1365"/>
      <c r="J12" s="1899"/>
      <c r="K12" s="1365"/>
      <c r="L12" s="1365"/>
      <c r="M12" s="1365"/>
      <c r="N12" s="1938"/>
      <c r="O12" s="1448"/>
      <c r="P12" s="1928"/>
      <c r="Q12" s="1927"/>
      <c r="R12" s="2282"/>
      <c r="S12" s="1930"/>
      <c r="T12" s="1377"/>
      <c r="U12" s="1448"/>
      <c r="V12" s="1448"/>
      <c r="W12" s="1448"/>
      <c r="X12" s="1448"/>
      <c r="Y12" s="1415"/>
      <c r="Z12" s="1674"/>
    </row>
    <row r="13" spans="1:26" ht="12.75" customHeight="1" x14ac:dyDescent="0.2">
      <c r="A13" s="1365"/>
      <c r="B13" s="1365" t="s">
        <v>349</v>
      </c>
      <c r="C13" s="1371">
        <v>-5910</v>
      </c>
      <c r="D13" s="1374">
        <v>-0.17001812375938552</v>
      </c>
      <c r="E13" s="1693"/>
      <c r="F13" s="1355">
        <v>28851</v>
      </c>
      <c r="G13" s="1471">
        <v>38529</v>
      </c>
      <c r="H13" s="1471">
        <v>19568</v>
      </c>
      <c r="I13" s="1473">
        <v>21691</v>
      </c>
      <c r="J13" s="1471">
        <v>34761</v>
      </c>
      <c r="K13" s="1471">
        <v>32218</v>
      </c>
      <c r="L13" s="1471">
        <v>34638</v>
      </c>
      <c r="M13" s="1471">
        <v>26654</v>
      </c>
      <c r="N13" s="1775">
        <v>49474</v>
      </c>
      <c r="O13" s="1365"/>
      <c r="P13" s="1477">
        <v>108639</v>
      </c>
      <c r="Q13" s="1471">
        <v>128271</v>
      </c>
      <c r="R13" s="2442">
        <v>-19632</v>
      </c>
      <c r="S13" s="1374">
        <v>-0.15305096241551092</v>
      </c>
      <c r="T13" s="1365"/>
      <c r="U13" s="1490">
        <v>108639</v>
      </c>
      <c r="V13" s="1490">
        <v>128271</v>
      </c>
      <c r="W13" s="1490">
        <v>133823</v>
      </c>
      <c r="X13" s="1490">
        <v>145444</v>
      </c>
      <c r="Y13" s="1476">
        <v>155942</v>
      </c>
      <c r="Z13" s="1674"/>
    </row>
    <row r="14" spans="1:26" ht="12.75" customHeight="1" x14ac:dyDescent="0.2">
      <c r="A14" s="1365"/>
      <c r="B14" s="1365" t="s">
        <v>366</v>
      </c>
      <c r="C14" s="1371">
        <v>2</v>
      </c>
      <c r="D14" s="1374">
        <v>5.7142857142857141E-2</v>
      </c>
      <c r="E14" s="1339"/>
      <c r="F14" s="1695">
        <v>37</v>
      </c>
      <c r="G14" s="1212">
        <v>13</v>
      </c>
      <c r="H14" s="1212">
        <v>0</v>
      </c>
      <c r="I14" s="1212">
        <v>100</v>
      </c>
      <c r="J14" s="1214">
        <v>35</v>
      </c>
      <c r="K14" s="1212">
        <v>4</v>
      </c>
      <c r="L14" s="1212">
        <v>31</v>
      </c>
      <c r="M14" s="1212">
        <v>117</v>
      </c>
      <c r="N14" s="1190">
        <v>12716</v>
      </c>
      <c r="O14" s="1448"/>
      <c r="P14" s="1481">
        <v>150</v>
      </c>
      <c r="Q14" s="1419">
        <v>187</v>
      </c>
      <c r="R14" s="1435">
        <v>-37</v>
      </c>
      <c r="S14" s="1376">
        <v>-0.19786096256684493</v>
      </c>
      <c r="T14" s="1377"/>
      <c r="U14" s="1490">
        <v>150</v>
      </c>
      <c r="V14" s="1190">
        <v>187</v>
      </c>
      <c r="W14" s="1190">
        <v>12989</v>
      </c>
      <c r="X14" s="1190">
        <v>34</v>
      </c>
      <c r="Y14" s="1542">
        <v>0</v>
      </c>
      <c r="Z14" s="1674"/>
    </row>
    <row r="15" spans="1:26" ht="12.75" customHeight="1" x14ac:dyDescent="0.2">
      <c r="A15" s="1369"/>
      <c r="B15" s="1365"/>
      <c r="C15" s="1372">
        <v>-5908</v>
      </c>
      <c r="D15" s="1373">
        <v>-0.16978963099206806</v>
      </c>
      <c r="E15" s="1339"/>
      <c r="F15" s="1695">
        <v>28888</v>
      </c>
      <c r="G15" s="1212">
        <v>38542</v>
      </c>
      <c r="H15" s="1212">
        <v>19568</v>
      </c>
      <c r="I15" s="1212">
        <v>21791</v>
      </c>
      <c r="J15" s="1214">
        <v>34796</v>
      </c>
      <c r="K15" s="1212">
        <v>32222</v>
      </c>
      <c r="L15" s="1212">
        <v>34669</v>
      </c>
      <c r="M15" s="1212">
        <v>26771</v>
      </c>
      <c r="N15" s="1214">
        <v>62190</v>
      </c>
      <c r="O15" s="1448"/>
      <c r="P15" s="1520">
        <v>108789</v>
      </c>
      <c r="Q15" s="1518">
        <v>128458</v>
      </c>
      <c r="R15" s="1426">
        <v>-19669</v>
      </c>
      <c r="S15" s="1373">
        <v>-0.15311619361970449</v>
      </c>
      <c r="T15" s="1377"/>
      <c r="U15" s="1918">
        <v>108789</v>
      </c>
      <c r="V15" s="1482">
        <v>128458</v>
      </c>
      <c r="W15" s="1482">
        <v>146812</v>
      </c>
      <c r="X15" s="1482">
        <v>145478</v>
      </c>
      <c r="Y15" s="1427">
        <v>155942</v>
      </c>
      <c r="Z15" s="1674"/>
    </row>
    <row r="16" spans="1:26" ht="12.75" customHeight="1" x14ac:dyDescent="0.2">
      <c r="A16" s="1368" t="s">
        <v>5</v>
      </c>
      <c r="B16" s="1365"/>
      <c r="C16" s="1562">
        <v>0</v>
      </c>
      <c r="D16" s="1450"/>
      <c r="E16" s="1339"/>
      <c r="F16" s="2257"/>
      <c r="G16" s="1281"/>
      <c r="H16" s="1281"/>
      <c r="I16" s="1290"/>
      <c r="J16" s="1270"/>
      <c r="K16" s="1130"/>
      <c r="L16" s="1130"/>
      <c r="M16" s="1130"/>
      <c r="N16" s="1270"/>
      <c r="O16" s="1448"/>
      <c r="P16" s="1688"/>
      <c r="Q16" s="1428"/>
      <c r="R16" s="1421"/>
      <c r="S16" s="1374"/>
      <c r="T16" s="1377"/>
      <c r="U16" s="2248"/>
      <c r="V16" s="1522"/>
      <c r="W16" s="1522"/>
      <c r="X16" s="1522"/>
      <c r="Y16" s="1432"/>
      <c r="Z16" s="1674"/>
    </row>
    <row r="17" spans="1:26" ht="12.75" customHeight="1" x14ac:dyDescent="0.2">
      <c r="A17" s="1369"/>
      <c r="B17" s="1036" t="s">
        <v>624</v>
      </c>
      <c r="C17" s="1371">
        <v>-859</v>
      </c>
      <c r="D17" s="1374">
        <v>-4.1612168773918518E-2</v>
      </c>
      <c r="E17" s="1339"/>
      <c r="F17" s="1671">
        <v>19784</v>
      </c>
      <c r="G17" s="1130">
        <v>22766</v>
      </c>
      <c r="H17" s="1130">
        <v>15698</v>
      </c>
      <c r="I17" s="1130">
        <v>14780</v>
      </c>
      <c r="J17" s="1270">
        <v>20643</v>
      </c>
      <c r="K17" s="1130">
        <v>19226</v>
      </c>
      <c r="L17" s="1130">
        <v>20274</v>
      </c>
      <c r="M17" s="1130">
        <v>19880</v>
      </c>
      <c r="N17" s="1270">
        <v>32083</v>
      </c>
      <c r="O17" s="1448"/>
      <c r="P17" s="1428">
        <v>73028</v>
      </c>
      <c r="Q17" s="1428">
        <v>80023</v>
      </c>
      <c r="R17" s="1421">
        <v>-6995</v>
      </c>
      <c r="S17" s="1374">
        <v>-8.741236894392862E-2</v>
      </c>
      <c r="T17" s="1377"/>
      <c r="U17" s="1490">
        <v>73028</v>
      </c>
      <c r="V17" s="1642">
        <v>80023</v>
      </c>
      <c r="W17" s="1642">
        <v>90538</v>
      </c>
      <c r="X17" s="1642">
        <v>93617</v>
      </c>
      <c r="Y17" s="1476">
        <v>100217</v>
      </c>
      <c r="Z17" s="1674"/>
    </row>
    <row r="18" spans="1:26" ht="13.5" customHeight="1" x14ac:dyDescent="0.2">
      <c r="A18" s="1369"/>
      <c r="B18" s="1900" t="s">
        <v>61</v>
      </c>
      <c r="C18" s="1371">
        <v>-90</v>
      </c>
      <c r="D18" s="1374">
        <v>-6.3380281690140844E-2</v>
      </c>
      <c r="E18" s="1339"/>
      <c r="F18" s="1671">
        <v>1330</v>
      </c>
      <c r="G18" s="1130">
        <v>1311</v>
      </c>
      <c r="H18" s="1130">
        <v>1158</v>
      </c>
      <c r="I18" s="1130">
        <v>1451</v>
      </c>
      <c r="J18" s="1270">
        <v>1420</v>
      </c>
      <c r="K18" s="1130">
        <v>1370</v>
      </c>
      <c r="L18" s="1130">
        <v>1418</v>
      </c>
      <c r="M18" s="1130">
        <v>1464</v>
      </c>
      <c r="N18" s="1270">
        <v>1419</v>
      </c>
      <c r="O18" s="1448"/>
      <c r="P18" s="1477">
        <v>5250</v>
      </c>
      <c r="Q18" s="1471">
        <v>5672</v>
      </c>
      <c r="R18" s="1421">
        <v>-422</v>
      </c>
      <c r="S18" s="1374">
        <v>-7.4400564174894213E-2</v>
      </c>
      <c r="T18" s="1377"/>
      <c r="U18" s="1490">
        <v>5250</v>
      </c>
      <c r="V18" s="1493">
        <v>5672</v>
      </c>
      <c r="W18" s="1493">
        <v>5520</v>
      </c>
      <c r="X18" s="1493">
        <v>7223</v>
      </c>
      <c r="Y18" s="1476">
        <v>7037</v>
      </c>
      <c r="Z18" s="1674"/>
    </row>
    <row r="19" spans="1:26" ht="12.75" customHeight="1" x14ac:dyDescent="0.2">
      <c r="A19" s="1369"/>
      <c r="B19" s="1900" t="s">
        <v>88</v>
      </c>
      <c r="C19" s="1371">
        <v>-69</v>
      </c>
      <c r="D19" s="1374">
        <v>-4.2963885429638853E-2</v>
      </c>
      <c r="E19" s="1339"/>
      <c r="F19" s="1671">
        <v>1537</v>
      </c>
      <c r="G19" s="1130">
        <v>1360</v>
      </c>
      <c r="H19" s="1130">
        <v>1160</v>
      </c>
      <c r="I19" s="1130">
        <v>1417</v>
      </c>
      <c r="J19" s="1270">
        <v>1606</v>
      </c>
      <c r="K19" s="1130">
        <v>1364</v>
      </c>
      <c r="L19" s="1130">
        <v>1332</v>
      </c>
      <c r="M19" s="1130">
        <v>1023</v>
      </c>
      <c r="N19" s="1270">
        <v>1125</v>
      </c>
      <c r="O19" s="1448"/>
      <c r="P19" s="1477">
        <v>5474</v>
      </c>
      <c r="Q19" s="1471">
        <v>5325</v>
      </c>
      <c r="R19" s="1421">
        <v>149</v>
      </c>
      <c r="S19" s="1374">
        <v>2.7981220657276994E-2</v>
      </c>
      <c r="T19" s="1377"/>
      <c r="U19" s="1490">
        <v>5474</v>
      </c>
      <c r="V19" s="1493">
        <v>5325</v>
      </c>
      <c r="W19" s="1493">
        <v>4270</v>
      </c>
      <c r="X19" s="1493">
        <v>4417</v>
      </c>
      <c r="Y19" s="1476">
        <v>3876</v>
      </c>
      <c r="Z19" s="1674"/>
    </row>
    <row r="20" spans="1:26" ht="12.75" customHeight="1" x14ac:dyDescent="0.2">
      <c r="A20" s="1369"/>
      <c r="B20" s="1900" t="s">
        <v>63</v>
      </c>
      <c r="C20" s="1371">
        <v>-355</v>
      </c>
      <c r="D20" s="1374">
        <v>-0.19251626898047722</v>
      </c>
      <c r="E20" s="1339"/>
      <c r="F20" s="1671">
        <v>1489</v>
      </c>
      <c r="G20" s="1130">
        <v>1667</v>
      </c>
      <c r="H20" s="1130">
        <v>1446</v>
      </c>
      <c r="I20" s="1130">
        <v>1728</v>
      </c>
      <c r="J20" s="1270">
        <v>1844</v>
      </c>
      <c r="K20" s="1130">
        <v>1823</v>
      </c>
      <c r="L20" s="1130">
        <v>1928</v>
      </c>
      <c r="M20" s="1130">
        <v>2119</v>
      </c>
      <c r="N20" s="1270">
        <v>1844</v>
      </c>
      <c r="O20" s="1448"/>
      <c r="P20" s="1477">
        <v>6330</v>
      </c>
      <c r="Q20" s="1471">
        <v>7714</v>
      </c>
      <c r="R20" s="1421">
        <v>-1384</v>
      </c>
      <c r="S20" s="1374">
        <v>-0.17941405237231009</v>
      </c>
      <c r="T20" s="1377"/>
      <c r="U20" s="1490">
        <v>6330</v>
      </c>
      <c r="V20" s="1493">
        <v>7714</v>
      </c>
      <c r="W20" s="1493">
        <v>7628</v>
      </c>
      <c r="X20" s="1493">
        <v>8824</v>
      </c>
      <c r="Y20" s="1476">
        <v>9304</v>
      </c>
      <c r="Z20" s="1674"/>
    </row>
    <row r="21" spans="1:26" ht="12.75" customHeight="1" x14ac:dyDescent="0.2">
      <c r="A21" s="1369"/>
      <c r="B21" s="1900" t="s">
        <v>64</v>
      </c>
      <c r="C21" s="1371">
        <v>96</v>
      </c>
      <c r="D21" s="1374">
        <v>3.6711281070745699E-2</v>
      </c>
      <c r="E21" s="1339"/>
      <c r="F21" s="1671">
        <v>2711</v>
      </c>
      <c r="G21" s="1130">
        <v>2643</v>
      </c>
      <c r="H21" s="1130">
        <v>2489</v>
      </c>
      <c r="I21" s="1130">
        <v>2593</v>
      </c>
      <c r="J21" s="1270">
        <v>2615</v>
      </c>
      <c r="K21" s="1130">
        <v>2535</v>
      </c>
      <c r="L21" s="1130">
        <v>2604</v>
      </c>
      <c r="M21" s="1130">
        <v>2705</v>
      </c>
      <c r="N21" s="1270">
        <v>2722</v>
      </c>
      <c r="O21" s="1448"/>
      <c r="P21" s="1477">
        <v>10436</v>
      </c>
      <c r="Q21" s="1471">
        <v>10459</v>
      </c>
      <c r="R21" s="1421">
        <v>-23</v>
      </c>
      <c r="S21" s="1374">
        <v>-2.1990630079357491E-3</v>
      </c>
      <c r="T21" s="1377"/>
      <c r="U21" s="1490">
        <v>10436</v>
      </c>
      <c r="V21" s="1493">
        <v>10459</v>
      </c>
      <c r="W21" s="1493">
        <v>11459</v>
      </c>
      <c r="X21" s="1493">
        <v>14113</v>
      </c>
      <c r="Y21" s="1476">
        <v>13344</v>
      </c>
      <c r="Z21" s="1674"/>
    </row>
    <row r="22" spans="1:26" ht="12.75" customHeight="1" x14ac:dyDescent="0.2">
      <c r="A22" s="1369"/>
      <c r="B22" s="1900" t="s">
        <v>59</v>
      </c>
      <c r="C22" s="1371">
        <v>-63</v>
      </c>
      <c r="D22" s="1374">
        <v>-0.1237721021611002</v>
      </c>
      <c r="E22" s="1339"/>
      <c r="F22" s="1671">
        <v>446</v>
      </c>
      <c r="G22" s="1130">
        <v>406</v>
      </c>
      <c r="H22" s="1130">
        <v>501</v>
      </c>
      <c r="I22" s="1130">
        <v>517</v>
      </c>
      <c r="J22" s="1270">
        <v>509</v>
      </c>
      <c r="K22" s="1130">
        <v>593</v>
      </c>
      <c r="L22" s="1130">
        <v>480</v>
      </c>
      <c r="M22" s="1130">
        <v>562</v>
      </c>
      <c r="N22" s="1270">
        <v>628</v>
      </c>
      <c r="O22" s="1448"/>
      <c r="P22" s="1477">
        <v>1870</v>
      </c>
      <c r="Q22" s="1471">
        <v>2144</v>
      </c>
      <c r="R22" s="1421">
        <v>-274</v>
      </c>
      <c r="S22" s="1374">
        <v>-0.12779850746268656</v>
      </c>
      <c r="T22" s="1377"/>
      <c r="U22" s="1490">
        <v>1870</v>
      </c>
      <c r="V22" s="1493">
        <v>2144</v>
      </c>
      <c r="W22" s="1493">
        <v>2321</v>
      </c>
      <c r="X22" s="1493">
        <v>2236</v>
      </c>
      <c r="Y22" s="1476">
        <v>1867</v>
      </c>
      <c r="Z22" s="1329"/>
    </row>
    <row r="23" spans="1:26" ht="12.75" customHeight="1" x14ac:dyDescent="0.2">
      <c r="A23" s="1369"/>
      <c r="B23" s="1900" t="s">
        <v>65</v>
      </c>
      <c r="C23" s="1371">
        <v>848</v>
      </c>
      <c r="D23" s="1374">
        <v>0.31489045673969551</v>
      </c>
      <c r="E23" s="1339"/>
      <c r="F23" s="1671">
        <v>3541</v>
      </c>
      <c r="G23" s="1130">
        <v>3046</v>
      </c>
      <c r="H23" s="1130">
        <v>2473</v>
      </c>
      <c r="I23" s="1130">
        <v>3533</v>
      </c>
      <c r="J23" s="1270">
        <v>2693</v>
      </c>
      <c r="K23" s="1130">
        <v>3657</v>
      </c>
      <c r="L23" s="1130">
        <v>2443</v>
      </c>
      <c r="M23" s="1130">
        <v>2784</v>
      </c>
      <c r="N23" s="1270">
        <v>3519</v>
      </c>
      <c r="O23" s="1448"/>
      <c r="P23" s="1477">
        <v>12593</v>
      </c>
      <c r="Q23" s="1471">
        <v>11577</v>
      </c>
      <c r="R23" s="1421">
        <v>1016</v>
      </c>
      <c r="S23" s="1374">
        <v>8.7760214217845731E-2</v>
      </c>
      <c r="T23" s="1377"/>
      <c r="U23" s="1490">
        <v>12593</v>
      </c>
      <c r="V23" s="1493">
        <v>11577</v>
      </c>
      <c r="W23" s="1493">
        <v>12965</v>
      </c>
      <c r="X23" s="1493">
        <v>17302</v>
      </c>
      <c r="Y23" s="1476">
        <v>19561</v>
      </c>
      <c r="Z23" s="1329"/>
    </row>
    <row r="24" spans="1:26" ht="12.75" customHeight="1" x14ac:dyDescent="0.2">
      <c r="A24" s="1369"/>
      <c r="B24" s="1900" t="s">
        <v>66</v>
      </c>
      <c r="C24" s="1371">
        <v>-354</v>
      </c>
      <c r="D24" s="1374">
        <v>-0.46456692913385828</v>
      </c>
      <c r="E24" s="1339"/>
      <c r="F24" s="1671">
        <v>408</v>
      </c>
      <c r="G24" s="1130">
        <v>345</v>
      </c>
      <c r="H24" s="1130">
        <v>343</v>
      </c>
      <c r="I24" s="1130">
        <v>534</v>
      </c>
      <c r="J24" s="1270">
        <v>762</v>
      </c>
      <c r="K24" s="1130">
        <v>788</v>
      </c>
      <c r="L24" s="1130">
        <v>910</v>
      </c>
      <c r="M24" s="1130">
        <v>923</v>
      </c>
      <c r="N24" s="1270">
        <v>872</v>
      </c>
      <c r="O24" s="1448"/>
      <c r="P24" s="1477">
        <v>1630</v>
      </c>
      <c r="Q24" s="1471">
        <v>3383</v>
      </c>
      <c r="R24" s="1421">
        <v>-1753</v>
      </c>
      <c r="S24" s="1374">
        <v>-0.51817913094886192</v>
      </c>
      <c r="T24" s="1377"/>
      <c r="U24" s="1490">
        <v>1630</v>
      </c>
      <c r="V24" s="1493">
        <v>3383</v>
      </c>
      <c r="W24" s="1493">
        <v>3618</v>
      </c>
      <c r="X24" s="1493">
        <v>5122</v>
      </c>
      <c r="Y24" s="1476">
        <v>4834</v>
      </c>
      <c r="Z24" s="1329"/>
    </row>
    <row r="25" spans="1:26" ht="12.75" customHeight="1" x14ac:dyDescent="0.2">
      <c r="A25" s="1365"/>
      <c r="B25" s="1900" t="s">
        <v>67</v>
      </c>
      <c r="C25" s="1371">
        <v>54</v>
      </c>
      <c r="D25" s="1374">
        <v>0</v>
      </c>
      <c r="E25" s="1345"/>
      <c r="F25" s="1671">
        <v>54</v>
      </c>
      <c r="G25" s="1130">
        <v>0</v>
      </c>
      <c r="H25" s="1130">
        <v>38</v>
      </c>
      <c r="I25" s="1130">
        <v>4</v>
      </c>
      <c r="J25" s="1270">
        <v>0</v>
      </c>
      <c r="K25" s="1130">
        <v>0</v>
      </c>
      <c r="L25" s="1130">
        <v>0</v>
      </c>
      <c r="M25" s="1130">
        <v>19</v>
      </c>
      <c r="N25" s="1270">
        <v>122</v>
      </c>
      <c r="O25" s="1448"/>
      <c r="P25" s="1477">
        <v>96</v>
      </c>
      <c r="Q25" s="1471">
        <v>19</v>
      </c>
      <c r="R25" s="1421">
        <v>77</v>
      </c>
      <c r="S25" s="1374" t="s">
        <v>38</v>
      </c>
      <c r="T25" s="1377"/>
      <c r="U25" s="1490">
        <v>96</v>
      </c>
      <c r="V25" s="1493">
        <v>19</v>
      </c>
      <c r="W25" s="1493">
        <v>904</v>
      </c>
      <c r="X25" s="1493">
        <v>2921</v>
      </c>
      <c r="Y25" s="1476">
        <v>3776</v>
      </c>
      <c r="Z25" s="1329"/>
    </row>
    <row r="26" spans="1:26" ht="12.75" customHeight="1" x14ac:dyDescent="0.2">
      <c r="A26" s="1369"/>
      <c r="B26" s="1365" t="s">
        <v>149</v>
      </c>
      <c r="C26" s="1371">
        <v>11754</v>
      </c>
      <c r="D26" s="1374">
        <v>0</v>
      </c>
      <c r="E26" s="1339"/>
      <c r="F26" s="1671">
        <v>11754</v>
      </c>
      <c r="G26" s="1130">
        <v>0</v>
      </c>
      <c r="H26" s="1130">
        <v>0</v>
      </c>
      <c r="I26" s="1130">
        <v>1316</v>
      </c>
      <c r="J26" s="1270">
        <v>0</v>
      </c>
      <c r="K26" s="1130">
        <v>0</v>
      </c>
      <c r="L26" s="1130">
        <v>0</v>
      </c>
      <c r="M26" s="1130">
        <v>448</v>
      </c>
      <c r="N26" s="1270">
        <v>0</v>
      </c>
      <c r="O26" s="1448"/>
      <c r="P26" s="1477">
        <v>13070</v>
      </c>
      <c r="Q26" s="1471">
        <v>448</v>
      </c>
      <c r="R26" s="1421">
        <v>12622</v>
      </c>
      <c r="S26" s="1374" t="s">
        <v>38</v>
      </c>
      <c r="T26" s="1377"/>
      <c r="U26" s="1490">
        <v>13070</v>
      </c>
      <c r="V26" s="1182">
        <v>448</v>
      </c>
      <c r="W26" s="1180">
        <v>0</v>
      </c>
      <c r="X26" s="1493">
        <v>3344</v>
      </c>
      <c r="Y26" s="1541">
        <v>9143</v>
      </c>
      <c r="Z26" s="1329"/>
    </row>
    <row r="27" spans="1:26" ht="12.75" customHeight="1" x14ac:dyDescent="0.2">
      <c r="A27" s="1365"/>
      <c r="B27" s="1126" t="s">
        <v>625</v>
      </c>
      <c r="C27" s="1371">
        <v>-12870</v>
      </c>
      <c r="D27" s="1374">
        <v>-1</v>
      </c>
      <c r="E27" s="1693"/>
      <c r="F27" s="1671">
        <v>0</v>
      </c>
      <c r="G27" s="1130">
        <v>0</v>
      </c>
      <c r="H27" s="1130">
        <v>0</v>
      </c>
      <c r="I27" s="1130">
        <v>0</v>
      </c>
      <c r="J27" s="1270">
        <v>12870</v>
      </c>
      <c r="K27" s="1130">
        <v>0</v>
      </c>
      <c r="L27" s="1130">
        <v>0</v>
      </c>
      <c r="M27" s="1130">
        <v>0</v>
      </c>
      <c r="N27" s="1270"/>
      <c r="O27" s="1443"/>
      <c r="P27" s="1622">
        <v>0</v>
      </c>
      <c r="Q27" s="1471">
        <v>12870</v>
      </c>
      <c r="R27" s="1479">
        <v>-12870</v>
      </c>
      <c r="S27" s="1374">
        <v>-1</v>
      </c>
      <c r="T27" s="1496"/>
      <c r="U27" s="1622">
        <v>0</v>
      </c>
      <c r="V27" s="1182">
        <v>12870</v>
      </c>
      <c r="W27" s="1180">
        <v>0</v>
      </c>
      <c r="X27" s="1180">
        <v>0</v>
      </c>
      <c r="Y27" s="1457">
        <v>0</v>
      </c>
      <c r="Z27" s="1329"/>
    </row>
    <row r="28" spans="1:26" ht="12.75" customHeight="1" x14ac:dyDescent="0.2">
      <c r="A28" s="1369"/>
      <c r="B28" s="1365" t="s">
        <v>361</v>
      </c>
      <c r="C28" s="1371">
        <v>0</v>
      </c>
      <c r="D28" s="1374">
        <v>0</v>
      </c>
      <c r="E28" s="1339"/>
      <c r="F28" s="1671">
        <v>0</v>
      </c>
      <c r="G28" s="1130">
        <v>0</v>
      </c>
      <c r="H28" s="1130">
        <v>0</v>
      </c>
      <c r="I28" s="1130">
        <v>0</v>
      </c>
      <c r="J28" s="1270">
        <v>0</v>
      </c>
      <c r="K28" s="1130">
        <v>0</v>
      </c>
      <c r="L28" s="1130">
        <v>0</v>
      </c>
      <c r="M28" s="1130">
        <v>0</v>
      </c>
      <c r="N28" s="1270">
        <v>0</v>
      </c>
      <c r="O28" s="1448"/>
      <c r="P28" s="1622">
        <v>0</v>
      </c>
      <c r="Q28" s="1042">
        <v>0</v>
      </c>
      <c r="R28" s="1421">
        <v>0</v>
      </c>
      <c r="S28" s="1374">
        <v>0</v>
      </c>
      <c r="T28" s="1377"/>
      <c r="U28" s="1622">
        <v>0</v>
      </c>
      <c r="V28" s="1180">
        <v>0</v>
      </c>
      <c r="W28" s="1180">
        <v>0</v>
      </c>
      <c r="X28" s="1493">
        <v>106858</v>
      </c>
      <c r="Y28" s="1541">
        <v>0</v>
      </c>
      <c r="Z28" s="1329"/>
    </row>
    <row r="29" spans="1:26" ht="12.75" customHeight="1" x14ac:dyDescent="0.2">
      <c r="A29" s="1369"/>
      <c r="B29" s="1365"/>
      <c r="C29" s="1372">
        <v>-1908</v>
      </c>
      <c r="D29" s="1373">
        <v>-4.2435834704861883E-2</v>
      </c>
      <c r="E29" s="1339"/>
      <c r="F29" s="1717">
        <v>43054</v>
      </c>
      <c r="G29" s="1192">
        <v>33544</v>
      </c>
      <c r="H29" s="1192">
        <v>25306</v>
      </c>
      <c r="I29" s="1192">
        <v>27873</v>
      </c>
      <c r="J29" s="1120">
        <v>44962</v>
      </c>
      <c r="K29" s="1192">
        <v>31356</v>
      </c>
      <c r="L29" s="1192">
        <v>31389</v>
      </c>
      <c r="M29" s="1192">
        <v>31927</v>
      </c>
      <c r="N29" s="1120">
        <v>44334</v>
      </c>
      <c r="O29" s="1448"/>
      <c r="P29" s="1518">
        <v>129777</v>
      </c>
      <c r="Q29" s="1518">
        <v>139634</v>
      </c>
      <c r="R29" s="1269">
        <v>-9857</v>
      </c>
      <c r="S29" s="1450">
        <v>-7.0591689703080912E-2</v>
      </c>
      <c r="T29" s="1365"/>
      <c r="U29" s="1918">
        <v>129777</v>
      </c>
      <c r="V29" s="1643">
        <v>139634</v>
      </c>
      <c r="W29" s="1643">
        <v>139223</v>
      </c>
      <c r="X29" s="1643">
        <v>265977</v>
      </c>
      <c r="Y29" s="1451">
        <v>172959</v>
      </c>
      <c r="Z29" s="1329"/>
    </row>
    <row r="30" spans="1:26" s="1772" customFormat="1" ht="24.95" customHeight="1" x14ac:dyDescent="0.2">
      <c r="A30" s="2394" t="s">
        <v>168</v>
      </c>
      <c r="B30" s="2393"/>
      <c r="C30" s="1372">
        <v>-4000</v>
      </c>
      <c r="D30" s="1373">
        <v>0.39346842415896122</v>
      </c>
      <c r="E30" s="1344"/>
      <c r="F30" s="1782">
        <v>-14166</v>
      </c>
      <c r="G30" s="1269">
        <v>4998</v>
      </c>
      <c r="H30" s="1269">
        <v>-5738</v>
      </c>
      <c r="I30" s="1269">
        <v>-6082</v>
      </c>
      <c r="J30" s="1275">
        <v>-10166</v>
      </c>
      <c r="K30" s="1269">
        <v>866</v>
      </c>
      <c r="L30" s="1269">
        <v>3280</v>
      </c>
      <c r="M30" s="1269">
        <v>-5156</v>
      </c>
      <c r="N30" s="1275">
        <v>17856</v>
      </c>
      <c r="O30" s="1440"/>
      <c r="P30" s="1452">
        <v>-20988</v>
      </c>
      <c r="Q30" s="1452">
        <v>-11176</v>
      </c>
      <c r="R30" s="1269">
        <v>-9812</v>
      </c>
      <c r="S30" s="1373">
        <v>-0.87795275590551181</v>
      </c>
      <c r="T30" s="1365"/>
      <c r="U30" s="1452">
        <v>-20988</v>
      </c>
      <c r="V30" s="1638">
        <v>-11176</v>
      </c>
      <c r="W30" s="1638">
        <v>7589</v>
      </c>
      <c r="X30" s="1638">
        <v>-120499</v>
      </c>
      <c r="Y30" s="1277">
        <v>-17017</v>
      </c>
      <c r="Z30" s="1348"/>
    </row>
    <row r="31" spans="1:26" s="1772" customFormat="1" ht="12.75" customHeight="1" x14ac:dyDescent="0.2">
      <c r="A31" s="1953"/>
      <c r="B31" s="1707" t="s">
        <v>313</v>
      </c>
      <c r="C31" s="1372">
        <v>-101</v>
      </c>
      <c r="D31" s="1373">
        <v>-0.13237221494102228</v>
      </c>
      <c r="E31" s="1339"/>
      <c r="F31" s="1671">
        <v>662</v>
      </c>
      <c r="G31" s="1269">
        <v>754</v>
      </c>
      <c r="H31" s="1269">
        <v>742</v>
      </c>
      <c r="I31" s="1269">
        <v>750</v>
      </c>
      <c r="J31" s="1275">
        <v>763</v>
      </c>
      <c r="K31" s="1269">
        <v>731</v>
      </c>
      <c r="L31" s="1269">
        <v>738</v>
      </c>
      <c r="M31" s="1269">
        <v>737</v>
      </c>
      <c r="N31" s="1275">
        <v>751</v>
      </c>
      <c r="O31" s="1530"/>
      <c r="P31" s="1520">
        <v>2908</v>
      </c>
      <c r="Q31" s="1526">
        <v>2969</v>
      </c>
      <c r="R31" s="1269">
        <v>-61</v>
      </c>
      <c r="S31" s="1373">
        <v>-2.0545638262041092E-2</v>
      </c>
      <c r="T31" s="1931"/>
      <c r="U31" s="1918">
        <v>2908</v>
      </c>
      <c r="V31" s="1493">
        <v>2969</v>
      </c>
      <c r="W31" s="1493">
        <v>2946</v>
      </c>
      <c r="X31" s="1493">
        <v>2012</v>
      </c>
      <c r="Y31" s="1277">
        <v>-602</v>
      </c>
      <c r="Z31" s="1348"/>
    </row>
    <row r="32" spans="1:26" s="1772" customFormat="1" ht="18.75" customHeight="1" thickBot="1" x14ac:dyDescent="0.25">
      <c r="A32" s="2394" t="s">
        <v>69</v>
      </c>
      <c r="B32" s="2414"/>
      <c r="C32" s="1372">
        <v>-3899</v>
      </c>
      <c r="D32" s="1373">
        <v>0.35675725134962027</v>
      </c>
      <c r="E32" s="1339"/>
      <c r="F32" s="1685">
        <v>-14828</v>
      </c>
      <c r="G32" s="1294">
        <v>4244</v>
      </c>
      <c r="H32" s="1294">
        <v>-6480</v>
      </c>
      <c r="I32" s="1294">
        <v>-6832</v>
      </c>
      <c r="J32" s="1295">
        <v>-10929</v>
      </c>
      <c r="K32" s="1294">
        <v>135</v>
      </c>
      <c r="L32" s="1294">
        <v>2542</v>
      </c>
      <c r="M32" s="1294">
        <v>-5893</v>
      </c>
      <c r="N32" s="1295">
        <v>17105</v>
      </c>
      <c r="O32" s="1530"/>
      <c r="P32" s="1295">
        <v>-23896</v>
      </c>
      <c r="Q32" s="1294">
        <v>-14145</v>
      </c>
      <c r="R32" s="1294">
        <v>-9751</v>
      </c>
      <c r="S32" s="1381">
        <v>-0.68936019794980563</v>
      </c>
      <c r="T32" s="1468"/>
      <c r="U32" s="1295">
        <v>-23896</v>
      </c>
      <c r="V32" s="1300">
        <v>-14145</v>
      </c>
      <c r="W32" s="1300">
        <v>4643</v>
      </c>
      <c r="X32" s="1300">
        <v>-122511</v>
      </c>
      <c r="Y32" s="1300">
        <v>-16415</v>
      </c>
      <c r="Z32" s="1348"/>
    </row>
    <row r="33" spans="1:26" ht="12.75" customHeight="1" thickTop="1" x14ac:dyDescent="0.2">
      <c r="A33" s="1377"/>
      <c r="B33" s="1377"/>
      <c r="C33" s="1382"/>
      <c r="D33" s="1383"/>
      <c r="E33" s="1352"/>
      <c r="F33" s="1655"/>
      <c r="G33" s="1461"/>
      <c r="H33" s="1461"/>
      <c r="I33" s="1461"/>
      <c r="J33" s="1461"/>
      <c r="K33" s="1461"/>
      <c r="L33" s="1461"/>
      <c r="M33" s="1461"/>
      <c r="N33" s="1461"/>
      <c r="O33" s="1365"/>
      <c r="P33" s="1365"/>
      <c r="Q33" s="1365"/>
      <c r="R33" s="1421"/>
      <c r="S33" s="1383"/>
      <c r="T33" s="1365"/>
      <c r="U33" s="1365"/>
      <c r="V33" s="1365"/>
      <c r="W33" s="1365"/>
      <c r="X33" s="1365"/>
      <c r="Y33" s="1388"/>
      <c r="Z33" s="1329"/>
    </row>
    <row r="34" spans="1:26" ht="12.75" customHeight="1" x14ac:dyDescent="0.2">
      <c r="A34" s="1386" t="s">
        <v>71</v>
      </c>
      <c r="B34" s="1386"/>
      <c r="C34" s="1384">
        <v>9.1593995865731799</v>
      </c>
      <c r="D34" s="1383"/>
      <c r="E34" s="1352"/>
      <c r="F34" s="1353">
        <v>0.68485184159512602</v>
      </c>
      <c r="G34" s="1397">
        <v>0.59068029681905454</v>
      </c>
      <c r="H34" s="1397">
        <v>0.80222812755519213</v>
      </c>
      <c r="I34" s="1397">
        <v>0.67826166766096097</v>
      </c>
      <c r="J34" s="1397">
        <v>0.59325784572939422</v>
      </c>
      <c r="K34" s="1397">
        <v>0.59667308050400347</v>
      </c>
      <c r="L34" s="1397">
        <v>0.58478756237560936</v>
      </c>
      <c r="M34" s="1397">
        <v>0.74259459863284893</v>
      </c>
      <c r="N34" s="1397">
        <v>0.51588679852066244</v>
      </c>
      <c r="O34" s="1365"/>
      <c r="P34" s="1397">
        <v>0.67128110378806682</v>
      </c>
      <c r="Q34" s="1397">
        <v>0.62295069205499076</v>
      </c>
      <c r="R34" s="1384">
        <v>4.8330411733076062</v>
      </c>
      <c r="S34" s="1383"/>
      <c r="T34" s="1365"/>
      <c r="U34" s="1397">
        <v>0.67128110378806682</v>
      </c>
      <c r="V34" s="1397">
        <v>0.62295069205499076</v>
      </c>
      <c r="W34" s="1397">
        <v>0.61669345830041145</v>
      </c>
      <c r="X34" s="1397">
        <v>0.64351310851125254</v>
      </c>
      <c r="Y34" s="1462">
        <v>0.64265560272408973</v>
      </c>
      <c r="Z34" s="1329"/>
    </row>
    <row r="35" spans="1:26" ht="12.75" customHeight="1" x14ac:dyDescent="0.2">
      <c r="A35" s="1129" t="s">
        <v>627</v>
      </c>
      <c r="B35" s="1386"/>
      <c r="C35" s="1384">
        <v>9.6824585591872019</v>
      </c>
      <c r="D35" s="1383"/>
      <c r="E35" s="1352"/>
      <c r="F35" s="1353">
        <v>0.73089171974522293</v>
      </c>
      <c r="G35" s="1397">
        <v>0.62469513777178143</v>
      </c>
      <c r="H35" s="1397">
        <v>0.86140637775960749</v>
      </c>
      <c r="I35" s="1397">
        <v>0.74484879078518651</v>
      </c>
      <c r="J35" s="1397">
        <v>0.63406713415335092</v>
      </c>
      <c r="K35" s="1397">
        <v>0.63919061510769037</v>
      </c>
      <c r="L35" s="1397">
        <v>0.62568865557125963</v>
      </c>
      <c r="M35" s="1397">
        <v>0.79728063949796424</v>
      </c>
      <c r="N35" s="1397">
        <v>0.53870397169963014</v>
      </c>
      <c r="O35" s="1365"/>
      <c r="P35" s="1397">
        <v>0.7195396593405583</v>
      </c>
      <c r="Q35" s="1397">
        <v>0.66710520170016663</v>
      </c>
      <c r="R35" s="1384">
        <v>5.2434457640391674</v>
      </c>
      <c r="S35" s="1383"/>
      <c r="T35" s="1365"/>
      <c r="U35" s="1397">
        <v>0.7195396593405583</v>
      </c>
      <c r="V35" s="1397">
        <v>0.66710520170016663</v>
      </c>
      <c r="W35" s="1397">
        <v>0.65429256464049257</v>
      </c>
      <c r="X35" s="1397">
        <v>0.69316322742957703</v>
      </c>
      <c r="Y35" s="1462">
        <v>0.68778135460619971</v>
      </c>
      <c r="Z35" s="1329"/>
    </row>
    <row r="36" spans="1:26" ht="12.75" customHeight="1" x14ac:dyDescent="0.2">
      <c r="A36" s="1386" t="s">
        <v>72</v>
      </c>
      <c r="B36" s="1386"/>
      <c r="C36" s="1384">
        <v>10.139202298834693</v>
      </c>
      <c r="D36" s="1383"/>
      <c r="E36" s="1352"/>
      <c r="F36" s="1353">
        <v>0.75948490722791473</v>
      </c>
      <c r="G36" s="1397">
        <v>0.24562814591873799</v>
      </c>
      <c r="H36" s="1397">
        <v>0.43182747342600164</v>
      </c>
      <c r="I36" s="1397">
        <v>0.5342572621724565</v>
      </c>
      <c r="J36" s="1397">
        <v>0.6580928842395678</v>
      </c>
      <c r="K36" s="1397">
        <v>0.33393333747129289</v>
      </c>
      <c r="L36" s="1397">
        <v>0.2797023277279414</v>
      </c>
      <c r="M36" s="1397">
        <v>0.39531582682753724</v>
      </c>
      <c r="N36" s="1397">
        <v>0.1741759125261296</v>
      </c>
      <c r="O36" s="1365"/>
      <c r="P36" s="1397">
        <v>0.47338425759957348</v>
      </c>
      <c r="Q36" s="1397">
        <v>0.41989599713525044</v>
      </c>
      <c r="R36" s="1384">
        <v>5.3488260464323032</v>
      </c>
      <c r="S36" s="1383"/>
      <c r="T36" s="1365"/>
      <c r="U36" s="1397">
        <v>0.47338425759957348</v>
      </c>
      <c r="V36" s="1397">
        <v>0.41989599713525044</v>
      </c>
      <c r="W36" s="1397">
        <v>0.29401547557420377</v>
      </c>
      <c r="X36" s="1397">
        <v>1.1351338346691595</v>
      </c>
      <c r="Y36" s="1462">
        <v>0.42134255043541829</v>
      </c>
      <c r="Z36" s="1329"/>
    </row>
    <row r="37" spans="1:26" ht="12.75" customHeight="1" x14ac:dyDescent="0.2">
      <c r="A37" s="1386" t="s">
        <v>73</v>
      </c>
      <c r="B37" s="1386"/>
      <c r="C37" s="1384">
        <v>19.821660858021882</v>
      </c>
      <c r="D37" s="1383"/>
      <c r="E37" s="1352"/>
      <c r="F37" s="1353">
        <v>1.4903766269731376</v>
      </c>
      <c r="G37" s="1397">
        <v>0.87032328369051948</v>
      </c>
      <c r="H37" s="1397">
        <v>1.2932338511856092</v>
      </c>
      <c r="I37" s="1397">
        <v>1.279106052957643</v>
      </c>
      <c r="J37" s="1397">
        <v>1.2921600183929187</v>
      </c>
      <c r="K37" s="1397">
        <v>0.97312395257898332</v>
      </c>
      <c r="L37" s="1397">
        <v>0.90539098329920098</v>
      </c>
      <c r="M37" s="1397">
        <v>1.1925964663255015</v>
      </c>
      <c r="N37" s="1397">
        <v>0.71287988422575976</v>
      </c>
      <c r="O37" s="1365"/>
      <c r="P37" s="1397">
        <v>1.1929239169401318</v>
      </c>
      <c r="Q37" s="1397">
        <v>1.0870011988354171</v>
      </c>
      <c r="R37" s="1384">
        <v>10.592271810471466</v>
      </c>
      <c r="S37" s="1383"/>
      <c r="T37" s="1365"/>
      <c r="U37" s="1397">
        <v>1.1929239169401318</v>
      </c>
      <c r="V37" s="1397">
        <v>1.0870011988354171</v>
      </c>
      <c r="W37" s="1397">
        <v>0.94830804021469639</v>
      </c>
      <c r="X37" s="1397">
        <v>1.8282970620987367</v>
      </c>
      <c r="Y37" s="1462">
        <v>1.109123905041618</v>
      </c>
      <c r="Z37" s="1329"/>
    </row>
    <row r="38" spans="1:26" ht="12.75" customHeight="1" x14ac:dyDescent="0.2">
      <c r="A38" s="1385" t="s">
        <v>167</v>
      </c>
      <c r="B38" s="1386"/>
      <c r="C38" s="1384">
        <v>-19.82166085802189</v>
      </c>
      <c r="D38" s="1383"/>
      <c r="E38" s="1352"/>
      <c r="F38" s="1353">
        <v>-0.49037662697313761</v>
      </c>
      <c r="G38" s="1397">
        <v>0.12967671630948058</v>
      </c>
      <c r="H38" s="1397">
        <v>-0.29323385118560918</v>
      </c>
      <c r="I38" s="1397">
        <v>-0.27910605295764307</v>
      </c>
      <c r="J38" s="1397">
        <v>-0.29216001839291872</v>
      </c>
      <c r="K38" s="1397">
        <v>2.6876047421016697E-2</v>
      </c>
      <c r="L38" s="1397">
        <v>9.4609016700798979E-2</v>
      </c>
      <c r="M38" s="1397">
        <v>-0.19259646632550148</v>
      </c>
      <c r="N38" s="1397">
        <v>0.28712011577424024</v>
      </c>
      <c r="O38" s="1464"/>
      <c r="P38" s="1397">
        <v>-0.19292391694013181</v>
      </c>
      <c r="Q38" s="1397">
        <v>-8.7001198835417029E-2</v>
      </c>
      <c r="R38" s="1384">
        <v>-10.592271810471479</v>
      </c>
      <c r="S38" s="1383"/>
      <c r="T38" s="1464"/>
      <c r="U38" s="1397">
        <v>-0.19292391694013181</v>
      </c>
      <c r="V38" s="1397">
        <v>-8.7001198835417029E-2</v>
      </c>
      <c r="W38" s="1397">
        <v>5.1691959785303651E-2</v>
      </c>
      <c r="X38" s="1397">
        <v>-0.82829706209873655</v>
      </c>
      <c r="Y38" s="1462">
        <v>-0.10912390504161804</v>
      </c>
      <c r="Z38" s="1329"/>
    </row>
    <row r="39" spans="1:26" ht="12.75" customHeight="1" x14ac:dyDescent="0.2">
      <c r="A39" s="1385" t="s">
        <v>74</v>
      </c>
      <c r="B39" s="1386"/>
      <c r="C39" s="1384">
        <v>31.408782618691806</v>
      </c>
      <c r="D39" s="1383"/>
      <c r="E39" s="1352"/>
      <c r="F39" s="1353"/>
      <c r="G39" s="1397">
        <v>0.11011364226039126</v>
      </c>
      <c r="H39" s="1397">
        <v>-0.3311529026982829</v>
      </c>
      <c r="I39" s="1397">
        <v>-0.3135239318984902</v>
      </c>
      <c r="J39" s="1397">
        <v>-0.31408782618691805</v>
      </c>
      <c r="K39" s="1397">
        <v>4.1896840667866673E-3</v>
      </c>
      <c r="L39" s="1397">
        <v>7.3321987943119213E-2</v>
      </c>
      <c r="M39" s="1397">
        <v>-0.22012625602330879</v>
      </c>
      <c r="N39" s="1397">
        <v>0.27504421932786621</v>
      </c>
      <c r="O39" s="1365"/>
      <c r="P39" s="1397">
        <v>-0.21965456066330236</v>
      </c>
      <c r="Q39" s="1397">
        <v>-0.11011381151816158</v>
      </c>
      <c r="R39" s="1384">
        <v>-10.954074914514077</v>
      </c>
      <c r="S39" s="1383"/>
      <c r="T39" s="1365"/>
      <c r="U39" s="1397">
        <v>-0.21965456066330236</v>
      </c>
      <c r="V39" s="1397">
        <v>-0.11011381151816158</v>
      </c>
      <c r="W39" s="1397">
        <v>3.1625480205977712E-2</v>
      </c>
      <c r="X39" s="1397">
        <v>-0.84212733196772016</v>
      </c>
      <c r="Y39" s="1397">
        <v>-0.1052634954021367</v>
      </c>
      <c r="Z39" s="1329"/>
    </row>
    <row r="40" spans="1:26" x14ac:dyDescent="0.2">
      <c r="Q40" s="2138"/>
      <c r="R40" s="2142"/>
      <c r="S40" s="2142"/>
    </row>
    <row r="41" spans="1:26" ht="12.75" customHeight="1" x14ac:dyDescent="0.2">
      <c r="A41" s="1386" t="s">
        <v>84</v>
      </c>
      <c r="B41" s="1386"/>
      <c r="C41" s="1130">
        <v>-17</v>
      </c>
      <c r="D41" s="1383">
        <v>-7.9439252336448593E-2</v>
      </c>
      <c r="E41" s="1352"/>
      <c r="F41" s="1086">
        <v>197</v>
      </c>
      <c r="G41" s="1130">
        <v>192</v>
      </c>
      <c r="H41" s="1130">
        <v>192</v>
      </c>
      <c r="I41" s="1130">
        <v>197</v>
      </c>
      <c r="J41" s="1130">
        <v>214</v>
      </c>
      <c r="K41" s="1130">
        <v>214</v>
      </c>
      <c r="L41" s="1130">
        <v>217</v>
      </c>
      <c r="M41" s="1130">
        <v>222</v>
      </c>
      <c r="N41" s="1130">
        <v>225</v>
      </c>
      <c r="O41" s="1186"/>
      <c r="P41" s="1186">
        <v>197</v>
      </c>
      <c r="Q41" s="1186">
        <v>214</v>
      </c>
      <c r="R41" s="1421">
        <v>-17</v>
      </c>
      <c r="S41" s="1383">
        <v>-7.9439252336448593E-2</v>
      </c>
      <c r="T41" s="1365"/>
      <c r="U41" s="1186">
        <v>197</v>
      </c>
      <c r="V41" s="1130">
        <v>214</v>
      </c>
      <c r="W41" s="1130">
        <v>225</v>
      </c>
      <c r="X41" s="1130">
        <v>282</v>
      </c>
      <c r="Y41" s="1186">
        <v>329</v>
      </c>
      <c r="Z41" s="1331"/>
    </row>
    <row r="42" spans="1:26" ht="12.75" customHeight="1" x14ac:dyDescent="0.2">
      <c r="A42" s="1386"/>
      <c r="B42" s="1386"/>
      <c r="C42" s="1384"/>
      <c r="D42" s="1383"/>
      <c r="E42" s="1352"/>
      <c r="F42" s="1352"/>
      <c r="G42" s="1383"/>
      <c r="H42" s="1383"/>
      <c r="I42" s="1383"/>
      <c r="J42" s="1383"/>
      <c r="K42" s="1383"/>
      <c r="L42" s="1383"/>
      <c r="M42" s="1383"/>
      <c r="N42" s="1383"/>
      <c r="O42" s="1186"/>
      <c r="P42" s="1186"/>
      <c r="Q42" s="1186"/>
      <c r="R42" s="1421"/>
      <c r="S42" s="1383"/>
      <c r="T42" s="1365"/>
      <c r="U42" s="1186"/>
      <c r="V42" s="1186"/>
      <c r="W42" s="1186"/>
      <c r="X42" s="1186"/>
      <c r="Y42" s="1186"/>
      <c r="Z42" s="1329"/>
    </row>
    <row r="43" spans="1:26" ht="18" customHeight="1" x14ac:dyDescent="0.2">
      <c r="A43" s="1907" t="s">
        <v>622</v>
      </c>
      <c r="B43" s="1365"/>
      <c r="C43" s="1377"/>
      <c r="D43" s="1377"/>
      <c r="E43" s="1332"/>
      <c r="F43" s="1332"/>
      <c r="G43" s="1365"/>
      <c r="H43" s="1365"/>
      <c r="I43" s="1365"/>
      <c r="J43" s="1365"/>
      <c r="K43" s="1365"/>
      <c r="L43" s="1365"/>
      <c r="M43" s="1365"/>
      <c r="N43" s="1365"/>
      <c r="O43" s="1365"/>
      <c r="P43" s="1377"/>
      <c r="Q43" s="1377"/>
      <c r="R43" s="1704"/>
      <c r="S43" s="1704"/>
      <c r="T43" s="1377"/>
      <c r="U43" s="1377"/>
      <c r="V43" s="1377"/>
      <c r="W43" s="1377"/>
      <c r="X43" s="1377"/>
      <c r="Y43" s="1390"/>
      <c r="Z43" s="1329"/>
    </row>
    <row r="44" spans="1:26" ht="12.75" customHeight="1" x14ac:dyDescent="0.2">
      <c r="A44" s="1908"/>
      <c r="B44" s="1365"/>
      <c r="C44" s="1377"/>
      <c r="D44" s="1377"/>
      <c r="E44" s="1332"/>
      <c r="F44" s="1656"/>
      <c r="G44" s="1544"/>
      <c r="H44" s="1544"/>
      <c r="I44" s="1544"/>
      <c r="J44" s="1544"/>
      <c r="K44" s="1544"/>
      <c r="L44" s="1544"/>
      <c r="M44" s="1544"/>
      <c r="N44" s="1544"/>
      <c r="O44" s="1365"/>
      <c r="P44" s="1377"/>
      <c r="Q44" s="1377"/>
      <c r="R44" s="1704"/>
      <c r="S44" s="1704"/>
      <c r="T44" s="1377"/>
      <c r="U44" s="1377"/>
      <c r="V44" s="1377"/>
      <c r="W44" s="1377"/>
      <c r="X44" s="1377"/>
      <c r="Y44" s="1390"/>
      <c r="Z44" s="1329"/>
    </row>
    <row r="45" spans="1:26" ht="12.75" customHeight="1" x14ac:dyDescent="0.2">
      <c r="A45" s="1364"/>
      <c r="B45" s="1365"/>
      <c r="C45" s="2420" t="s">
        <v>667</v>
      </c>
      <c r="D45" s="2421"/>
      <c r="E45" s="1333"/>
      <c r="F45" s="1909"/>
      <c r="G45" s="1365"/>
      <c r="H45" s="1365"/>
      <c r="I45" s="1365"/>
      <c r="J45" s="1928"/>
      <c r="K45" s="1365"/>
      <c r="L45" s="1365"/>
      <c r="M45" s="1365"/>
      <c r="N45" s="1928"/>
      <c r="O45" s="1448"/>
      <c r="P45" s="981" t="s">
        <v>668</v>
      </c>
      <c r="Q45" s="981"/>
      <c r="R45" s="981" t="s">
        <v>551</v>
      </c>
      <c r="S45" s="982"/>
      <c r="T45" s="1405"/>
      <c r="U45" s="1406"/>
      <c r="V45" s="1406"/>
      <c r="W45" s="1406"/>
      <c r="X45" s="1406"/>
      <c r="Y45" s="1406"/>
      <c r="Z45" s="1674"/>
    </row>
    <row r="46" spans="1:26" ht="12.75" customHeight="1" x14ac:dyDescent="0.2">
      <c r="A46" s="1364" t="s">
        <v>482</v>
      </c>
      <c r="B46" s="1365"/>
      <c r="C46" s="2424" t="s">
        <v>35</v>
      </c>
      <c r="D46" s="2425"/>
      <c r="E46" s="1350"/>
      <c r="F46" s="1652" t="s">
        <v>546</v>
      </c>
      <c r="G46" s="985" t="s">
        <v>547</v>
      </c>
      <c r="H46" s="985" t="s">
        <v>548</v>
      </c>
      <c r="I46" s="985" t="s">
        <v>549</v>
      </c>
      <c r="J46" s="987" t="s">
        <v>497</v>
      </c>
      <c r="K46" s="985" t="s">
        <v>496</v>
      </c>
      <c r="L46" s="985" t="s">
        <v>495</v>
      </c>
      <c r="M46" s="985" t="s">
        <v>494</v>
      </c>
      <c r="N46" s="987" t="s">
        <v>363</v>
      </c>
      <c r="O46" s="1404"/>
      <c r="P46" s="983" t="s">
        <v>546</v>
      </c>
      <c r="Q46" s="983" t="s">
        <v>497</v>
      </c>
      <c r="R46" s="2310" t="s">
        <v>35</v>
      </c>
      <c r="S46" s="2311"/>
      <c r="T46" s="1468"/>
      <c r="U46" s="987" t="s">
        <v>550</v>
      </c>
      <c r="V46" s="987" t="s">
        <v>498</v>
      </c>
      <c r="W46" s="987" t="s">
        <v>490</v>
      </c>
      <c r="X46" s="987" t="s">
        <v>360</v>
      </c>
      <c r="Y46" s="987" t="s">
        <v>342</v>
      </c>
      <c r="Z46" s="1674"/>
    </row>
    <row r="47" spans="1:26" ht="12.75" customHeight="1" x14ac:dyDescent="0.2">
      <c r="A47" s="1392"/>
      <c r="B47" s="1388" t="s">
        <v>4</v>
      </c>
      <c r="C47" s="1562">
        <v>-5908</v>
      </c>
      <c r="D47" s="1450">
        <v>-0.16978963099206806</v>
      </c>
      <c r="E47" s="2233"/>
      <c r="F47" s="1781">
        <v>28888</v>
      </c>
      <c r="G47" s="1186">
        <v>38542</v>
      </c>
      <c r="H47" s="1186">
        <v>19568</v>
      </c>
      <c r="I47" s="1186">
        <v>21791</v>
      </c>
      <c r="J47" s="1123">
        <v>34796</v>
      </c>
      <c r="K47" s="1186">
        <v>32222</v>
      </c>
      <c r="L47" s="1186">
        <v>34669</v>
      </c>
      <c r="M47" s="1186">
        <v>26771</v>
      </c>
      <c r="N47" s="1123">
        <v>62190</v>
      </c>
      <c r="O47" s="2235"/>
      <c r="P47" s="1472">
        <v>108789</v>
      </c>
      <c r="Q47" s="1526">
        <v>128458</v>
      </c>
      <c r="R47" s="1449">
        <v>-19669</v>
      </c>
      <c r="S47" s="1450">
        <v>-0.15311619361970449</v>
      </c>
      <c r="T47" s="1390"/>
      <c r="U47" s="1644">
        <v>108789</v>
      </c>
      <c r="V47" s="1476">
        <v>128458</v>
      </c>
      <c r="W47" s="1476">
        <v>146812</v>
      </c>
      <c r="X47" s="1476">
        <v>145478</v>
      </c>
      <c r="Y47" s="1493">
        <v>155942</v>
      </c>
      <c r="Z47" s="1679"/>
    </row>
    <row r="48" spans="1:26" s="1626" customFormat="1" ht="12.75" customHeight="1" x14ac:dyDescent="0.2">
      <c r="A48" s="1390"/>
      <c r="B48" s="1388" t="s">
        <v>77</v>
      </c>
      <c r="C48" s="1371">
        <v>-792</v>
      </c>
      <c r="D48" s="1374">
        <v>-2.4679047737753958E-2</v>
      </c>
      <c r="E48" s="2236"/>
      <c r="F48" s="1781">
        <v>31300</v>
      </c>
      <c r="G48" s="1469">
        <v>33544</v>
      </c>
      <c r="H48" s="1186">
        <v>25306</v>
      </c>
      <c r="I48" s="1186">
        <v>26557</v>
      </c>
      <c r="J48" s="1123">
        <v>32092</v>
      </c>
      <c r="K48" s="1186">
        <v>31356</v>
      </c>
      <c r="L48" s="1186">
        <v>31389</v>
      </c>
      <c r="M48" s="1186">
        <v>31479</v>
      </c>
      <c r="N48" s="1123">
        <v>44334</v>
      </c>
      <c r="O48" s="2235"/>
      <c r="P48" s="1477">
        <v>116707</v>
      </c>
      <c r="Q48" s="1471">
        <v>126316</v>
      </c>
      <c r="R48" s="1479">
        <v>-9609</v>
      </c>
      <c r="S48" s="1480">
        <v>-7.6071123214794645E-2</v>
      </c>
      <c r="T48" s="1390"/>
      <c r="U48" s="1476">
        <v>116707</v>
      </c>
      <c r="V48" s="1476">
        <v>126316</v>
      </c>
      <c r="W48" s="1476">
        <v>139223</v>
      </c>
      <c r="X48" s="1476">
        <v>155775</v>
      </c>
      <c r="Y48" s="1493">
        <v>163816</v>
      </c>
      <c r="Z48" s="1680"/>
    </row>
    <row r="49" spans="1:26" s="1626" customFormat="1" ht="12.75" customHeight="1" x14ac:dyDescent="0.2">
      <c r="A49" s="1390"/>
      <c r="B49" s="1379" t="s">
        <v>313</v>
      </c>
      <c r="C49" s="1371">
        <v>-101</v>
      </c>
      <c r="D49" s="1374">
        <v>-0.13237221494102228</v>
      </c>
      <c r="E49" s="2236"/>
      <c r="F49" s="1781">
        <v>662</v>
      </c>
      <c r="G49" s="1186">
        <v>754</v>
      </c>
      <c r="H49" s="1186">
        <v>742</v>
      </c>
      <c r="I49" s="1186">
        <v>750</v>
      </c>
      <c r="J49" s="1123">
        <v>763</v>
      </c>
      <c r="K49" s="1186">
        <v>731</v>
      </c>
      <c r="L49" s="1186">
        <v>738</v>
      </c>
      <c r="M49" s="1186">
        <v>737</v>
      </c>
      <c r="N49" s="1123">
        <v>751</v>
      </c>
      <c r="O49" s="2235"/>
      <c r="P49" s="1477">
        <v>2908</v>
      </c>
      <c r="Q49" s="1471">
        <v>2969</v>
      </c>
      <c r="R49" s="1479">
        <v>-61</v>
      </c>
      <c r="S49" s="1480">
        <v>-2.0545638262041092E-2</v>
      </c>
      <c r="T49" s="1390"/>
      <c r="U49" s="1476">
        <v>2908</v>
      </c>
      <c r="V49" s="1169">
        <v>2969</v>
      </c>
      <c r="W49" s="1169">
        <v>2946</v>
      </c>
      <c r="X49" s="1169">
        <v>2012</v>
      </c>
      <c r="Y49" s="1182">
        <v>-602</v>
      </c>
      <c r="Z49" s="1680"/>
    </row>
    <row r="50" spans="1:26" s="1626" customFormat="1" ht="24.75" customHeight="1" x14ac:dyDescent="0.2">
      <c r="A50" s="1390"/>
      <c r="B50" s="1707" t="s">
        <v>69</v>
      </c>
      <c r="C50" s="1375">
        <v>-5015</v>
      </c>
      <c r="D50" s="1376">
        <v>-2.5837197320968572</v>
      </c>
      <c r="E50" s="2236"/>
      <c r="F50" s="1695">
        <v>-3074</v>
      </c>
      <c r="G50" s="1212">
        <v>4244</v>
      </c>
      <c r="H50" s="1212">
        <v>-6480</v>
      </c>
      <c r="I50" s="1212">
        <v>-5516</v>
      </c>
      <c r="J50" s="1214">
        <v>1941</v>
      </c>
      <c r="K50" s="1212">
        <v>135</v>
      </c>
      <c r="L50" s="1212">
        <v>2542</v>
      </c>
      <c r="M50" s="1212">
        <v>-5445</v>
      </c>
      <c r="N50" s="1214">
        <v>17105</v>
      </c>
      <c r="O50" s="1323"/>
      <c r="P50" s="1214">
        <v>-10826</v>
      </c>
      <c r="Q50" s="1212">
        <v>-827</v>
      </c>
      <c r="R50" s="2283">
        <v>-9999</v>
      </c>
      <c r="S50" s="1395" t="s">
        <v>38</v>
      </c>
      <c r="T50" s="1390"/>
      <c r="U50" s="1325">
        <v>-10826</v>
      </c>
      <c r="V50" s="1190">
        <v>-827</v>
      </c>
      <c r="W50" s="1190">
        <v>4643</v>
      </c>
      <c r="X50" s="1190">
        <v>-12309</v>
      </c>
      <c r="Y50" s="1190">
        <v>-7272</v>
      </c>
      <c r="Z50" s="1681"/>
    </row>
    <row r="51" spans="1:26" s="1626" customFormat="1" ht="12.75" customHeight="1" x14ac:dyDescent="0.2">
      <c r="A51" s="1390"/>
      <c r="B51" s="1388"/>
      <c r="C51" s="1396"/>
      <c r="D51" s="1397"/>
      <c r="E51" s="1353"/>
      <c r="F51" s="1332"/>
      <c r="G51" s="1365"/>
      <c r="H51" s="1365"/>
      <c r="I51" s="1365"/>
      <c r="J51" s="1365"/>
      <c r="K51" s="1365"/>
      <c r="L51" s="1365"/>
      <c r="M51" s="1365"/>
      <c r="N51" s="1365"/>
      <c r="O51" s="1388"/>
      <c r="P51" s="1397"/>
      <c r="Q51" s="1397"/>
      <c r="R51" s="1487"/>
      <c r="S51" s="1488"/>
      <c r="T51" s="1388"/>
      <c r="U51" s="1365"/>
      <c r="V51" s="1365"/>
      <c r="W51" s="1365"/>
      <c r="X51" s="1365"/>
      <c r="Y51" s="1365"/>
      <c r="Z51" s="1681"/>
    </row>
    <row r="52" spans="1:26" s="1626" customFormat="1" ht="12.75" customHeight="1" x14ac:dyDescent="0.2">
      <c r="A52" s="1390"/>
      <c r="B52" s="1129" t="s">
        <v>627</v>
      </c>
      <c r="C52" s="1384">
        <v>9.6824585591872019</v>
      </c>
      <c r="D52" s="1397"/>
      <c r="E52" s="1353"/>
      <c r="F52" s="1353">
        <v>0.73089171974522293</v>
      </c>
      <c r="G52" s="1397">
        <v>0.62469513777178143</v>
      </c>
      <c r="H52" s="1397">
        <v>0.86140637775960749</v>
      </c>
      <c r="I52" s="1397">
        <v>0.74484879078518651</v>
      </c>
      <c r="J52" s="1397">
        <v>0.63406713415335092</v>
      </c>
      <c r="K52" s="1397">
        <v>0.63919061510769037</v>
      </c>
      <c r="L52" s="1397">
        <v>0.62568865557125963</v>
      </c>
      <c r="M52" s="1397">
        <v>0.79728063949796424</v>
      </c>
      <c r="N52" s="1397">
        <v>0.53870397169963014</v>
      </c>
      <c r="O52" s="1388"/>
      <c r="P52" s="1397">
        <v>0.7195396593405583</v>
      </c>
      <c r="Q52" s="1397">
        <v>0.66710520170016663</v>
      </c>
      <c r="R52" s="1384">
        <v>5.2434457640391674</v>
      </c>
      <c r="S52" s="1488"/>
      <c r="T52" s="1388"/>
      <c r="U52" s="1397">
        <v>0.7195396593405583</v>
      </c>
      <c r="V52" s="1397">
        <v>0.66710520170016663</v>
      </c>
      <c r="W52" s="1397">
        <v>0.65429256464049257</v>
      </c>
      <c r="X52" s="1397">
        <v>0.69316322742957703</v>
      </c>
      <c r="Y52" s="1397">
        <v>0.68778135460619971</v>
      </c>
      <c r="Z52" s="1681"/>
    </row>
    <row r="53" spans="1:26" ht="12.75" customHeight="1" x14ac:dyDescent="0.2">
      <c r="A53" s="1390"/>
      <c r="B53" s="1385" t="s">
        <v>72</v>
      </c>
      <c r="C53" s="1384">
        <v>6.438037279214381</v>
      </c>
      <c r="D53" s="1397"/>
      <c r="E53" s="1353"/>
      <c r="F53" s="1353">
        <v>0.352603157020216</v>
      </c>
      <c r="G53" s="1397">
        <v>0.24562814591873799</v>
      </c>
      <c r="H53" s="1397">
        <v>0.43182747342600164</v>
      </c>
      <c r="I53" s="1397">
        <v>0.47386535725758339</v>
      </c>
      <c r="J53" s="1397">
        <v>0.28822278422807218</v>
      </c>
      <c r="K53" s="1397">
        <v>0.33393333747129289</v>
      </c>
      <c r="L53" s="1397">
        <v>0.2797023277279414</v>
      </c>
      <c r="M53" s="1397">
        <v>0.37858130066116319</v>
      </c>
      <c r="N53" s="1397">
        <v>0.1741759125261296</v>
      </c>
      <c r="O53" s="1388"/>
      <c r="P53" s="1397">
        <v>0.35324343453841839</v>
      </c>
      <c r="Q53" s="1397">
        <v>0.31622008749941616</v>
      </c>
      <c r="R53" s="1384">
        <v>3.702334703900223</v>
      </c>
      <c r="S53" s="1488"/>
      <c r="T53" s="1388"/>
      <c r="U53" s="1397">
        <v>0.35324343453841839</v>
      </c>
      <c r="V53" s="1397">
        <v>0.31622008749941616</v>
      </c>
      <c r="W53" s="1397">
        <v>0.29401547557420377</v>
      </c>
      <c r="X53" s="1397">
        <v>0.37761723422098187</v>
      </c>
      <c r="Y53" s="1463">
        <v>0.3627117774557207</v>
      </c>
      <c r="Z53" s="1331"/>
    </row>
    <row r="54" spans="1:26" ht="12.75" customHeight="1" x14ac:dyDescent="0.2">
      <c r="A54" s="1390"/>
      <c r="B54" s="1385" t="s">
        <v>73</v>
      </c>
      <c r="C54" s="1384">
        <v>16.12049583840157</v>
      </c>
      <c r="D54" s="1397"/>
      <c r="E54" s="1353"/>
      <c r="F54" s="1353">
        <v>1.0834948767654389</v>
      </c>
      <c r="G54" s="1397">
        <v>0.87032328369051948</v>
      </c>
      <c r="H54" s="1397">
        <v>1.2932338511856092</v>
      </c>
      <c r="I54" s="1397">
        <v>1.2187141480427699</v>
      </c>
      <c r="J54" s="1397">
        <v>0.92228991838142316</v>
      </c>
      <c r="K54" s="1397">
        <v>0.97312395257898332</v>
      </c>
      <c r="L54" s="1397">
        <v>0.90539098329920098</v>
      </c>
      <c r="M54" s="1397">
        <v>1.1758619401591275</v>
      </c>
      <c r="N54" s="1397">
        <v>0.71287988422575976</v>
      </c>
      <c r="O54" s="1388"/>
      <c r="P54" s="1397">
        <v>1.0727830938789766</v>
      </c>
      <c r="Q54" s="1397">
        <v>0.98332528919958273</v>
      </c>
      <c r="R54" s="1384">
        <v>8.9457804679393895</v>
      </c>
      <c r="S54" s="1488"/>
      <c r="T54" s="1388"/>
      <c r="U54" s="1397">
        <v>1.0727830938789766</v>
      </c>
      <c r="V54" s="1397">
        <v>0.98332528919958273</v>
      </c>
      <c r="W54" s="1397">
        <v>0.94830804021469639</v>
      </c>
      <c r="X54" s="1397">
        <v>1.070780461650559</v>
      </c>
      <c r="Y54" s="1463">
        <v>1.0504931320619204</v>
      </c>
      <c r="Z54" s="1329"/>
    </row>
    <row r="55" spans="1:26" ht="12.75" customHeight="1" x14ac:dyDescent="0.2">
      <c r="A55" s="1390"/>
      <c r="B55" s="1385" t="s">
        <v>74</v>
      </c>
      <c r="C55" s="1384">
        <v>-16.219324031585419</v>
      </c>
      <c r="D55" s="1397"/>
      <c r="E55" s="1353"/>
      <c r="F55" s="1353">
        <v>-0.10641096649127665</v>
      </c>
      <c r="G55" s="1397">
        <v>0.11011364226039126</v>
      </c>
      <c r="H55" s="1397">
        <v>-0.3311529026982829</v>
      </c>
      <c r="I55" s="1397">
        <v>-0.25313202698361709</v>
      </c>
      <c r="J55" s="1397">
        <v>5.5782273824577538E-2</v>
      </c>
      <c r="K55" s="1397">
        <v>4.1896840667866673E-3</v>
      </c>
      <c r="L55" s="1397">
        <v>7.3321987943119213E-2</v>
      </c>
      <c r="M55" s="1397">
        <v>-0.20339172985693474</v>
      </c>
      <c r="N55" s="1397">
        <v>0.27504421932786621</v>
      </c>
      <c r="O55" s="1388"/>
      <c r="P55" s="1397">
        <v>-9.9513737602147281E-2</v>
      </c>
      <c r="Q55" s="1397">
        <v>-6.4379018823272974E-3</v>
      </c>
      <c r="R55" s="1384">
        <v>-9.307583571981997</v>
      </c>
      <c r="S55" s="1488"/>
      <c r="T55" s="1388"/>
      <c r="U55" s="1397">
        <v>-9.9513737602147281E-2</v>
      </c>
      <c r="V55" s="1397">
        <v>-6.4379018823272974E-3</v>
      </c>
      <c r="W55" s="1397">
        <v>3.1625480205977712E-2</v>
      </c>
      <c r="X55" s="1397">
        <v>-8.4610731519542473E-2</v>
      </c>
      <c r="Y55" s="1463">
        <v>-4.6632722422439113E-2</v>
      </c>
      <c r="Z55" s="1328"/>
    </row>
    <row r="56" spans="1:26" ht="12.75" customHeight="1" x14ac:dyDescent="0.2">
      <c r="A56" s="1390"/>
      <c r="B56" s="1385"/>
      <c r="C56" s="1398"/>
      <c r="D56" s="1397"/>
      <c r="E56" s="1353"/>
      <c r="F56" s="1353"/>
      <c r="G56" s="1397"/>
      <c r="H56" s="1397"/>
      <c r="I56" s="1397"/>
      <c r="J56" s="1397"/>
      <c r="K56" s="1397"/>
      <c r="L56" s="1397"/>
      <c r="M56" s="1397"/>
      <c r="N56" s="1397"/>
      <c r="O56" s="1388"/>
      <c r="P56" s="1397"/>
      <c r="Q56" s="1397"/>
      <c r="R56" s="1384"/>
      <c r="S56" s="1488"/>
      <c r="T56" s="1388"/>
      <c r="U56" s="1463"/>
      <c r="V56" s="1463"/>
      <c r="W56" s="1463"/>
      <c r="X56" s="1463"/>
      <c r="Y56" s="1463"/>
      <c r="Z56" s="1328"/>
    </row>
    <row r="57" spans="1:26" ht="12.75" customHeight="1" x14ac:dyDescent="0.2">
      <c r="A57" s="1399" t="s">
        <v>177</v>
      </c>
      <c r="B57" s="1385"/>
      <c r="C57" s="1388"/>
      <c r="D57" s="1388"/>
      <c r="E57" s="1338"/>
      <c r="F57" s="1338"/>
      <c r="G57" s="1388"/>
      <c r="H57" s="1388"/>
      <c r="I57" s="1388"/>
      <c r="J57" s="1388"/>
      <c r="K57" s="1365"/>
      <c r="L57" s="1388"/>
      <c r="M57" s="1388"/>
      <c r="N57" s="1388"/>
      <c r="O57" s="1388"/>
      <c r="P57" s="1388"/>
      <c r="Q57" s="1388"/>
      <c r="R57" s="1416"/>
      <c r="S57" s="1416"/>
      <c r="T57" s="1388"/>
      <c r="U57" s="1388"/>
      <c r="V57" s="1388"/>
      <c r="W57" s="1388"/>
      <c r="X57" s="1388"/>
      <c r="Y57" s="1388"/>
      <c r="Z57" s="1328"/>
    </row>
    <row r="58" spans="1:26" ht="12.75" customHeight="1" x14ac:dyDescent="0.2">
      <c r="C58" s="2420" t="s">
        <v>667</v>
      </c>
      <c r="D58" s="2421"/>
      <c r="E58" s="1337"/>
      <c r="F58" s="1511"/>
      <c r="G58" s="1516"/>
      <c r="H58" s="1516"/>
      <c r="I58" s="1517"/>
      <c r="J58" s="1516"/>
      <c r="K58" s="1927"/>
      <c r="L58" s="1516"/>
      <c r="M58" s="1516"/>
      <c r="N58" s="1467"/>
      <c r="O58" s="1415"/>
      <c r="P58" s="981" t="s">
        <v>668</v>
      </c>
      <c r="Q58" s="981"/>
      <c r="R58" s="981" t="s">
        <v>551</v>
      </c>
      <c r="S58" s="982"/>
      <c r="T58" s="1388"/>
      <c r="U58" s="1406"/>
      <c r="V58" s="1406"/>
      <c r="W58" s="1406"/>
      <c r="X58" s="1406"/>
      <c r="Y58" s="1406"/>
      <c r="Z58" s="1674"/>
    </row>
    <row r="59" spans="1:26" ht="12.75" customHeight="1" x14ac:dyDescent="0.2">
      <c r="C59" s="2422" t="s">
        <v>35</v>
      </c>
      <c r="D59" s="2423"/>
      <c r="E59" s="1337"/>
      <c r="F59" s="906" t="s">
        <v>546</v>
      </c>
      <c r="G59" s="985" t="s">
        <v>547</v>
      </c>
      <c r="H59" s="985" t="s">
        <v>548</v>
      </c>
      <c r="I59" s="986" t="s">
        <v>549</v>
      </c>
      <c r="J59" s="985" t="s">
        <v>497</v>
      </c>
      <c r="K59" s="985" t="s">
        <v>496</v>
      </c>
      <c r="L59" s="985" t="s">
        <v>495</v>
      </c>
      <c r="M59" s="985" t="s">
        <v>494</v>
      </c>
      <c r="N59" s="987" t="s">
        <v>363</v>
      </c>
      <c r="O59" s="1415"/>
      <c r="P59" s="985" t="s">
        <v>546</v>
      </c>
      <c r="Q59" s="985" t="s">
        <v>497</v>
      </c>
      <c r="R59" s="2304" t="s">
        <v>35</v>
      </c>
      <c r="S59" s="2305"/>
      <c r="T59" s="1388"/>
      <c r="U59" s="1566" t="s">
        <v>550</v>
      </c>
      <c r="V59" s="987" t="s">
        <v>498</v>
      </c>
      <c r="W59" s="987" t="s">
        <v>490</v>
      </c>
      <c r="X59" s="987" t="s">
        <v>360</v>
      </c>
      <c r="Y59" s="987" t="s">
        <v>342</v>
      </c>
      <c r="Z59" s="1674"/>
    </row>
    <row r="60" spans="1:26" ht="12.75" customHeight="1" x14ac:dyDescent="0.2">
      <c r="A60" s="1390"/>
      <c r="B60" s="945" t="s">
        <v>609</v>
      </c>
      <c r="C60" s="1562">
        <v>-2122</v>
      </c>
      <c r="D60" s="1450">
        <v>-0.23701552552217134</v>
      </c>
      <c r="E60" s="2233"/>
      <c r="F60" s="1671">
        <v>6831</v>
      </c>
      <c r="G60" s="1186">
        <v>6382</v>
      </c>
      <c r="H60" s="1186">
        <v>6808</v>
      </c>
      <c r="I60" s="1165">
        <v>8149</v>
      </c>
      <c r="J60" s="1186">
        <v>8953</v>
      </c>
      <c r="K60" s="1186">
        <v>6808</v>
      </c>
      <c r="L60" s="1186">
        <v>6854</v>
      </c>
      <c r="M60" s="1186">
        <v>8942</v>
      </c>
      <c r="N60" s="1123">
        <v>10480</v>
      </c>
      <c r="O60" s="1169"/>
      <c r="P60" s="1477">
        <v>28170</v>
      </c>
      <c r="Q60" s="1471">
        <v>31557</v>
      </c>
      <c r="R60" s="1479">
        <v>-3387</v>
      </c>
      <c r="S60" s="1480">
        <v>-0.10732959406787718</v>
      </c>
      <c r="T60" s="1388"/>
      <c r="U60" s="1644">
        <v>28170</v>
      </c>
      <c r="V60" s="2250">
        <v>31557</v>
      </c>
      <c r="W60" s="1644">
        <v>34184</v>
      </c>
      <c r="X60" s="1644">
        <v>30642</v>
      </c>
      <c r="Y60" s="1169">
        <v>32108</v>
      </c>
      <c r="Z60" s="1674"/>
    </row>
    <row r="61" spans="1:26" ht="12.75" customHeight="1" x14ac:dyDescent="0.2">
      <c r="A61" s="1390"/>
      <c r="B61" s="945" t="s">
        <v>610</v>
      </c>
      <c r="C61" s="1371">
        <v>-1649</v>
      </c>
      <c r="D61" s="1374">
        <v>-0.23902014784751413</v>
      </c>
      <c r="E61" s="2233"/>
      <c r="F61" s="1671">
        <v>5250</v>
      </c>
      <c r="G61" s="1186">
        <v>10584</v>
      </c>
      <c r="H61" s="1186">
        <v>1537</v>
      </c>
      <c r="I61" s="1165">
        <v>481</v>
      </c>
      <c r="J61" s="1186">
        <v>6899</v>
      </c>
      <c r="K61" s="1186">
        <v>9166</v>
      </c>
      <c r="L61" s="1186">
        <v>6297</v>
      </c>
      <c r="M61" s="1186">
        <v>5310</v>
      </c>
      <c r="N61" s="1123">
        <v>7678</v>
      </c>
      <c r="O61" s="1169"/>
      <c r="P61" s="1477">
        <v>17852</v>
      </c>
      <c r="Q61" s="1471">
        <v>27672</v>
      </c>
      <c r="R61" s="1479">
        <v>-9820</v>
      </c>
      <c r="S61" s="1374">
        <v>-0.35487135010118531</v>
      </c>
      <c r="T61" s="1388"/>
      <c r="U61" s="1476">
        <v>17852</v>
      </c>
      <c r="V61" s="1470">
        <v>27672</v>
      </c>
      <c r="W61" s="1476">
        <v>20764</v>
      </c>
      <c r="X61" s="1476">
        <v>34672</v>
      </c>
      <c r="Y61" s="1169">
        <v>44586</v>
      </c>
      <c r="Z61" s="1674"/>
    </row>
    <row r="62" spans="1:26" ht="12.75" customHeight="1" x14ac:dyDescent="0.2">
      <c r="A62" s="1390"/>
      <c r="B62" s="945" t="s">
        <v>611</v>
      </c>
      <c r="C62" s="1371">
        <v>-2806</v>
      </c>
      <c r="D62" s="1374">
        <v>-0.22674747474747475</v>
      </c>
      <c r="E62" s="2233"/>
      <c r="F62" s="1671">
        <v>9569</v>
      </c>
      <c r="G62" s="1186">
        <v>18949</v>
      </c>
      <c r="H62" s="1186">
        <v>6379</v>
      </c>
      <c r="I62" s="1165">
        <v>6999</v>
      </c>
      <c r="J62" s="1186">
        <v>12375</v>
      </c>
      <c r="K62" s="1186">
        <v>12187</v>
      </c>
      <c r="L62" s="1186">
        <v>15769</v>
      </c>
      <c r="M62" s="1186">
        <v>7756</v>
      </c>
      <c r="N62" s="1123">
        <v>37149</v>
      </c>
      <c r="O62" s="1169"/>
      <c r="P62" s="1477">
        <v>41896</v>
      </c>
      <c r="Q62" s="1471">
        <v>48087</v>
      </c>
      <c r="R62" s="1497">
        <v>-6191</v>
      </c>
      <c r="S62" s="1374">
        <v>-0.12874581487720174</v>
      </c>
      <c r="T62" s="1388"/>
      <c r="U62" s="1476">
        <v>41896</v>
      </c>
      <c r="V62" s="1470">
        <v>48087</v>
      </c>
      <c r="W62" s="1476">
        <v>62447</v>
      </c>
      <c r="X62" s="1476">
        <v>62704</v>
      </c>
      <c r="Y62" s="1169">
        <v>61479</v>
      </c>
      <c r="Z62" s="1674"/>
    </row>
    <row r="63" spans="1:26" ht="12.75" customHeight="1" x14ac:dyDescent="0.2">
      <c r="A63" s="1390"/>
      <c r="B63" s="945" t="s">
        <v>612</v>
      </c>
      <c r="C63" s="1371">
        <v>440</v>
      </c>
      <c r="D63" s="1374">
        <v>6.6175364716498722E-2</v>
      </c>
      <c r="E63" s="2233"/>
      <c r="F63" s="1671">
        <v>7089</v>
      </c>
      <c r="G63" s="1186">
        <v>2820</v>
      </c>
      <c r="H63" s="1186">
        <v>4769</v>
      </c>
      <c r="I63" s="1165">
        <v>6219</v>
      </c>
      <c r="J63" s="1186">
        <v>6649</v>
      </c>
      <c r="K63" s="1186">
        <v>3944</v>
      </c>
      <c r="L63" s="1186">
        <v>5652</v>
      </c>
      <c r="M63" s="1186">
        <v>4645</v>
      </c>
      <c r="N63" s="1123">
        <v>6795</v>
      </c>
      <c r="O63" s="1169"/>
      <c r="P63" s="1477">
        <v>20897</v>
      </c>
      <c r="Q63" s="1471">
        <v>20890</v>
      </c>
      <c r="R63" s="1497">
        <v>7</v>
      </c>
      <c r="S63" s="1374">
        <v>3.3508855911919581E-4</v>
      </c>
      <c r="T63" s="1388"/>
      <c r="U63" s="1476">
        <v>20897</v>
      </c>
      <c r="V63" s="1470">
        <v>20890</v>
      </c>
      <c r="W63" s="1476">
        <v>28477</v>
      </c>
      <c r="X63" s="1476">
        <v>16271</v>
      </c>
      <c r="Y63" s="1169">
        <v>17429</v>
      </c>
      <c r="Z63" s="1674"/>
    </row>
    <row r="64" spans="1:26" ht="12.75" customHeight="1" x14ac:dyDescent="0.2">
      <c r="A64" s="1390"/>
      <c r="B64" s="945" t="s">
        <v>613</v>
      </c>
      <c r="C64" s="1371">
        <v>-38</v>
      </c>
      <c r="D64" s="1374">
        <v>-0.95</v>
      </c>
      <c r="E64" s="2233"/>
      <c r="F64" s="1671">
        <v>2</v>
      </c>
      <c r="G64" s="1186">
        <v>7</v>
      </c>
      <c r="H64" s="1186">
        <v>6</v>
      </c>
      <c r="I64" s="1165">
        <v>14</v>
      </c>
      <c r="J64" s="1186">
        <v>40</v>
      </c>
      <c r="K64" s="1186">
        <v>6</v>
      </c>
      <c r="L64" s="1186">
        <v>2</v>
      </c>
      <c r="M64" s="1186">
        <v>11</v>
      </c>
      <c r="N64" s="1123">
        <v>46</v>
      </c>
      <c r="O64" s="1169"/>
      <c r="P64" s="1477">
        <v>29</v>
      </c>
      <c r="Q64" s="1471">
        <v>59</v>
      </c>
      <c r="R64" s="1497">
        <v>-30</v>
      </c>
      <c r="S64" s="1374">
        <v>-0.50847457627118642</v>
      </c>
      <c r="T64" s="1388"/>
      <c r="U64" s="1476">
        <v>29</v>
      </c>
      <c r="V64" s="1168">
        <v>59</v>
      </c>
      <c r="W64" s="1169">
        <v>105</v>
      </c>
      <c r="X64" s="1169">
        <v>-129</v>
      </c>
      <c r="Y64" s="1169">
        <v>-82</v>
      </c>
      <c r="Z64" s="1674"/>
    </row>
    <row r="65" spans="1:26" ht="12.75" customHeight="1" x14ac:dyDescent="0.2">
      <c r="A65" s="1391"/>
      <c r="B65" s="945" t="s">
        <v>614</v>
      </c>
      <c r="C65" s="1375">
        <v>267</v>
      </c>
      <c r="D65" s="1376">
        <v>-2.2250000000000001</v>
      </c>
      <c r="E65" s="2234"/>
      <c r="F65" s="1671">
        <v>147</v>
      </c>
      <c r="G65" s="1212">
        <v>-200</v>
      </c>
      <c r="H65" s="1212">
        <v>69</v>
      </c>
      <c r="I65" s="1171">
        <v>-71</v>
      </c>
      <c r="J65" s="1212">
        <v>-120</v>
      </c>
      <c r="K65" s="1212">
        <v>111</v>
      </c>
      <c r="L65" s="1212">
        <v>95</v>
      </c>
      <c r="M65" s="1212">
        <v>107</v>
      </c>
      <c r="N65" s="1214">
        <v>42</v>
      </c>
      <c r="O65" s="1169"/>
      <c r="P65" s="1123">
        <v>-55</v>
      </c>
      <c r="Q65" s="1471">
        <v>193</v>
      </c>
      <c r="R65" s="1497">
        <v>-248</v>
      </c>
      <c r="S65" s="1374">
        <v>-1.2849740932642486</v>
      </c>
      <c r="T65" s="1390"/>
      <c r="U65" s="1169">
        <v>-55</v>
      </c>
      <c r="V65" s="1470">
        <v>193</v>
      </c>
      <c r="W65" s="1476">
        <v>835</v>
      </c>
      <c r="X65" s="1476">
        <v>1318</v>
      </c>
      <c r="Y65" s="1169">
        <v>422</v>
      </c>
      <c r="Z65" s="1674"/>
    </row>
    <row r="66" spans="1:26" ht="12.75" customHeight="1" x14ac:dyDescent="0.2">
      <c r="A66" s="1391"/>
      <c r="B66" s="945"/>
      <c r="C66" s="1372">
        <v>-5908</v>
      </c>
      <c r="D66" s="1373">
        <v>-0.16978963099206806</v>
      </c>
      <c r="E66" s="1358"/>
      <c r="F66" s="1098">
        <v>28888</v>
      </c>
      <c r="G66" s="1197">
        <v>38542</v>
      </c>
      <c r="H66" s="1197">
        <v>19568</v>
      </c>
      <c r="I66" s="1546">
        <v>21791</v>
      </c>
      <c r="J66" s="1197">
        <v>34796</v>
      </c>
      <c r="K66" s="1192">
        <v>32222</v>
      </c>
      <c r="L66" s="1197">
        <v>34669</v>
      </c>
      <c r="M66" s="1197">
        <v>26771</v>
      </c>
      <c r="N66" s="1547">
        <v>62190</v>
      </c>
      <c r="O66" s="1549"/>
      <c r="P66" s="1197">
        <v>108789</v>
      </c>
      <c r="Q66" s="1197">
        <v>128458</v>
      </c>
      <c r="R66" s="1550">
        <v>-19669</v>
      </c>
      <c r="S66" s="1504">
        <v>-0.15311619361970449</v>
      </c>
      <c r="T66" s="1359"/>
      <c r="U66" s="1569">
        <v>108789</v>
      </c>
      <c r="V66" s="1546">
        <v>128458</v>
      </c>
      <c r="W66" s="1317">
        <v>146812</v>
      </c>
      <c r="X66" s="1317">
        <v>145478</v>
      </c>
      <c r="Y66" s="1317">
        <v>155942</v>
      </c>
      <c r="Z66" s="1328"/>
    </row>
    <row r="67" spans="1:26" ht="12.75" customHeight="1" x14ac:dyDescent="0.2">
      <c r="A67" s="1391"/>
      <c r="B67" s="945"/>
      <c r="C67" s="1371"/>
      <c r="D67" s="1374"/>
      <c r="E67" s="1358"/>
      <c r="F67" s="1087"/>
      <c r="G67" s="1166"/>
      <c r="H67" s="1166"/>
      <c r="I67" s="1168"/>
      <c r="J67" s="1166"/>
      <c r="K67" s="1186"/>
      <c r="L67" s="1166"/>
      <c r="M67" s="1166"/>
      <c r="N67" s="1547"/>
      <c r="O67" s="1549"/>
      <c r="P67" s="1172"/>
      <c r="Q67" s="1172"/>
      <c r="R67" s="1533"/>
      <c r="S67" s="1508"/>
      <c r="T67" s="1359"/>
      <c r="U67" s="1509"/>
      <c r="V67" s="1509"/>
      <c r="W67" s="1509"/>
      <c r="X67" s="1509"/>
      <c r="Y67" s="1509"/>
      <c r="Z67" s="1328"/>
    </row>
    <row r="68" spans="1:26" s="1104" customFormat="1" ht="13.5" customHeight="1" x14ac:dyDescent="0.2">
      <c r="A68" s="1248"/>
      <c r="B68" s="945" t="s">
        <v>637</v>
      </c>
      <c r="C68" s="1372">
        <v>258</v>
      </c>
      <c r="D68" s="1373">
        <v>-0.60139860139860135</v>
      </c>
      <c r="E68" s="1574"/>
      <c r="F68" s="1225">
        <v>-171</v>
      </c>
      <c r="G68" s="1551">
        <v>-511</v>
      </c>
      <c r="H68" s="1551">
        <v>-225</v>
      </c>
      <c r="I68" s="1553">
        <v>-289</v>
      </c>
      <c r="J68" s="1551">
        <v>-429</v>
      </c>
      <c r="K68" s="1269">
        <v>-214</v>
      </c>
      <c r="L68" s="1551">
        <v>-209</v>
      </c>
      <c r="M68" s="1551">
        <v>-236</v>
      </c>
      <c r="N68" s="1552">
        <v>-329</v>
      </c>
      <c r="O68" s="1555"/>
      <c r="P68" s="1172">
        <v>-1196</v>
      </c>
      <c r="Q68" s="1269">
        <v>-1088</v>
      </c>
      <c r="R68" s="1554">
        <v>-108</v>
      </c>
      <c r="S68" s="1216">
        <v>-9.9264705882352935E-2</v>
      </c>
      <c r="T68" s="1556"/>
      <c r="U68" s="1317">
        <v>-1196</v>
      </c>
      <c r="V68" s="1317">
        <v>-1088</v>
      </c>
      <c r="W68" s="1317">
        <v>-1219</v>
      </c>
      <c r="X68" s="1317">
        <v>-1587</v>
      </c>
      <c r="Y68" s="1557">
        <v>-2294</v>
      </c>
      <c r="Z68" s="1074"/>
    </row>
    <row r="69" spans="1:26" x14ac:dyDescent="0.2">
      <c r="C69" s="1359"/>
      <c r="D69" s="1359"/>
      <c r="E69" s="1329"/>
      <c r="F69" s="1329"/>
      <c r="G69" s="1360"/>
      <c r="H69" s="1360"/>
      <c r="I69" s="1360"/>
      <c r="J69" s="1360"/>
      <c r="K69" s="1363"/>
      <c r="L69" s="1360"/>
      <c r="M69" s="1360"/>
      <c r="N69" s="1360"/>
      <c r="O69" s="1401"/>
      <c r="P69" s="1401"/>
      <c r="Q69" s="1401"/>
      <c r="R69" s="1558"/>
      <c r="S69" s="1510"/>
      <c r="T69" s="1401"/>
      <c r="U69" s="1401"/>
      <c r="V69" s="1401"/>
      <c r="W69" s="1401"/>
      <c r="X69" s="1401"/>
      <c r="Y69" s="1401"/>
      <c r="Z69" s="1672">
        <v>0</v>
      </c>
    </row>
    <row r="70" spans="1:26" x14ac:dyDescent="0.2">
      <c r="A70" s="945" t="s">
        <v>339</v>
      </c>
      <c r="G70" s="1690"/>
      <c r="P70" s="2144"/>
      <c r="Q70" s="2144"/>
      <c r="R70" s="2147"/>
      <c r="S70" s="2147"/>
      <c r="T70" s="2144"/>
      <c r="U70" s="2144"/>
      <c r="V70" s="2144"/>
      <c r="W70" s="2144"/>
      <c r="X70" s="2144"/>
      <c r="Y70" s="2144"/>
    </row>
    <row r="71" spans="1:26" x14ac:dyDescent="0.2">
      <c r="A71" s="968" t="s">
        <v>25</v>
      </c>
      <c r="G71" s="1690"/>
      <c r="H71" s="1690"/>
      <c r="P71" s="2144"/>
      <c r="Q71" s="2144"/>
    </row>
    <row r="72" spans="1:26" x14ac:dyDescent="0.2">
      <c r="A72" s="940"/>
      <c r="G72" s="1690"/>
      <c r="P72" s="2144"/>
      <c r="Q72" s="2144"/>
    </row>
    <row r="73" spans="1:26" x14ac:dyDescent="0.2">
      <c r="A73" s="945" t="s">
        <v>552</v>
      </c>
      <c r="G73" s="1690"/>
      <c r="P73" s="2144"/>
      <c r="Q73" s="2144"/>
    </row>
    <row r="74" spans="1:26" x14ac:dyDescent="0.2">
      <c r="G74" s="1690"/>
      <c r="P74" s="2144"/>
      <c r="Q74" s="2144"/>
    </row>
    <row r="75" spans="1:26" x14ac:dyDescent="0.2">
      <c r="G75" s="1690"/>
      <c r="P75" s="2144"/>
      <c r="Q75" s="2144"/>
    </row>
    <row r="76" spans="1:26" x14ac:dyDescent="0.2">
      <c r="E76" s="2133"/>
      <c r="F76" s="2133"/>
      <c r="G76" s="1690"/>
      <c r="H76" s="2143"/>
      <c r="J76" s="2143"/>
      <c r="K76" s="2138"/>
      <c r="L76" s="2143"/>
      <c r="M76" s="2143"/>
      <c r="N76" s="2143"/>
      <c r="P76" s="2144"/>
      <c r="Q76" s="2144"/>
    </row>
    <row r="77" spans="1:26" x14ac:dyDescent="0.2">
      <c r="E77" s="2133"/>
      <c r="F77" s="2133"/>
      <c r="G77" s="1690"/>
      <c r="H77" s="2143"/>
      <c r="J77" s="2143"/>
      <c r="K77" s="2138"/>
      <c r="L77" s="2143"/>
      <c r="M77" s="2143"/>
      <c r="N77" s="2143"/>
      <c r="P77" s="2144"/>
      <c r="Q77" s="2144"/>
    </row>
    <row r="78" spans="1:26" x14ac:dyDescent="0.2">
      <c r="E78" s="2133"/>
      <c r="F78" s="2133"/>
      <c r="G78" s="2143"/>
      <c r="H78" s="2143"/>
      <c r="I78" s="2143"/>
      <c r="J78" s="2143"/>
      <c r="K78" s="2138"/>
      <c r="L78" s="2143"/>
      <c r="M78" s="2143"/>
      <c r="N78" s="2143"/>
      <c r="P78" s="2144"/>
      <c r="Q78" s="2144"/>
    </row>
    <row r="79" spans="1:26" x14ac:dyDescent="0.2">
      <c r="E79" s="2133"/>
      <c r="F79" s="2133"/>
      <c r="G79" s="2143"/>
      <c r="H79" s="2143"/>
      <c r="I79" s="2143"/>
      <c r="J79" s="2143"/>
      <c r="K79" s="2138"/>
      <c r="L79" s="2143"/>
      <c r="M79" s="2143"/>
      <c r="N79" s="2143"/>
      <c r="P79" s="2144"/>
      <c r="Q79" s="2144"/>
    </row>
    <row r="80" spans="1:26" x14ac:dyDescent="0.2">
      <c r="E80" s="2133"/>
      <c r="F80" s="2133"/>
      <c r="G80" s="2143"/>
      <c r="H80" s="2143"/>
      <c r="I80" s="2143"/>
      <c r="J80" s="2143"/>
      <c r="K80" s="2138"/>
      <c r="L80" s="2143"/>
      <c r="M80" s="2143"/>
      <c r="N80" s="2143"/>
      <c r="P80" s="2144"/>
      <c r="Q80" s="2144"/>
    </row>
    <row r="81" spans="5:17" x14ac:dyDescent="0.2">
      <c r="E81" s="2133"/>
      <c r="F81" s="2133"/>
      <c r="G81" s="2143"/>
      <c r="H81" s="2143"/>
      <c r="I81" s="2143"/>
      <c r="J81" s="2143"/>
      <c r="K81" s="2138"/>
      <c r="L81" s="2143"/>
      <c r="M81" s="2143"/>
      <c r="N81" s="2143"/>
      <c r="P81" s="2144"/>
      <c r="Q81" s="2144"/>
    </row>
  </sheetData>
  <mergeCells count="11">
    <mergeCell ref="C58:D58"/>
    <mergeCell ref="C59:D59"/>
    <mergeCell ref="R59:S59"/>
    <mergeCell ref="A32:B32"/>
    <mergeCell ref="C10:D10"/>
    <mergeCell ref="C11:D11"/>
    <mergeCell ref="R11:S11"/>
    <mergeCell ref="A30:B30"/>
    <mergeCell ref="C45:D45"/>
    <mergeCell ref="C46:D46"/>
    <mergeCell ref="R46:S46"/>
  </mergeCells>
  <conditionalFormatting sqref="A43:A44 A65:A66 A57 A33:B35 Y53:Y55">
    <cfRule type="cellIs" dxfId="94" priority="17" stopIfTrue="1" operator="equal">
      <formula>0</formula>
    </cfRule>
  </conditionalFormatting>
  <conditionalFormatting sqref="A67">
    <cfRule type="cellIs" dxfId="93" priority="15" stopIfTrue="1" operator="equal">
      <formula>0</formula>
    </cfRule>
  </conditionalFormatting>
  <conditionalFormatting sqref="A68">
    <cfRule type="cellIs" dxfId="92" priority="13" stopIfTrue="1" operator="equal">
      <formula>0</formula>
    </cfRule>
  </conditionalFormatting>
  <conditionalFormatting sqref="A68">
    <cfRule type="cellIs" dxfId="91" priority="14" stopIfTrue="1" operator="equal">
      <formula>0</formula>
    </cfRule>
  </conditionalFormatting>
  <conditionalFormatting sqref="Y56">
    <cfRule type="cellIs" dxfId="90" priority="9" stopIfTrue="1" operator="equal">
      <formula>0</formula>
    </cfRule>
  </conditionalFormatting>
  <conditionalFormatting sqref="X56">
    <cfRule type="cellIs" dxfId="89" priority="7" stopIfTrue="1" operator="equal">
      <formula>0</formula>
    </cfRule>
  </conditionalFormatting>
  <conditionalFormatting sqref="W56">
    <cfRule type="cellIs" dxfId="88" priority="6" stopIfTrue="1" operator="equal">
      <formula>0</formula>
    </cfRule>
  </conditionalFormatting>
  <conditionalFormatting sqref="V56">
    <cfRule type="cellIs" dxfId="87" priority="3" stopIfTrue="1" operator="equal">
      <formula>0</formula>
    </cfRule>
  </conditionalFormatting>
  <conditionalFormatting sqref="B52">
    <cfRule type="cellIs" dxfId="86" priority="2" stopIfTrue="1" operator="equal">
      <formula>0</formula>
    </cfRule>
  </conditionalFormatting>
  <conditionalFormatting sqref="U56">
    <cfRule type="cellIs" dxfId="85" priority="1" stopIfTrue="1" operator="equal">
      <formula>0</formula>
    </cfRule>
  </conditionalFormatting>
  <printOptions horizontalCentered="1" verticalCentered="1"/>
  <pageMargins left="0" right="0" top="0" bottom="0" header="0" footer="0"/>
  <pageSetup scale="57" orientation="landscape" r:id="rId1"/>
  <headerFooter alignWithMargins="0">
    <oddFooter>&amp;L&amp;F&amp;CPage 7</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pageSetUpPr fitToPage="1"/>
  </sheetPr>
  <dimension ref="A5:Z79"/>
  <sheetViews>
    <sheetView zoomScaleNormal="100" workbookViewId="0">
      <selection activeCell="J10" sqref="J10"/>
    </sheetView>
  </sheetViews>
  <sheetFormatPr defaultColWidth="9.140625" defaultRowHeight="12.75" x14ac:dyDescent="0.2"/>
  <cols>
    <col min="1" max="1" width="2.7109375" style="1359" customWidth="1"/>
    <col min="2" max="2" width="47.85546875" style="1359" customWidth="1"/>
    <col min="3" max="3" width="10.7109375" style="1359" customWidth="1"/>
    <col min="4" max="4" width="9.7109375" style="1359" customWidth="1"/>
    <col min="5" max="5" width="1.5703125" style="1329" customWidth="1"/>
    <col min="6" max="6" width="9.42578125" style="1329" customWidth="1"/>
    <col min="7" max="8" width="9.42578125" style="1360" customWidth="1"/>
    <col min="9" max="9" width="10.7109375" style="1360" customWidth="1"/>
    <col min="10" max="10" width="9.42578125" style="1360" customWidth="1"/>
    <col min="11" max="11" width="9.42578125" style="1363" customWidth="1"/>
    <col min="12" max="14" width="9.42578125" style="1360" customWidth="1"/>
    <col min="15" max="15" width="1.5703125" style="1360" customWidth="1"/>
    <col min="16" max="16" width="11.140625" style="1359" hidden="1" customWidth="1"/>
    <col min="17" max="17" width="10.140625" style="1359" hidden="1" customWidth="1"/>
    <col min="18" max="19" width="9.7109375" style="1402" customWidth="1"/>
    <col min="20" max="20" width="1.5703125" style="1359" customWidth="1"/>
    <col min="21" max="22" width="10.28515625" style="1359" customWidth="1"/>
    <col min="23" max="24" width="11.42578125" style="1359" customWidth="1"/>
    <col min="25" max="25" width="11.140625" style="1359" customWidth="1"/>
    <col min="26" max="26" width="1.5703125" style="1328" customWidth="1"/>
    <col min="27" max="16384" width="9.140625" style="1328"/>
  </cols>
  <sheetData>
    <row r="5" spans="1:26" x14ac:dyDescent="0.2">
      <c r="A5" s="1360"/>
      <c r="B5" s="1360"/>
      <c r="C5" s="1360"/>
      <c r="D5" s="1360"/>
    </row>
    <row r="6" spans="1:26" ht="18" customHeight="1" x14ac:dyDescent="0.2">
      <c r="A6" s="1515" t="s">
        <v>659</v>
      </c>
      <c r="B6" s="1360"/>
      <c r="C6" s="1363"/>
      <c r="D6" s="1363"/>
      <c r="E6" s="1331"/>
      <c r="F6" s="1331"/>
      <c r="G6" s="1363"/>
      <c r="H6" s="1363"/>
      <c r="I6" s="1363"/>
      <c r="J6" s="1363"/>
      <c r="L6" s="1363"/>
      <c r="M6" s="1363"/>
      <c r="N6" s="1363"/>
      <c r="O6" s="1363"/>
      <c r="P6" s="1543"/>
      <c r="Q6" s="1543"/>
      <c r="R6" s="1890"/>
      <c r="S6" s="1890"/>
      <c r="T6" s="1543"/>
      <c r="U6" s="1543"/>
      <c r="V6" s="1543"/>
      <c r="W6" s="1543"/>
      <c r="X6" s="1543"/>
      <c r="Y6" s="1543"/>
    </row>
    <row r="7" spans="1:26" ht="18" customHeight="1" x14ac:dyDescent="0.2">
      <c r="A7" s="1110" t="s">
        <v>639</v>
      </c>
      <c r="B7" s="1362"/>
      <c r="C7" s="1362"/>
      <c r="D7" s="1362"/>
      <c r="E7" s="1330"/>
      <c r="F7" s="1330"/>
      <c r="G7" s="2170"/>
      <c r="H7" s="2170"/>
      <c r="I7" s="2170"/>
      <c r="J7" s="2170"/>
      <c r="K7" s="2170"/>
      <c r="L7" s="2170"/>
      <c r="M7" s="2170"/>
      <c r="N7" s="1362"/>
      <c r="O7" s="1363"/>
      <c r="P7" s="1543"/>
      <c r="Q7" s="1543"/>
      <c r="R7" s="1929"/>
      <c r="S7" s="1890"/>
      <c r="T7" s="1543"/>
      <c r="U7" s="1543"/>
      <c r="V7" s="1543"/>
      <c r="W7" s="1543"/>
      <c r="X7" s="1543"/>
      <c r="Y7" s="1543"/>
    </row>
    <row r="8" spans="1:26" ht="9.75" customHeight="1" x14ac:dyDescent="0.2">
      <c r="A8" s="1363"/>
      <c r="B8" s="1363"/>
      <c r="C8" s="1363"/>
      <c r="D8" s="1363"/>
      <c r="E8" s="1331"/>
      <c r="F8" s="1331"/>
      <c r="G8" s="1363"/>
      <c r="H8" s="1363"/>
      <c r="I8" s="1363"/>
      <c r="J8" s="1363"/>
      <c r="L8" s="1363"/>
      <c r="M8" s="1363"/>
      <c r="N8" s="1363"/>
      <c r="O8" s="1363"/>
      <c r="P8" s="1543"/>
      <c r="Q8" s="1543"/>
      <c r="R8" s="1891"/>
      <c r="S8" s="1891"/>
      <c r="T8" s="1543"/>
      <c r="U8" s="1543"/>
      <c r="V8" s="1543"/>
      <c r="W8" s="1543"/>
      <c r="X8" s="1543"/>
      <c r="Y8" s="1543"/>
    </row>
    <row r="9" spans="1:26" x14ac:dyDescent="0.2">
      <c r="A9" s="1364" t="s">
        <v>1</v>
      </c>
      <c r="B9" s="1365"/>
      <c r="C9" s="2306" t="s">
        <v>667</v>
      </c>
      <c r="D9" s="2307"/>
      <c r="E9" s="1333"/>
      <c r="F9" s="1885"/>
      <c r="G9" s="1893"/>
      <c r="H9" s="1893"/>
      <c r="I9" s="1892"/>
      <c r="J9" s="1893"/>
      <c r="K9" s="1893"/>
      <c r="L9" s="1893"/>
      <c r="M9" s="1893"/>
      <c r="N9" s="1894"/>
      <c r="O9" s="1917"/>
      <c r="P9" s="980" t="s">
        <v>668</v>
      </c>
      <c r="Q9" s="981"/>
      <c r="R9" s="981" t="s">
        <v>551</v>
      </c>
      <c r="S9" s="982"/>
      <c r="T9" s="1405"/>
      <c r="U9" s="1406"/>
      <c r="V9" s="1406"/>
      <c r="W9" s="1406"/>
      <c r="X9" s="1406"/>
      <c r="Y9" s="1406"/>
      <c r="Z9" s="1674"/>
    </row>
    <row r="10" spans="1:26" x14ac:dyDescent="0.2">
      <c r="A10" s="1364" t="s">
        <v>482</v>
      </c>
      <c r="B10" s="1365"/>
      <c r="C10" s="2412" t="s">
        <v>35</v>
      </c>
      <c r="D10" s="2413"/>
      <c r="E10" s="1335"/>
      <c r="F10" s="906" t="s">
        <v>546</v>
      </c>
      <c r="G10" s="985" t="s">
        <v>547</v>
      </c>
      <c r="H10" s="985" t="s">
        <v>548</v>
      </c>
      <c r="I10" s="986" t="s">
        <v>549</v>
      </c>
      <c r="J10" s="985" t="s">
        <v>497</v>
      </c>
      <c r="K10" s="985" t="s">
        <v>496</v>
      </c>
      <c r="L10" s="985" t="s">
        <v>495</v>
      </c>
      <c r="M10" s="986" t="s">
        <v>494</v>
      </c>
      <c r="N10" s="987" t="s">
        <v>363</v>
      </c>
      <c r="O10" s="1404"/>
      <c r="P10" s="987" t="s">
        <v>546</v>
      </c>
      <c r="Q10" s="985" t="s">
        <v>497</v>
      </c>
      <c r="R10" s="2304" t="s">
        <v>35</v>
      </c>
      <c r="S10" s="2305"/>
      <c r="T10" s="1408"/>
      <c r="U10" s="987" t="s">
        <v>550</v>
      </c>
      <c r="V10" s="987" t="s">
        <v>498</v>
      </c>
      <c r="W10" s="987" t="s">
        <v>490</v>
      </c>
      <c r="X10" s="987" t="s">
        <v>360</v>
      </c>
      <c r="Y10" s="987" t="s">
        <v>342</v>
      </c>
      <c r="Z10" s="1674"/>
    </row>
    <row r="11" spans="1:26" x14ac:dyDescent="0.2">
      <c r="A11" s="1368" t="s">
        <v>56</v>
      </c>
      <c r="B11" s="1369"/>
      <c r="C11" s="1899"/>
      <c r="D11" s="1900"/>
      <c r="E11" s="1901"/>
      <c r="F11" s="1332"/>
      <c r="G11" s="1365"/>
      <c r="H11" s="1365"/>
      <c r="I11" s="1900"/>
      <c r="J11" s="1365"/>
      <c r="K11" s="1365"/>
      <c r="L11" s="1365"/>
      <c r="M11" s="1365"/>
      <c r="N11" s="1899"/>
      <c r="O11" s="1448"/>
      <c r="P11" s="1365"/>
      <c r="Q11" s="1365"/>
      <c r="R11" s="1704"/>
      <c r="S11" s="1902"/>
      <c r="T11" s="1377"/>
      <c r="U11" s="1448"/>
      <c r="V11" s="1448"/>
      <c r="W11" s="1448"/>
      <c r="X11" s="1448"/>
      <c r="Y11" s="1448"/>
      <c r="Z11" s="1674"/>
    </row>
    <row r="12" spans="1:26" ht="12.75" customHeight="1" x14ac:dyDescent="0.2">
      <c r="A12" s="1365"/>
      <c r="B12" s="1118" t="s">
        <v>170</v>
      </c>
      <c r="C12" s="1371">
        <v>-16560.59</v>
      </c>
      <c r="D12" s="1374">
        <v>-0.87863911290322583</v>
      </c>
      <c r="E12" s="1339"/>
      <c r="F12" s="1355">
        <v>2287.41</v>
      </c>
      <c r="G12" s="1471">
        <v>5293</v>
      </c>
      <c r="H12" s="1471">
        <v>8256</v>
      </c>
      <c r="I12" s="1473">
        <v>11157</v>
      </c>
      <c r="J12" s="1471">
        <v>18848</v>
      </c>
      <c r="K12" s="1471">
        <v>20634</v>
      </c>
      <c r="L12" s="1471">
        <v>8192</v>
      </c>
      <c r="M12" s="1471">
        <v>4382</v>
      </c>
      <c r="N12" s="1477">
        <v>18996</v>
      </c>
      <c r="O12" s="1448"/>
      <c r="P12" s="1471">
        <v>26993.41</v>
      </c>
      <c r="Q12" s="1471">
        <v>52056</v>
      </c>
      <c r="R12" s="1421">
        <v>-25062.59</v>
      </c>
      <c r="S12" s="1374">
        <v>-0.48145439526663592</v>
      </c>
      <c r="T12" s="1365"/>
      <c r="U12" s="1493">
        <v>26993.41</v>
      </c>
      <c r="V12" s="1493">
        <v>52056</v>
      </c>
      <c r="W12" s="1493">
        <v>54507</v>
      </c>
      <c r="X12" s="1493">
        <v>25025</v>
      </c>
      <c r="Y12" s="1493">
        <v>35250</v>
      </c>
      <c r="Z12" s="1674"/>
    </row>
    <row r="13" spans="1:26" ht="12.75" customHeight="1" x14ac:dyDescent="0.2">
      <c r="A13" s="1365"/>
      <c r="B13" s="1118" t="s">
        <v>285</v>
      </c>
      <c r="C13" s="1371">
        <v>-255.40999999999997</v>
      </c>
      <c r="D13" s="1374">
        <v>-0.20367623604465707</v>
      </c>
      <c r="E13" s="1339"/>
      <c r="F13" s="1340">
        <v>998.59</v>
      </c>
      <c r="G13" s="1288">
        <v>1003</v>
      </c>
      <c r="H13" s="1288">
        <v>1197</v>
      </c>
      <c r="I13" s="1289">
        <v>1174</v>
      </c>
      <c r="J13" s="1419">
        <v>1254</v>
      </c>
      <c r="K13" s="1288">
        <v>1483</v>
      </c>
      <c r="L13" s="1288">
        <v>1077</v>
      </c>
      <c r="M13" s="1288">
        <v>1152</v>
      </c>
      <c r="N13" s="1481">
        <v>1345</v>
      </c>
      <c r="O13" s="1448"/>
      <c r="P13" s="1471">
        <v>4372.59</v>
      </c>
      <c r="Q13" s="1471">
        <v>4966</v>
      </c>
      <c r="R13" s="1421">
        <v>-593.40999999999985</v>
      </c>
      <c r="S13" s="1374">
        <v>-0.11949456302859442</v>
      </c>
      <c r="T13" s="1377"/>
      <c r="U13" s="1493">
        <v>4372.59</v>
      </c>
      <c r="V13" s="1259">
        <v>4966</v>
      </c>
      <c r="W13" s="1259">
        <v>5186</v>
      </c>
      <c r="X13" s="1259">
        <v>6113</v>
      </c>
      <c r="Y13" s="1256">
        <v>6358</v>
      </c>
      <c r="Z13" s="1674"/>
    </row>
    <row r="14" spans="1:26" ht="13.5" customHeight="1" x14ac:dyDescent="0.2">
      <c r="A14" s="1369"/>
      <c r="B14" s="1365"/>
      <c r="C14" s="1372">
        <v>-16816</v>
      </c>
      <c r="D14" s="1373">
        <v>-0.83653367824097102</v>
      </c>
      <c r="E14" s="1339"/>
      <c r="F14" s="1106">
        <v>3286</v>
      </c>
      <c r="G14" s="1419">
        <v>6296</v>
      </c>
      <c r="H14" s="1419">
        <v>9453</v>
      </c>
      <c r="I14" s="1519">
        <v>12331</v>
      </c>
      <c r="J14" s="1212">
        <v>20102</v>
      </c>
      <c r="K14" s="1419">
        <v>22117</v>
      </c>
      <c r="L14" s="1419">
        <v>9269</v>
      </c>
      <c r="M14" s="1518">
        <v>5534</v>
      </c>
      <c r="N14" s="1214">
        <v>20341</v>
      </c>
      <c r="O14" s="1448"/>
      <c r="P14" s="1520">
        <v>31366</v>
      </c>
      <c r="Q14" s="1518">
        <v>57022</v>
      </c>
      <c r="R14" s="1426">
        <v>-25656</v>
      </c>
      <c r="S14" s="1373">
        <v>-0.4499316053453053</v>
      </c>
      <c r="T14" s="1377"/>
      <c r="U14" s="1918">
        <v>31366</v>
      </c>
      <c r="V14" s="1427">
        <v>57022</v>
      </c>
      <c r="W14" s="1427">
        <v>59693</v>
      </c>
      <c r="X14" s="1427">
        <v>31138</v>
      </c>
      <c r="Y14" s="1427">
        <v>41608</v>
      </c>
      <c r="Z14" s="1674"/>
    </row>
    <row r="15" spans="1:26" ht="12.75" customHeight="1" x14ac:dyDescent="0.2">
      <c r="A15" s="1368" t="s">
        <v>5</v>
      </c>
      <c r="B15" s="1365"/>
      <c r="C15" s="1688"/>
      <c r="D15" s="1374"/>
      <c r="E15" s="1339"/>
      <c r="F15" s="2258"/>
      <c r="G15" s="1521"/>
      <c r="H15" s="1521"/>
      <c r="I15" s="1474"/>
      <c r="J15" s="1038"/>
      <c r="K15" s="1428"/>
      <c r="L15" s="1428"/>
      <c r="M15" s="1471"/>
      <c r="N15" s="1624"/>
      <c r="O15" s="1448"/>
      <c r="P15" s="2162"/>
      <c r="Q15" s="1521"/>
      <c r="R15" s="2164"/>
      <c r="S15" s="1450"/>
      <c r="T15" s="1377"/>
      <c r="U15" s="2248"/>
      <c r="V15" s="1522"/>
      <c r="W15" s="1522"/>
      <c r="X15" s="1522"/>
      <c r="Y15" s="1522"/>
      <c r="Z15" s="1674"/>
    </row>
    <row r="16" spans="1:26" ht="12.75" customHeight="1" x14ac:dyDescent="0.2">
      <c r="A16" s="1369"/>
      <c r="B16" s="1133" t="s">
        <v>624</v>
      </c>
      <c r="C16" s="1371">
        <v>-7740</v>
      </c>
      <c r="D16" s="1374">
        <v>-0.7630878438331854</v>
      </c>
      <c r="E16" s="1339"/>
      <c r="F16" s="1086">
        <v>2403</v>
      </c>
      <c r="G16" s="1428">
        <v>3387</v>
      </c>
      <c r="H16" s="1428">
        <v>5540</v>
      </c>
      <c r="I16" s="1473">
        <v>6687</v>
      </c>
      <c r="J16" s="1130">
        <v>10143</v>
      </c>
      <c r="K16" s="1428">
        <v>11033</v>
      </c>
      <c r="L16" s="1428">
        <v>5162</v>
      </c>
      <c r="M16" s="1471">
        <v>4416</v>
      </c>
      <c r="N16" s="1270">
        <v>10625</v>
      </c>
      <c r="O16" s="1448"/>
      <c r="P16" s="1471">
        <v>18017</v>
      </c>
      <c r="Q16" s="1471">
        <v>30754</v>
      </c>
      <c r="R16" s="1421">
        <v>-12737</v>
      </c>
      <c r="S16" s="1374">
        <v>-0.41415750796644341</v>
      </c>
      <c r="T16" s="1377"/>
      <c r="U16" s="1493">
        <v>18017</v>
      </c>
      <c r="V16" s="1642">
        <v>30754</v>
      </c>
      <c r="W16" s="1642">
        <v>31685</v>
      </c>
      <c r="X16" s="1642">
        <v>19578</v>
      </c>
      <c r="Y16" s="1642">
        <v>21789</v>
      </c>
      <c r="Z16" s="1674"/>
    </row>
    <row r="17" spans="1:26" ht="13.5" customHeight="1" x14ac:dyDescent="0.2">
      <c r="A17" s="1369"/>
      <c r="B17" s="1388" t="s">
        <v>61</v>
      </c>
      <c r="C17" s="1371">
        <v>44</v>
      </c>
      <c r="D17" s="1374">
        <v>9.5238095238095233E-2</v>
      </c>
      <c r="E17" s="1339"/>
      <c r="F17" s="1086">
        <v>506</v>
      </c>
      <c r="G17" s="1428">
        <v>497</v>
      </c>
      <c r="H17" s="1428">
        <v>466</v>
      </c>
      <c r="I17" s="1473">
        <v>495</v>
      </c>
      <c r="J17" s="1130">
        <v>462</v>
      </c>
      <c r="K17" s="1428">
        <v>533</v>
      </c>
      <c r="L17" s="1428">
        <v>448</v>
      </c>
      <c r="M17" s="1471">
        <v>438</v>
      </c>
      <c r="N17" s="1270">
        <v>421</v>
      </c>
      <c r="O17" s="1415"/>
      <c r="P17" s="1428">
        <v>1964</v>
      </c>
      <c r="Q17" s="1428">
        <v>1881</v>
      </c>
      <c r="R17" s="1421">
        <v>83</v>
      </c>
      <c r="S17" s="1374">
        <v>4.4125465178096755E-2</v>
      </c>
      <c r="T17" s="1390"/>
      <c r="U17" s="1493">
        <v>1964</v>
      </c>
      <c r="V17" s="1476">
        <v>1881</v>
      </c>
      <c r="W17" s="1476">
        <v>1649</v>
      </c>
      <c r="X17" s="1476">
        <v>1940</v>
      </c>
      <c r="Y17" s="1476">
        <v>1648</v>
      </c>
      <c r="Z17" s="1674"/>
    </row>
    <row r="18" spans="1:26" ht="12.75" customHeight="1" x14ac:dyDescent="0.2">
      <c r="A18" s="1369"/>
      <c r="B18" s="1388" t="s">
        <v>88</v>
      </c>
      <c r="C18" s="1371">
        <v>-294</v>
      </c>
      <c r="D18" s="1374">
        <v>-0.36981132075471695</v>
      </c>
      <c r="E18" s="1339"/>
      <c r="F18" s="1086">
        <v>501</v>
      </c>
      <c r="G18" s="1428">
        <v>477</v>
      </c>
      <c r="H18" s="1428">
        <v>578</v>
      </c>
      <c r="I18" s="1473">
        <v>547</v>
      </c>
      <c r="J18" s="1130">
        <v>795</v>
      </c>
      <c r="K18" s="1428">
        <v>552</v>
      </c>
      <c r="L18" s="1428">
        <v>504</v>
      </c>
      <c r="M18" s="1471">
        <v>484</v>
      </c>
      <c r="N18" s="1270">
        <v>519</v>
      </c>
      <c r="O18" s="1415"/>
      <c r="P18" s="1428">
        <v>2103</v>
      </c>
      <c r="Q18" s="1428">
        <v>2335</v>
      </c>
      <c r="R18" s="1421">
        <v>-232</v>
      </c>
      <c r="S18" s="1374">
        <v>-9.9357601713062099E-2</v>
      </c>
      <c r="T18" s="1390"/>
      <c r="U18" s="1493">
        <v>2103</v>
      </c>
      <c r="V18" s="1476">
        <v>2335</v>
      </c>
      <c r="W18" s="1476">
        <v>2088</v>
      </c>
      <c r="X18" s="1476">
        <v>2100</v>
      </c>
      <c r="Y18" s="1476">
        <v>2049</v>
      </c>
      <c r="Z18" s="1674"/>
    </row>
    <row r="19" spans="1:26" ht="12.75" customHeight="1" x14ac:dyDescent="0.2">
      <c r="A19" s="1369"/>
      <c r="B19" s="1388" t="s">
        <v>63</v>
      </c>
      <c r="C19" s="1371">
        <v>-4</v>
      </c>
      <c r="D19" s="1374">
        <v>-1.2861736334405145E-2</v>
      </c>
      <c r="E19" s="1339"/>
      <c r="F19" s="1086">
        <v>307</v>
      </c>
      <c r="G19" s="1428">
        <v>278</v>
      </c>
      <c r="H19" s="1428">
        <v>314</v>
      </c>
      <c r="I19" s="1473">
        <v>303</v>
      </c>
      <c r="J19" s="1130">
        <v>311</v>
      </c>
      <c r="K19" s="1428">
        <v>305</v>
      </c>
      <c r="L19" s="1428">
        <v>340</v>
      </c>
      <c r="M19" s="1471">
        <v>269</v>
      </c>
      <c r="N19" s="1270">
        <v>272</v>
      </c>
      <c r="O19" s="1415"/>
      <c r="P19" s="1428">
        <v>1202</v>
      </c>
      <c r="Q19" s="1428">
        <v>1225</v>
      </c>
      <c r="R19" s="1421">
        <v>-23</v>
      </c>
      <c r="S19" s="1374">
        <v>-1.8775510204081632E-2</v>
      </c>
      <c r="T19" s="1390"/>
      <c r="U19" s="1493">
        <v>1202</v>
      </c>
      <c r="V19" s="1476">
        <v>1225</v>
      </c>
      <c r="W19" s="1476">
        <v>1040</v>
      </c>
      <c r="X19" s="1476">
        <v>962</v>
      </c>
      <c r="Y19" s="1476">
        <v>906</v>
      </c>
      <c r="Z19" s="1674"/>
    </row>
    <row r="20" spans="1:26" ht="12.75" customHeight="1" x14ac:dyDescent="0.2">
      <c r="A20" s="1369"/>
      <c r="B20" s="1388" t="s">
        <v>64</v>
      </c>
      <c r="C20" s="1371">
        <v>-17</v>
      </c>
      <c r="D20" s="1374">
        <v>-5.2631578947368418E-2</v>
      </c>
      <c r="E20" s="1339"/>
      <c r="F20" s="1086">
        <v>306</v>
      </c>
      <c r="G20" s="1428">
        <v>321</v>
      </c>
      <c r="H20" s="1428">
        <v>322</v>
      </c>
      <c r="I20" s="1473">
        <v>298</v>
      </c>
      <c r="J20" s="1771">
        <v>323</v>
      </c>
      <c r="K20" s="1428">
        <v>313</v>
      </c>
      <c r="L20" s="1428">
        <v>608</v>
      </c>
      <c r="M20" s="1471">
        <v>224</v>
      </c>
      <c r="N20" s="2213">
        <v>241</v>
      </c>
      <c r="O20" s="1415"/>
      <c r="P20" s="1428">
        <v>1247</v>
      </c>
      <c r="Q20" s="1428">
        <v>1468</v>
      </c>
      <c r="R20" s="1421">
        <v>-221</v>
      </c>
      <c r="S20" s="1374">
        <v>-0.1505449591280654</v>
      </c>
      <c r="T20" s="1390"/>
      <c r="U20" s="1493">
        <v>1247</v>
      </c>
      <c r="V20" s="1476">
        <v>1468</v>
      </c>
      <c r="W20" s="1476">
        <v>970</v>
      </c>
      <c r="X20" s="1476">
        <v>827</v>
      </c>
      <c r="Y20" s="1476">
        <v>754</v>
      </c>
      <c r="Z20" s="1674"/>
    </row>
    <row r="21" spans="1:26" ht="12.75" customHeight="1" x14ac:dyDescent="0.2">
      <c r="A21" s="1369"/>
      <c r="B21" s="1388" t="s">
        <v>59</v>
      </c>
      <c r="C21" s="1371">
        <v>-10</v>
      </c>
      <c r="D21" s="1374">
        <v>-0.66666666666666663</v>
      </c>
      <c r="E21" s="1339"/>
      <c r="F21" s="1086">
        <v>5</v>
      </c>
      <c r="G21" s="1428">
        <v>5</v>
      </c>
      <c r="H21" s="1428">
        <v>14</v>
      </c>
      <c r="I21" s="1473">
        <v>4</v>
      </c>
      <c r="J21" s="1771">
        <v>15</v>
      </c>
      <c r="K21" s="1428">
        <v>6</v>
      </c>
      <c r="L21" s="1428">
        <v>15</v>
      </c>
      <c r="M21" s="1471">
        <v>8</v>
      </c>
      <c r="N21" s="2213">
        <v>12</v>
      </c>
      <c r="O21" s="1415"/>
      <c r="P21" s="1428">
        <v>28</v>
      </c>
      <c r="Q21" s="1428">
        <v>44</v>
      </c>
      <c r="R21" s="1421">
        <v>-16</v>
      </c>
      <c r="S21" s="1374">
        <v>-0.36363636363636365</v>
      </c>
      <c r="T21" s="1390"/>
      <c r="U21" s="1493">
        <v>28</v>
      </c>
      <c r="V21" s="1476">
        <v>44</v>
      </c>
      <c r="W21" s="1476">
        <v>42</v>
      </c>
      <c r="X21" s="1476">
        <v>38</v>
      </c>
      <c r="Y21" s="1476">
        <v>36</v>
      </c>
      <c r="Z21" s="1329"/>
    </row>
    <row r="22" spans="1:26" ht="12.75" customHeight="1" x14ac:dyDescent="0.2">
      <c r="A22" s="1369"/>
      <c r="B22" s="1388" t="s">
        <v>65</v>
      </c>
      <c r="C22" s="1371">
        <v>58</v>
      </c>
      <c r="D22" s="1374">
        <v>6.7520372526193251E-2</v>
      </c>
      <c r="E22" s="1339"/>
      <c r="F22" s="1086">
        <v>917</v>
      </c>
      <c r="G22" s="1428">
        <v>1184</v>
      </c>
      <c r="H22" s="1428">
        <v>1340</v>
      </c>
      <c r="I22" s="1473">
        <v>921</v>
      </c>
      <c r="J22" s="1771">
        <v>859</v>
      </c>
      <c r="K22" s="1428">
        <v>878</v>
      </c>
      <c r="L22" s="1428">
        <v>982</v>
      </c>
      <c r="M22" s="1471">
        <v>860</v>
      </c>
      <c r="N22" s="2213">
        <v>750</v>
      </c>
      <c r="O22" s="1415"/>
      <c r="P22" s="1428">
        <v>4362</v>
      </c>
      <c r="Q22" s="1428">
        <v>3579</v>
      </c>
      <c r="R22" s="1421">
        <v>783</v>
      </c>
      <c r="S22" s="1374">
        <v>0.21877619446772842</v>
      </c>
      <c r="T22" s="1390"/>
      <c r="U22" s="1493">
        <v>4362</v>
      </c>
      <c r="V22" s="1476">
        <v>3579</v>
      </c>
      <c r="W22" s="1476">
        <v>3474</v>
      </c>
      <c r="X22" s="1476">
        <v>3418</v>
      </c>
      <c r="Y22" s="1476">
        <v>4006</v>
      </c>
      <c r="Z22" s="1329"/>
    </row>
    <row r="23" spans="1:26" ht="12.75" customHeight="1" x14ac:dyDescent="0.2">
      <c r="A23" s="1369"/>
      <c r="B23" s="1388" t="s">
        <v>66</v>
      </c>
      <c r="C23" s="1371">
        <v>-8</v>
      </c>
      <c r="D23" s="1374">
        <v>-6.4000000000000001E-2</v>
      </c>
      <c r="E23" s="1339"/>
      <c r="F23" s="1086">
        <v>117</v>
      </c>
      <c r="G23" s="1428">
        <v>122</v>
      </c>
      <c r="H23" s="1428">
        <v>117</v>
      </c>
      <c r="I23" s="1473">
        <v>109</v>
      </c>
      <c r="J23" s="1771">
        <v>125</v>
      </c>
      <c r="K23" s="1428">
        <v>118</v>
      </c>
      <c r="L23" s="1428">
        <v>151</v>
      </c>
      <c r="M23" s="1471">
        <v>150</v>
      </c>
      <c r="N23" s="2213">
        <v>423</v>
      </c>
      <c r="O23" s="1415"/>
      <c r="P23" s="1428">
        <v>465</v>
      </c>
      <c r="Q23" s="1428">
        <v>544</v>
      </c>
      <c r="R23" s="1421">
        <v>-79</v>
      </c>
      <c r="S23" s="1374">
        <v>-0.14522058823529413</v>
      </c>
      <c r="T23" s="1390"/>
      <c r="U23" s="1493">
        <v>465</v>
      </c>
      <c r="V23" s="1476">
        <v>544</v>
      </c>
      <c r="W23" s="1476">
        <v>1618</v>
      </c>
      <c r="X23" s="1476">
        <v>3349</v>
      </c>
      <c r="Y23" s="1476">
        <v>3456</v>
      </c>
      <c r="Z23" s="1329"/>
    </row>
    <row r="24" spans="1:26" ht="12.75" customHeight="1" x14ac:dyDescent="0.2">
      <c r="A24" s="1365"/>
      <c r="B24" s="1388" t="s">
        <v>67</v>
      </c>
      <c r="C24" s="1371">
        <v>0</v>
      </c>
      <c r="D24" s="1374">
        <v>0</v>
      </c>
      <c r="E24" s="1345"/>
      <c r="F24" s="1086">
        <v>0</v>
      </c>
      <c r="G24" s="1420">
        <v>0</v>
      </c>
      <c r="H24" s="1420">
        <v>0</v>
      </c>
      <c r="I24" s="1523">
        <v>0</v>
      </c>
      <c r="J24" s="1771">
        <v>0</v>
      </c>
      <c r="K24" s="1420">
        <v>0</v>
      </c>
      <c r="L24" s="1420">
        <v>0</v>
      </c>
      <c r="M24" s="1446">
        <v>0</v>
      </c>
      <c r="N24" s="2213">
        <v>0</v>
      </c>
      <c r="O24" s="1415"/>
      <c r="P24" s="1038">
        <v>0</v>
      </c>
      <c r="Q24" s="1038">
        <v>0</v>
      </c>
      <c r="R24" s="1038">
        <v>0</v>
      </c>
      <c r="S24" s="1374">
        <v>0</v>
      </c>
      <c r="T24" s="1390"/>
      <c r="U24" s="1180">
        <v>0</v>
      </c>
      <c r="V24" s="1541">
        <v>0</v>
      </c>
      <c r="W24" s="1541">
        <v>0</v>
      </c>
      <c r="X24" s="1476">
        <v>473</v>
      </c>
      <c r="Y24" s="1476">
        <v>278</v>
      </c>
      <c r="Z24" s="1329"/>
    </row>
    <row r="25" spans="1:26" ht="12.75" customHeight="1" x14ac:dyDescent="0.2">
      <c r="A25" s="1369"/>
      <c r="B25" s="1365" t="s">
        <v>361</v>
      </c>
      <c r="C25" s="1371">
        <v>0</v>
      </c>
      <c r="D25" s="1374">
        <v>0</v>
      </c>
      <c r="E25" s="1339"/>
      <c r="F25" s="1086">
        <v>0</v>
      </c>
      <c r="G25" s="1420">
        <v>0</v>
      </c>
      <c r="H25" s="1420">
        <v>0</v>
      </c>
      <c r="I25" s="1523">
        <v>0</v>
      </c>
      <c r="J25" s="1771">
        <v>0</v>
      </c>
      <c r="K25" s="1420">
        <v>0</v>
      </c>
      <c r="L25" s="1420">
        <v>0</v>
      </c>
      <c r="M25" s="1446">
        <v>0</v>
      </c>
      <c r="N25" s="2213">
        <v>0</v>
      </c>
      <c r="O25" s="1448"/>
      <c r="P25" s="1038">
        <v>0</v>
      </c>
      <c r="Q25" s="1038">
        <v>0</v>
      </c>
      <c r="R25" s="1623">
        <v>0</v>
      </c>
      <c r="S25" s="1374">
        <v>0</v>
      </c>
      <c r="T25" s="1390"/>
      <c r="U25" s="1180">
        <v>0</v>
      </c>
      <c r="V25" s="1541">
        <v>0</v>
      </c>
      <c r="W25" s="1541">
        <v>0</v>
      </c>
      <c r="X25" s="1476">
        <v>22342</v>
      </c>
      <c r="Y25" s="1541">
        <v>0</v>
      </c>
      <c r="Z25" s="1329"/>
    </row>
    <row r="26" spans="1:26" ht="12.75" customHeight="1" x14ac:dyDescent="0.2">
      <c r="A26" s="1369"/>
      <c r="B26" s="1365"/>
      <c r="C26" s="1372">
        <v>-7971</v>
      </c>
      <c r="D26" s="1373">
        <v>-0.61160131972684728</v>
      </c>
      <c r="E26" s="1339"/>
      <c r="F26" s="1717">
        <v>5062</v>
      </c>
      <c r="G26" s="1518">
        <v>6271</v>
      </c>
      <c r="H26" s="1518">
        <v>8691</v>
      </c>
      <c r="I26" s="1519">
        <v>9364</v>
      </c>
      <c r="J26" s="1192">
        <v>13033</v>
      </c>
      <c r="K26" s="1518">
        <v>13738</v>
      </c>
      <c r="L26" s="1518">
        <v>8210</v>
      </c>
      <c r="M26" s="1518">
        <v>6849</v>
      </c>
      <c r="N26" s="1120">
        <v>13263</v>
      </c>
      <c r="O26" s="1448"/>
      <c r="P26" s="1518">
        <v>29388</v>
      </c>
      <c r="Q26" s="1518">
        <v>41830</v>
      </c>
      <c r="R26" s="1449">
        <v>-12442</v>
      </c>
      <c r="S26" s="1450">
        <v>-0.2974420272531676</v>
      </c>
      <c r="T26" s="1388"/>
      <c r="U26" s="1918">
        <v>29388</v>
      </c>
      <c r="V26" s="1643">
        <v>41830</v>
      </c>
      <c r="W26" s="1643">
        <v>42566</v>
      </c>
      <c r="X26" s="1643">
        <v>55027</v>
      </c>
      <c r="Y26" s="1451">
        <v>34922</v>
      </c>
      <c r="Z26" s="1329"/>
    </row>
    <row r="27" spans="1:26" s="1349" customFormat="1" ht="24.95" customHeight="1" x14ac:dyDescent="0.2">
      <c r="A27" s="2406" t="s">
        <v>168</v>
      </c>
      <c r="B27" s="2407"/>
      <c r="C27" s="1372">
        <v>-8845</v>
      </c>
      <c r="D27" s="1373">
        <v>-1.2512377988400056</v>
      </c>
      <c r="E27" s="1344"/>
      <c r="F27" s="1684">
        <v>-1776</v>
      </c>
      <c r="G27" s="1452">
        <v>25</v>
      </c>
      <c r="H27" s="1452">
        <v>762</v>
      </c>
      <c r="I27" s="1453">
        <v>2967</v>
      </c>
      <c r="J27" s="1452">
        <v>7069</v>
      </c>
      <c r="K27" s="1452">
        <v>8379</v>
      </c>
      <c r="L27" s="1452">
        <v>1059</v>
      </c>
      <c r="M27" s="1452">
        <v>-1315</v>
      </c>
      <c r="N27" s="2212">
        <v>7078</v>
      </c>
      <c r="O27" s="1440"/>
      <c r="P27" s="1452">
        <v>1978</v>
      </c>
      <c r="Q27" s="1452">
        <v>15192</v>
      </c>
      <c r="R27" s="1269">
        <v>-13214</v>
      </c>
      <c r="S27" s="1373">
        <v>-0.86979989468141128</v>
      </c>
      <c r="T27" s="1388"/>
      <c r="U27" s="1493">
        <v>1978</v>
      </c>
      <c r="V27" s="1638">
        <v>15192</v>
      </c>
      <c r="W27" s="1638">
        <v>17127</v>
      </c>
      <c r="X27" s="1638">
        <v>-23889</v>
      </c>
      <c r="Y27" s="1277">
        <v>6686</v>
      </c>
      <c r="Z27" s="1348"/>
    </row>
    <row r="28" spans="1:26" s="1349" customFormat="1" ht="12.75" customHeight="1" x14ac:dyDescent="0.2">
      <c r="A28" s="1686"/>
      <c r="B28" s="1379" t="s">
        <v>313</v>
      </c>
      <c r="C28" s="1372">
        <v>-267</v>
      </c>
      <c r="D28" s="1373">
        <v>-0.94346289752650181</v>
      </c>
      <c r="E28" s="1339"/>
      <c r="F28" s="1528">
        <v>16</v>
      </c>
      <c r="G28" s="1528">
        <v>89</v>
      </c>
      <c r="H28" s="1528">
        <v>90</v>
      </c>
      <c r="I28" s="1274">
        <v>91</v>
      </c>
      <c r="J28" s="1528">
        <v>283</v>
      </c>
      <c r="K28" s="1528">
        <v>0</v>
      </c>
      <c r="L28" s="1528">
        <v>0</v>
      </c>
      <c r="M28" s="1269">
        <v>0</v>
      </c>
      <c r="N28" s="2214">
        <v>0</v>
      </c>
      <c r="O28" s="1530"/>
      <c r="P28" s="1269">
        <v>286</v>
      </c>
      <c r="Q28" s="1269">
        <v>283</v>
      </c>
      <c r="R28" s="1269">
        <v>3</v>
      </c>
      <c r="S28" s="1374" t="s">
        <v>38</v>
      </c>
      <c r="T28" s="1570"/>
      <c r="U28" s="1918">
        <v>286</v>
      </c>
      <c r="V28" s="1169">
        <v>283</v>
      </c>
      <c r="W28" s="1542">
        <v>0</v>
      </c>
      <c r="X28" s="1542">
        <v>0</v>
      </c>
      <c r="Y28" s="1277">
        <v>0</v>
      </c>
      <c r="Z28" s="1348"/>
    </row>
    <row r="29" spans="1:26" s="1349" customFormat="1" ht="18.75" customHeight="1" thickBot="1" x14ac:dyDescent="0.25">
      <c r="A29" s="2406" t="s">
        <v>69</v>
      </c>
      <c r="B29" s="2426"/>
      <c r="C29" s="1380">
        <v>-8578</v>
      </c>
      <c r="D29" s="1381">
        <v>-1.2640730916592986</v>
      </c>
      <c r="E29" s="1339"/>
      <c r="F29" s="1685">
        <v>-1792</v>
      </c>
      <c r="G29" s="1294">
        <v>-64</v>
      </c>
      <c r="H29" s="1294">
        <v>672</v>
      </c>
      <c r="I29" s="1298">
        <v>2876</v>
      </c>
      <c r="J29" s="1294">
        <v>6786</v>
      </c>
      <c r="K29" s="1294">
        <v>8379</v>
      </c>
      <c r="L29" s="1294">
        <v>1059</v>
      </c>
      <c r="M29" s="1294">
        <v>-1315</v>
      </c>
      <c r="N29" s="1295">
        <v>7078</v>
      </c>
      <c r="O29" s="1530"/>
      <c r="P29" s="1294">
        <v>1692</v>
      </c>
      <c r="Q29" s="1294">
        <v>14909</v>
      </c>
      <c r="R29" s="1294">
        <v>-13217</v>
      </c>
      <c r="S29" s="1381">
        <v>-0.88651150311892146</v>
      </c>
      <c r="T29" s="1455"/>
      <c r="U29" s="2249">
        <v>1692</v>
      </c>
      <c r="V29" s="1300">
        <v>14909</v>
      </c>
      <c r="W29" s="1300">
        <v>17127</v>
      </c>
      <c r="X29" s="1300">
        <v>-23889</v>
      </c>
      <c r="Y29" s="1300">
        <v>6686</v>
      </c>
      <c r="Z29" s="1348"/>
    </row>
    <row r="30" spans="1:26" ht="12.75" customHeight="1" thickTop="1" x14ac:dyDescent="0.2">
      <c r="A30" s="1377"/>
      <c r="B30" s="1377"/>
      <c r="C30" s="1186"/>
      <c r="D30" s="1383"/>
      <c r="E30" s="1352"/>
      <c r="F30" s="1655"/>
      <c r="G30" s="1461"/>
      <c r="H30" s="1461"/>
      <c r="I30" s="1365"/>
      <c r="J30" s="1461"/>
      <c r="K30" s="1461"/>
      <c r="L30" s="1461"/>
      <c r="M30" s="1365"/>
      <c r="N30" s="1461"/>
      <c r="O30" s="1365"/>
      <c r="P30" s="1365"/>
      <c r="Q30" s="1388"/>
      <c r="R30" s="1421"/>
      <c r="S30" s="1383"/>
      <c r="T30" s="1388"/>
      <c r="U30" s="1388"/>
      <c r="V30" s="1388"/>
      <c r="W30" s="1388"/>
      <c r="X30" s="1388"/>
      <c r="Y30" s="1388"/>
      <c r="Z30" s="1329"/>
    </row>
    <row r="31" spans="1:26" ht="12.75" customHeight="1" x14ac:dyDescent="0.2">
      <c r="A31" s="1385" t="s">
        <v>71</v>
      </c>
      <c r="B31" s="1386"/>
      <c r="C31" s="1384">
        <v>22.670757711447642</v>
      </c>
      <c r="D31" s="1383"/>
      <c r="E31" s="1352"/>
      <c r="F31" s="1353">
        <v>0.73128423615337801</v>
      </c>
      <c r="G31" s="1397">
        <v>0.53796060991105465</v>
      </c>
      <c r="H31" s="1397">
        <v>0.58605733629535595</v>
      </c>
      <c r="I31" s="1397">
        <v>0.54229178493228447</v>
      </c>
      <c r="J31" s="1397">
        <v>0.50457665903890159</v>
      </c>
      <c r="K31" s="1397">
        <v>0.49884704073789393</v>
      </c>
      <c r="L31" s="1397">
        <v>0.55691013054266914</v>
      </c>
      <c r="M31" s="1397">
        <v>0.7979761474521142</v>
      </c>
      <c r="N31" s="1397">
        <v>0.5223440342166068</v>
      </c>
      <c r="O31" s="1365"/>
      <c r="P31" s="1397">
        <v>0.57441178345979726</v>
      </c>
      <c r="Q31" s="1397">
        <v>0.53933569499491429</v>
      </c>
      <c r="R31" s="1384">
        <v>3.5076088464882971</v>
      </c>
      <c r="S31" s="1383"/>
      <c r="T31" s="1388"/>
      <c r="U31" s="1397">
        <v>0.57441178345979726</v>
      </c>
      <c r="V31" s="1397">
        <v>0.53933569499491429</v>
      </c>
      <c r="W31" s="1397">
        <v>0.53079925619419366</v>
      </c>
      <c r="X31" s="1397">
        <v>0.6287494379857409</v>
      </c>
      <c r="Y31" s="1397">
        <v>0.52367333205152855</v>
      </c>
      <c r="Z31" s="1329"/>
    </row>
    <row r="32" spans="1:26" ht="12.75" customHeight="1" x14ac:dyDescent="0.2">
      <c r="A32" s="1128" t="s">
        <v>627</v>
      </c>
      <c r="B32" s="1386"/>
      <c r="C32" s="1384">
        <v>35.771139919217831</v>
      </c>
      <c r="D32" s="1383"/>
      <c r="E32" s="1352"/>
      <c r="F32" s="1353">
        <v>0.88527084601339012</v>
      </c>
      <c r="G32" s="1397">
        <v>0.61689961880559085</v>
      </c>
      <c r="H32" s="1397">
        <v>0.63535385591875593</v>
      </c>
      <c r="I32" s="1397">
        <v>0.58243451463790452</v>
      </c>
      <c r="J32" s="1397">
        <v>0.52755944682121181</v>
      </c>
      <c r="K32" s="1397">
        <v>0.52294615002034639</v>
      </c>
      <c r="L32" s="1397">
        <v>0.60524328406516348</v>
      </c>
      <c r="M32" s="1397">
        <v>0.87712323816407667</v>
      </c>
      <c r="N32" s="1397">
        <v>0.54304114841944839</v>
      </c>
      <c r="O32" s="1365"/>
      <c r="P32" s="1397">
        <v>0.63702735446024361</v>
      </c>
      <c r="Q32" s="1397">
        <v>0.57232296306688646</v>
      </c>
      <c r="R32" s="1384">
        <v>6.4704391393357152</v>
      </c>
      <c r="S32" s="1383"/>
      <c r="T32" s="1388"/>
      <c r="U32" s="1397">
        <v>0.63702735446024361</v>
      </c>
      <c r="V32" s="1397">
        <v>0.57232296306688646</v>
      </c>
      <c r="W32" s="1397">
        <v>0.55842393580486827</v>
      </c>
      <c r="X32" s="1397">
        <v>0.69105273299505432</v>
      </c>
      <c r="Y32" s="1397">
        <v>0.56328109978850216</v>
      </c>
      <c r="Z32" s="1329"/>
    </row>
    <row r="33" spans="1:26" ht="12.75" customHeight="1" x14ac:dyDescent="0.2">
      <c r="A33" s="1385" t="s">
        <v>72</v>
      </c>
      <c r="B33" s="1386"/>
      <c r="C33" s="1384">
        <v>53.441989372156961</v>
      </c>
      <c r="D33" s="1383"/>
      <c r="E33" s="1352"/>
      <c r="F33" s="1353">
        <v>0.65520389531345102</v>
      </c>
      <c r="G33" s="1397">
        <v>0.37912960609911056</v>
      </c>
      <c r="H33" s="1397">
        <v>0.28403681370993333</v>
      </c>
      <c r="I33" s="1397">
        <v>0.17695239639931878</v>
      </c>
      <c r="J33" s="1397">
        <v>0.12078400159188141</v>
      </c>
      <c r="K33" s="1397">
        <v>9.8205000678211335E-2</v>
      </c>
      <c r="L33" s="1397">
        <v>0.28050490883590462</v>
      </c>
      <c r="M33" s="1397">
        <v>0.36049873509215757</v>
      </c>
      <c r="N33" s="1397">
        <v>0.10899169165724398</v>
      </c>
      <c r="O33" s="1365"/>
      <c r="P33" s="1397">
        <v>0.29991073136517249</v>
      </c>
      <c r="Q33" s="1397">
        <v>0.16125355126091684</v>
      </c>
      <c r="R33" s="1384">
        <v>13.865718010425566</v>
      </c>
      <c r="S33" s="1383"/>
      <c r="T33" s="1388"/>
      <c r="U33" s="1397">
        <v>0.29991073136517249</v>
      </c>
      <c r="V33" s="1397">
        <v>0.16125355126091684</v>
      </c>
      <c r="W33" s="1397">
        <v>0.15465800010051431</v>
      </c>
      <c r="X33" s="1397">
        <v>1.0761449033335475</v>
      </c>
      <c r="Y33" s="1397">
        <v>0.27602864833685831</v>
      </c>
      <c r="Z33" s="1329"/>
    </row>
    <row r="34" spans="1:26" s="1673" customFormat="1" ht="12.75" customHeight="1" x14ac:dyDescent="0.2">
      <c r="A34" s="1386" t="s">
        <v>73</v>
      </c>
      <c r="B34" s="1386"/>
      <c r="C34" s="1384">
        <v>89.213129291374798</v>
      </c>
      <c r="D34" s="1383"/>
      <c r="E34" s="1352"/>
      <c r="F34" s="1353">
        <v>1.5404747413268411</v>
      </c>
      <c r="G34" s="1397">
        <v>0.99602922490470136</v>
      </c>
      <c r="H34" s="1397">
        <v>0.91939066962868932</v>
      </c>
      <c r="I34" s="1397">
        <v>0.75938691103722322</v>
      </c>
      <c r="J34" s="1397">
        <v>0.64834344841309322</v>
      </c>
      <c r="K34" s="1397">
        <v>0.62115115069855764</v>
      </c>
      <c r="L34" s="1397">
        <v>0.8857481929010681</v>
      </c>
      <c r="M34" s="1397">
        <v>1.2376219732562341</v>
      </c>
      <c r="N34" s="1397">
        <v>0.65203284007669238</v>
      </c>
      <c r="O34" s="1365"/>
      <c r="P34" s="1397">
        <v>0.93693808582541604</v>
      </c>
      <c r="Q34" s="1397">
        <v>0.73357651432780335</v>
      </c>
      <c r="R34" s="1384">
        <v>20.33615714976127</v>
      </c>
      <c r="S34" s="1383"/>
      <c r="T34" s="1365"/>
      <c r="U34" s="1397">
        <v>0.93693808582541604</v>
      </c>
      <c r="V34" s="1397">
        <v>0.73357651432780335</v>
      </c>
      <c r="W34" s="1397">
        <v>0.71308193590538249</v>
      </c>
      <c r="X34" s="1397">
        <v>1.7671976363286017</v>
      </c>
      <c r="Y34" s="1397">
        <v>0.83930974812536052</v>
      </c>
      <c r="Z34" s="1331"/>
    </row>
    <row r="35" spans="1:26" s="1673" customFormat="1" ht="12.75" customHeight="1" x14ac:dyDescent="0.2">
      <c r="A35" s="1385" t="s">
        <v>167</v>
      </c>
      <c r="B35" s="1386"/>
      <c r="C35" s="1384">
        <v>-89.213129291374798</v>
      </c>
      <c r="D35" s="1383"/>
      <c r="E35" s="1352"/>
      <c r="F35" s="1353">
        <v>-0.54047474132684115</v>
      </c>
      <c r="G35" s="1397">
        <v>3.9707750952986025E-3</v>
      </c>
      <c r="H35" s="1397">
        <v>8.0609330371310697E-2</v>
      </c>
      <c r="I35" s="1397">
        <v>0.24061308896277675</v>
      </c>
      <c r="J35" s="1397">
        <v>0.35165655158690678</v>
      </c>
      <c r="K35" s="1397">
        <v>0.3788488493014423</v>
      </c>
      <c r="L35" s="1397">
        <v>0.11425180709893193</v>
      </c>
      <c r="M35" s="1397">
        <v>-0.23762197325623419</v>
      </c>
      <c r="N35" s="1397">
        <v>0.34796715992330762</v>
      </c>
      <c r="O35" s="1464"/>
      <c r="P35" s="1397">
        <v>6.3061914174583941E-2</v>
      </c>
      <c r="Q35" s="1397">
        <v>0.2664234856721967</v>
      </c>
      <c r="R35" s="1384">
        <v>-20.336157149761274</v>
      </c>
      <c r="S35" s="1383"/>
      <c r="T35" s="1464"/>
      <c r="U35" s="1397">
        <v>6.3061914174583941E-2</v>
      </c>
      <c r="V35" s="1397">
        <v>0.2664234856721967</v>
      </c>
      <c r="W35" s="1397">
        <v>0.28691806409461745</v>
      </c>
      <c r="X35" s="1397">
        <v>-0.76719763632860172</v>
      </c>
      <c r="Y35" s="1397">
        <v>0.16069025187463951</v>
      </c>
      <c r="Z35" s="1331"/>
    </row>
    <row r="36" spans="1:26" s="1673" customFormat="1" ht="12.75" customHeight="1" x14ac:dyDescent="0.2">
      <c r="A36" s="1385" t="s">
        <v>74</v>
      </c>
      <c r="B36" s="1365"/>
      <c r="C36" s="1384">
        <v>-33.757835041289425</v>
      </c>
      <c r="D36" s="1365"/>
      <c r="E36" s="1332"/>
      <c r="F36" s="1332"/>
      <c r="G36" s="1397">
        <v>-1.0165184243964422E-2</v>
      </c>
      <c r="H36" s="1397">
        <v>7.1088543319581088E-2</v>
      </c>
      <c r="I36" s="1397">
        <v>0.23323331441083447</v>
      </c>
      <c r="J36" s="1397">
        <v>0.33757835041289425</v>
      </c>
      <c r="K36" s="1397">
        <v>0.3788488493014423</v>
      </c>
      <c r="L36" s="1397">
        <v>0.11425180709893193</v>
      </c>
      <c r="M36" s="1397">
        <v>-0.23762197325623419</v>
      </c>
      <c r="N36" s="1397">
        <v>0.34796715992330762</v>
      </c>
      <c r="O36" s="1365"/>
      <c r="P36" s="1397">
        <v>5.3943760760058662E-2</v>
      </c>
      <c r="Q36" s="1397">
        <v>0.26146048893409563</v>
      </c>
      <c r="R36" s="1384">
        <v>-20.751672817403698</v>
      </c>
      <c r="S36" s="1704"/>
      <c r="T36" s="1365"/>
      <c r="U36" s="1397">
        <v>5.3943760760058662E-2</v>
      </c>
      <c r="V36" s="1397">
        <v>0.26146048893409563</v>
      </c>
      <c r="W36" s="1397">
        <v>0.28691806409461745</v>
      </c>
      <c r="X36" s="1397">
        <v>-0.76719763632860172</v>
      </c>
      <c r="Y36" s="1397">
        <v>0.16069025187463951</v>
      </c>
      <c r="Z36" s="1331"/>
    </row>
    <row r="37" spans="1:26" s="1673" customFormat="1" ht="12.75" customHeight="1" x14ac:dyDescent="0.2">
      <c r="A37" s="1385"/>
      <c r="B37" s="1365"/>
      <c r="C37" s="1365"/>
      <c r="D37" s="1365"/>
      <c r="E37" s="1332"/>
      <c r="F37" s="1332"/>
      <c r="G37" s="1365"/>
      <c r="H37" s="1365"/>
      <c r="I37" s="1365"/>
      <c r="J37" s="1365"/>
      <c r="K37" s="1365"/>
      <c r="L37" s="1365"/>
      <c r="M37" s="1365"/>
      <c r="N37" s="1365"/>
      <c r="O37" s="1365"/>
      <c r="P37" s="1365"/>
      <c r="Q37" s="1365"/>
      <c r="R37" s="1704"/>
      <c r="S37" s="1704"/>
      <c r="T37" s="1365"/>
      <c r="U37" s="1365"/>
      <c r="V37" s="1365"/>
      <c r="W37" s="1365"/>
      <c r="X37" s="1365"/>
      <c r="Y37" s="1365"/>
      <c r="Z37" s="1331"/>
    </row>
    <row r="38" spans="1:26" s="1673" customFormat="1" ht="12.75" customHeight="1" x14ac:dyDescent="0.2">
      <c r="A38" s="953" t="s">
        <v>483</v>
      </c>
      <c r="B38" s="1365"/>
      <c r="C38" s="998">
        <v>24</v>
      </c>
      <c r="D38" s="1383">
        <v>2.891566265060241E-2</v>
      </c>
      <c r="E38" s="1332"/>
      <c r="F38" s="1354">
        <v>854</v>
      </c>
      <c r="G38" s="1365">
        <v>771</v>
      </c>
      <c r="H38" s="1365">
        <v>834</v>
      </c>
      <c r="I38" s="1365">
        <v>845</v>
      </c>
      <c r="J38" s="1469">
        <v>830</v>
      </c>
      <c r="K38" s="1365">
        <v>928</v>
      </c>
      <c r="L38" s="1365">
        <v>866</v>
      </c>
      <c r="M38" s="1365">
        <v>860</v>
      </c>
      <c r="N38" s="1469">
        <v>862</v>
      </c>
      <c r="O38" s="1365"/>
      <c r="P38" s="1130">
        <v>854</v>
      </c>
      <c r="Q38" s="1771">
        <v>830</v>
      </c>
      <c r="R38" s="1421">
        <v>24</v>
      </c>
      <c r="S38" s="1383">
        <v>2.891566265060241E-2</v>
      </c>
      <c r="T38" s="1365"/>
      <c r="U38" s="1186">
        <v>854</v>
      </c>
      <c r="V38" s="1186">
        <v>830</v>
      </c>
      <c r="W38" s="1186">
        <v>862</v>
      </c>
      <c r="X38" s="1186">
        <v>731</v>
      </c>
      <c r="Y38" s="1186">
        <v>836</v>
      </c>
      <c r="Z38" s="1331"/>
    </row>
    <row r="39" spans="1:26" s="1673" customFormat="1" ht="12.75" customHeight="1" x14ac:dyDescent="0.2">
      <c r="A39" s="1365"/>
      <c r="B39" s="1365"/>
      <c r="C39" s="1365"/>
      <c r="D39" s="1365"/>
      <c r="E39" s="1332"/>
      <c r="F39" s="1332"/>
      <c r="G39" s="1365"/>
      <c r="H39" s="1365"/>
      <c r="I39" s="1365"/>
      <c r="J39" s="1365"/>
      <c r="K39" s="1365"/>
      <c r="L39" s="1365"/>
      <c r="M39" s="1365"/>
      <c r="N39" s="1365"/>
      <c r="O39" s="1365"/>
      <c r="P39" s="1365"/>
      <c r="Q39" s="1365"/>
      <c r="R39" s="1704"/>
      <c r="S39" s="1704"/>
      <c r="T39" s="1365"/>
      <c r="U39" s="1365"/>
      <c r="V39" s="1365"/>
      <c r="W39" s="1365"/>
      <c r="X39" s="1365"/>
      <c r="Y39" s="1365"/>
      <c r="Z39" s="1331"/>
    </row>
    <row r="40" spans="1:26" s="1673" customFormat="1" ht="12.75" customHeight="1" x14ac:dyDescent="0.2">
      <c r="A40" s="1386" t="s">
        <v>84</v>
      </c>
      <c r="B40" s="1386"/>
      <c r="C40" s="998">
        <v>0</v>
      </c>
      <c r="D40" s="1383">
        <v>0</v>
      </c>
      <c r="E40" s="1352"/>
      <c r="F40" s="1086">
        <v>68</v>
      </c>
      <c r="G40" s="1130">
        <v>68</v>
      </c>
      <c r="H40" s="1130">
        <v>66</v>
      </c>
      <c r="I40" s="1130">
        <v>68</v>
      </c>
      <c r="J40" s="1130">
        <v>68</v>
      </c>
      <c r="K40" s="1130">
        <v>68</v>
      </c>
      <c r="L40" s="1130">
        <v>67</v>
      </c>
      <c r="M40" s="1130">
        <v>69</v>
      </c>
      <c r="N40" s="1130">
        <v>69</v>
      </c>
      <c r="O40" s="1186"/>
      <c r="P40" s="1130">
        <v>68</v>
      </c>
      <c r="Q40" s="1771">
        <v>68</v>
      </c>
      <c r="R40" s="1421">
        <v>0</v>
      </c>
      <c r="S40" s="1383">
        <v>0</v>
      </c>
      <c r="T40" s="1365"/>
      <c r="U40" s="1186">
        <v>68</v>
      </c>
      <c r="V40" s="1130">
        <v>68</v>
      </c>
      <c r="W40" s="1130">
        <v>69</v>
      </c>
      <c r="X40" s="1130">
        <v>65</v>
      </c>
      <c r="Y40" s="1186">
        <v>69</v>
      </c>
      <c r="Z40" s="1331"/>
    </row>
    <row r="41" spans="1:26" ht="12.75" customHeight="1" x14ac:dyDescent="0.2">
      <c r="A41" s="1386"/>
      <c r="B41" s="1386"/>
      <c r="C41" s="1384"/>
      <c r="D41" s="1383"/>
      <c r="E41" s="1352"/>
      <c r="F41" s="1352"/>
      <c r="G41" s="1383"/>
      <c r="H41" s="1383"/>
      <c r="I41" s="1130"/>
      <c r="J41" s="1383"/>
      <c r="K41" s="1383"/>
      <c r="L41" s="1383"/>
      <c r="M41" s="1130"/>
      <c r="N41" s="1383"/>
      <c r="O41" s="1186"/>
      <c r="P41" s="1186"/>
      <c r="Q41" s="1166"/>
      <c r="R41" s="1421"/>
      <c r="S41" s="1383"/>
      <c r="T41" s="1388"/>
      <c r="U41" s="1186"/>
      <c r="V41" s="1186"/>
      <c r="W41" s="1186"/>
      <c r="X41" s="1186"/>
      <c r="Y41" s="1186"/>
      <c r="Z41" s="1329"/>
    </row>
    <row r="42" spans="1:26" ht="18" customHeight="1" x14ac:dyDescent="0.2">
      <c r="A42" s="1389" t="s">
        <v>622</v>
      </c>
      <c r="B42" s="1365"/>
      <c r="C42" s="1390"/>
      <c r="D42" s="1390"/>
      <c r="E42" s="1338"/>
      <c r="F42" s="1332"/>
      <c r="G42" s="1365"/>
      <c r="H42" s="1365"/>
      <c r="I42" s="1365"/>
      <c r="J42" s="1365"/>
      <c r="K42" s="1365"/>
      <c r="L42" s="1365"/>
      <c r="M42" s="1365"/>
      <c r="N42" s="1365"/>
      <c r="O42" s="1365"/>
      <c r="P42" s="1377"/>
      <c r="Q42" s="1390"/>
      <c r="R42" s="1416"/>
      <c r="S42" s="1416"/>
      <c r="T42" s="1390"/>
      <c r="U42" s="1390"/>
      <c r="V42" s="1390"/>
      <c r="W42" s="1390"/>
      <c r="X42" s="1390"/>
      <c r="Y42" s="1390"/>
      <c r="Z42" s="1329"/>
    </row>
    <row r="43" spans="1:26" ht="12.75" customHeight="1" x14ac:dyDescent="0.2">
      <c r="A43" s="1391"/>
      <c r="B43" s="1365"/>
      <c r="C43" s="1390"/>
      <c r="D43" s="1390"/>
      <c r="E43" s="1338"/>
      <c r="F43" s="1656"/>
      <c r="G43" s="1544"/>
      <c r="H43" s="1544"/>
      <c r="I43" s="1365"/>
      <c r="J43" s="1544"/>
      <c r="K43" s="1544"/>
      <c r="L43" s="1544"/>
      <c r="M43" s="1365"/>
      <c r="N43" s="1544"/>
      <c r="O43" s="1365"/>
      <c r="P43" s="1377"/>
      <c r="Q43" s="1390"/>
      <c r="R43" s="1416"/>
      <c r="S43" s="1416"/>
      <c r="T43" s="1390"/>
      <c r="U43" s="1390"/>
      <c r="V43" s="1390"/>
      <c r="W43" s="1390"/>
      <c r="X43" s="1390"/>
      <c r="Y43" s="1390"/>
      <c r="Z43" s="1329"/>
    </row>
    <row r="44" spans="1:26" ht="12.75" customHeight="1" x14ac:dyDescent="0.2">
      <c r="A44" s="1364"/>
      <c r="B44" s="1365"/>
      <c r="C44" s="2420" t="s">
        <v>667</v>
      </c>
      <c r="D44" s="2421"/>
      <c r="E44" s="1333"/>
      <c r="F44" s="1338"/>
      <c r="G44" s="1388"/>
      <c r="H44" s="1388"/>
      <c r="I44" s="1517"/>
      <c r="J44" s="1388"/>
      <c r="K44" s="1365"/>
      <c r="L44" s="1388"/>
      <c r="M44" s="1517"/>
      <c r="N44" s="1388"/>
      <c r="O44" s="1415"/>
      <c r="P44" s="981" t="s">
        <v>668</v>
      </c>
      <c r="Q44" s="981"/>
      <c r="R44" s="981" t="s">
        <v>551</v>
      </c>
      <c r="S44" s="982"/>
      <c r="T44" s="1405"/>
      <c r="U44" s="1406"/>
      <c r="V44" s="1406"/>
      <c r="W44" s="1406"/>
      <c r="X44" s="1406"/>
      <c r="Y44" s="1406"/>
      <c r="Z44" s="1674"/>
    </row>
    <row r="45" spans="1:26" ht="12.75" customHeight="1" x14ac:dyDescent="0.2">
      <c r="A45" s="1364" t="s">
        <v>482</v>
      </c>
      <c r="B45" s="1365"/>
      <c r="C45" s="2424" t="s">
        <v>35</v>
      </c>
      <c r="D45" s="2425"/>
      <c r="E45" s="1350"/>
      <c r="F45" s="906" t="s">
        <v>546</v>
      </c>
      <c r="G45" s="985" t="s">
        <v>547</v>
      </c>
      <c r="H45" s="985" t="s">
        <v>548</v>
      </c>
      <c r="I45" s="986" t="s">
        <v>549</v>
      </c>
      <c r="J45" s="985" t="s">
        <v>497</v>
      </c>
      <c r="K45" s="985" t="s">
        <v>496</v>
      </c>
      <c r="L45" s="985" t="s">
        <v>495</v>
      </c>
      <c r="M45" s="986" t="s">
        <v>494</v>
      </c>
      <c r="N45" s="985" t="s">
        <v>363</v>
      </c>
      <c r="O45" s="1404"/>
      <c r="P45" s="983" t="s">
        <v>546</v>
      </c>
      <c r="Q45" s="983" t="s">
        <v>497</v>
      </c>
      <c r="R45" s="2310" t="s">
        <v>35</v>
      </c>
      <c r="S45" s="2311"/>
      <c r="T45" s="1468"/>
      <c r="U45" s="987" t="s">
        <v>669</v>
      </c>
      <c r="V45" s="987" t="s">
        <v>526</v>
      </c>
      <c r="W45" s="987" t="s">
        <v>490</v>
      </c>
      <c r="X45" s="987" t="s">
        <v>360</v>
      </c>
      <c r="Y45" s="987" t="s">
        <v>342</v>
      </c>
      <c r="Z45" s="1674"/>
    </row>
    <row r="46" spans="1:26" ht="12.75" customHeight="1" x14ac:dyDescent="0.2">
      <c r="A46" s="1392"/>
      <c r="B46" s="1388" t="s">
        <v>4</v>
      </c>
      <c r="C46" s="1282">
        <v>-16816</v>
      </c>
      <c r="D46" s="1450">
        <v>-0.83653367824097102</v>
      </c>
      <c r="E46" s="2233"/>
      <c r="F46" s="1094">
        <v>3286</v>
      </c>
      <c r="G46" s="1469">
        <v>6296</v>
      </c>
      <c r="H46" s="1469">
        <v>9453</v>
      </c>
      <c r="I46" s="1470">
        <v>12331</v>
      </c>
      <c r="J46" s="1186">
        <v>20102</v>
      </c>
      <c r="K46" s="1469">
        <v>22117</v>
      </c>
      <c r="L46" s="1469">
        <v>9269</v>
      </c>
      <c r="M46" s="1470">
        <v>5534</v>
      </c>
      <c r="N46" s="1186">
        <v>20341</v>
      </c>
      <c r="O46" s="2235"/>
      <c r="P46" s="2162">
        <v>31366</v>
      </c>
      <c r="Q46" s="1521">
        <v>57022</v>
      </c>
      <c r="R46" s="1449">
        <v>-25656</v>
      </c>
      <c r="S46" s="1450">
        <v>-0.4499316053453053</v>
      </c>
      <c r="T46" s="1390"/>
      <c r="U46" s="2251">
        <v>31366</v>
      </c>
      <c r="V46" s="1493">
        <v>57022</v>
      </c>
      <c r="W46" s="1493">
        <v>59693</v>
      </c>
      <c r="X46" s="1493">
        <v>31138</v>
      </c>
      <c r="Y46" s="1493">
        <v>41608</v>
      </c>
      <c r="Z46" s="1679"/>
    </row>
    <row r="47" spans="1:26" s="1539" customFormat="1" ht="12.75" customHeight="1" x14ac:dyDescent="0.2">
      <c r="A47" s="1390"/>
      <c r="B47" s="1388" t="s">
        <v>77</v>
      </c>
      <c r="C47" s="1270">
        <v>-7971</v>
      </c>
      <c r="D47" s="1374">
        <v>-0.61160131972684728</v>
      </c>
      <c r="E47" s="2236"/>
      <c r="F47" s="1094">
        <v>5062</v>
      </c>
      <c r="G47" s="1469">
        <v>6271</v>
      </c>
      <c r="H47" s="1469">
        <v>8691</v>
      </c>
      <c r="I47" s="1168">
        <v>9364</v>
      </c>
      <c r="J47" s="1186">
        <v>13033</v>
      </c>
      <c r="K47" s="1469">
        <v>13738</v>
      </c>
      <c r="L47" s="1469">
        <v>8210</v>
      </c>
      <c r="M47" s="1168">
        <v>6849</v>
      </c>
      <c r="N47" s="1186">
        <v>13012</v>
      </c>
      <c r="O47" s="2235"/>
      <c r="P47" s="1688">
        <v>29388</v>
      </c>
      <c r="Q47" s="1428">
        <v>41830</v>
      </c>
      <c r="R47" s="1479">
        <v>-12442</v>
      </c>
      <c r="S47" s="1480">
        <v>-0.2974420272531676</v>
      </c>
      <c r="T47" s="1390"/>
      <c r="U47" s="1493">
        <v>29388</v>
      </c>
      <c r="V47" s="1493">
        <v>41830</v>
      </c>
      <c r="W47" s="1493">
        <v>41577</v>
      </c>
      <c r="X47" s="1493">
        <v>29887</v>
      </c>
      <c r="Y47" s="1493">
        <v>32019</v>
      </c>
      <c r="Z47" s="1680"/>
    </row>
    <row r="48" spans="1:26" s="1539" customFormat="1" ht="12.75" customHeight="1" x14ac:dyDescent="0.2">
      <c r="A48" s="1390"/>
      <c r="B48" s="1379" t="s">
        <v>313</v>
      </c>
      <c r="C48" s="1270">
        <v>-267</v>
      </c>
      <c r="D48" s="1374">
        <v>-0.94346289752650181</v>
      </c>
      <c r="E48" s="2236"/>
      <c r="F48" s="1094">
        <v>16</v>
      </c>
      <c r="G48" s="1186">
        <v>89</v>
      </c>
      <c r="H48" s="1186">
        <v>90</v>
      </c>
      <c r="I48" s="1168">
        <v>91</v>
      </c>
      <c r="J48" s="1186">
        <v>283</v>
      </c>
      <c r="K48" s="1186">
        <v>0</v>
      </c>
      <c r="L48" s="1186">
        <v>0</v>
      </c>
      <c r="M48" s="1168">
        <v>0</v>
      </c>
      <c r="N48" s="1042">
        <v>0</v>
      </c>
      <c r="O48" s="1323"/>
      <c r="P48" s="1688">
        <v>286</v>
      </c>
      <c r="Q48" s="1428">
        <v>283</v>
      </c>
      <c r="R48" s="1479">
        <v>3</v>
      </c>
      <c r="S48" s="1374" t="s">
        <v>38</v>
      </c>
      <c r="T48" s="1167"/>
      <c r="U48" s="1493">
        <v>286</v>
      </c>
      <c r="V48" s="1182">
        <v>283</v>
      </c>
      <c r="W48" s="1182">
        <v>0</v>
      </c>
      <c r="X48" s="1182">
        <v>0</v>
      </c>
      <c r="Y48" s="1182">
        <v>0</v>
      </c>
      <c r="Z48" s="1680"/>
    </row>
    <row r="49" spans="1:26" s="1539" customFormat="1" ht="15.75" customHeight="1" x14ac:dyDescent="0.2">
      <c r="A49" s="1390"/>
      <c r="B49" s="1379" t="s">
        <v>69</v>
      </c>
      <c r="C49" s="1292">
        <v>-8578</v>
      </c>
      <c r="D49" s="1376">
        <v>-1.2640730916592986</v>
      </c>
      <c r="E49" s="2236"/>
      <c r="F49" s="1106">
        <v>-1792</v>
      </c>
      <c r="G49" s="1212">
        <v>-64</v>
      </c>
      <c r="H49" s="1212">
        <v>672</v>
      </c>
      <c r="I49" s="1309">
        <v>2876</v>
      </c>
      <c r="J49" s="1212">
        <v>6786</v>
      </c>
      <c r="K49" s="1212">
        <v>8379</v>
      </c>
      <c r="L49" s="1212">
        <v>1059</v>
      </c>
      <c r="M49" s="1309">
        <v>-1315</v>
      </c>
      <c r="N49" s="1212">
        <v>7329</v>
      </c>
      <c r="O49" s="1323"/>
      <c r="P49" s="1689">
        <v>1692</v>
      </c>
      <c r="Q49" s="1434">
        <v>14909</v>
      </c>
      <c r="R49" s="2283">
        <v>-13217</v>
      </c>
      <c r="S49" s="1395">
        <v>-0.88651150311892146</v>
      </c>
      <c r="T49" s="1390"/>
      <c r="U49" s="1499">
        <v>1692</v>
      </c>
      <c r="V49" s="1190">
        <v>14909</v>
      </c>
      <c r="W49" s="1190">
        <v>18116</v>
      </c>
      <c r="X49" s="1190">
        <v>1251</v>
      </c>
      <c r="Y49" s="1190">
        <v>9589</v>
      </c>
      <c r="Z49" s="1681"/>
    </row>
    <row r="50" spans="1:26" s="1539" customFormat="1" ht="12.75" customHeight="1" x14ac:dyDescent="0.2">
      <c r="A50" s="1390"/>
      <c r="B50" s="1388"/>
      <c r="C50" s="1396"/>
      <c r="D50" s="1397"/>
      <c r="E50" s="1353"/>
      <c r="F50" s="1332"/>
      <c r="G50" s="1365"/>
      <c r="H50" s="1365"/>
      <c r="I50" s="1388"/>
      <c r="J50" s="1365"/>
      <c r="K50" s="1365"/>
      <c r="L50" s="1365"/>
      <c r="M50" s="1388"/>
      <c r="N50" s="1365"/>
      <c r="O50" s="1388"/>
      <c r="P50" s="1397"/>
      <c r="Q50" s="1397"/>
      <c r="R50" s="1487"/>
      <c r="S50" s="1488"/>
      <c r="T50" s="1388"/>
      <c r="U50" s="1365"/>
      <c r="V50" s="1365"/>
      <c r="W50" s="1365"/>
      <c r="X50" s="1365"/>
      <c r="Y50" s="1365"/>
      <c r="Z50" s="1681"/>
    </row>
    <row r="51" spans="1:26" s="1539" customFormat="1" ht="12.75" customHeight="1" x14ac:dyDescent="0.2">
      <c r="A51" s="1390"/>
      <c r="B51" s="1388"/>
      <c r="C51" s="1384">
        <v>35.771139919217831</v>
      </c>
      <c r="D51" s="1397"/>
      <c r="E51" s="1353"/>
      <c r="F51" s="1353">
        <v>0.88527084601339012</v>
      </c>
      <c r="G51" s="1397">
        <v>0.61689961880559085</v>
      </c>
      <c r="H51" s="1397">
        <v>0.63535385591875593</v>
      </c>
      <c r="I51" s="1397">
        <v>0.58243451463790452</v>
      </c>
      <c r="J51" s="1397">
        <v>0.52755944682121181</v>
      </c>
      <c r="K51" s="1397">
        <v>0.52294615002034639</v>
      </c>
      <c r="L51" s="1397">
        <v>0.60524328406516348</v>
      </c>
      <c r="M51" s="1397">
        <v>0.87712323816407667</v>
      </c>
      <c r="N51" s="1397">
        <v>0.54304114841944839</v>
      </c>
      <c r="O51" s="1388"/>
      <c r="P51" s="1397">
        <v>0.63702735446024361</v>
      </c>
      <c r="Q51" s="1397">
        <v>0.57232296306688646</v>
      </c>
      <c r="R51" s="1384">
        <v>6.4704391393357152</v>
      </c>
      <c r="S51" s="1488"/>
      <c r="T51" s="1388"/>
      <c r="U51" s="1397">
        <v>0.63702735446024361</v>
      </c>
      <c r="V51" s="1397">
        <v>0.57232296306688646</v>
      </c>
      <c r="W51" s="1397">
        <v>0.55842393580486827</v>
      </c>
      <c r="X51" s="1397">
        <v>0.69105273299505432</v>
      </c>
      <c r="Y51" s="1397">
        <v>0.56328109978850216</v>
      </c>
      <c r="Z51" s="1681"/>
    </row>
    <row r="52" spans="1:26" ht="12.75" customHeight="1" x14ac:dyDescent="0.2">
      <c r="A52" s="1390"/>
      <c r="B52" s="1385" t="s">
        <v>72</v>
      </c>
      <c r="C52" s="1384">
        <v>53.441989372156961</v>
      </c>
      <c r="D52" s="1397"/>
      <c r="E52" s="1353"/>
      <c r="F52" s="1353">
        <v>0.65520389531345102</v>
      </c>
      <c r="G52" s="1397">
        <v>0.37912960609911056</v>
      </c>
      <c r="H52" s="1397">
        <v>0.28403681370993333</v>
      </c>
      <c r="I52" s="1397">
        <v>0.17695239639931878</v>
      </c>
      <c r="J52" s="1397">
        <v>0.12078400159188141</v>
      </c>
      <c r="K52" s="1397">
        <v>9.8205000678211335E-2</v>
      </c>
      <c r="L52" s="1397">
        <v>0.28050490883590462</v>
      </c>
      <c r="M52" s="1397">
        <v>0.36049873509215757</v>
      </c>
      <c r="N52" s="1397">
        <v>9.6652082001868145E-2</v>
      </c>
      <c r="O52" s="1388"/>
      <c r="P52" s="1397">
        <v>0.29991073136517249</v>
      </c>
      <c r="Q52" s="1397">
        <v>0.16125355126091684</v>
      </c>
      <c r="R52" s="1384">
        <v>13.865718010425566</v>
      </c>
      <c r="S52" s="1488"/>
      <c r="T52" s="1388"/>
      <c r="U52" s="1397">
        <v>0.29991073136517249</v>
      </c>
      <c r="V52" s="1397">
        <v>0.16125355126091684</v>
      </c>
      <c r="W52" s="1397">
        <v>0.13808989328732013</v>
      </c>
      <c r="X52" s="1397">
        <v>0.26877127625409469</v>
      </c>
      <c r="Y52" s="1397">
        <v>0.20625841184387617</v>
      </c>
      <c r="Z52" s="1331"/>
    </row>
    <row r="53" spans="1:26" ht="12.75" customHeight="1" x14ac:dyDescent="0.2">
      <c r="A53" s="1390"/>
      <c r="B53" s="1385" t="s">
        <v>73</v>
      </c>
      <c r="C53" s="1384">
        <v>89.213129291374798</v>
      </c>
      <c r="D53" s="1397"/>
      <c r="E53" s="1353"/>
      <c r="F53" s="1353">
        <v>1.5404747413268411</v>
      </c>
      <c r="G53" s="1397">
        <v>0.99602922490470136</v>
      </c>
      <c r="H53" s="1397">
        <v>0.91939066962868932</v>
      </c>
      <c r="I53" s="1397">
        <v>0.75938691103722322</v>
      </c>
      <c r="J53" s="1397">
        <v>0.64834344841309322</v>
      </c>
      <c r="K53" s="1397">
        <v>0.62115115069855764</v>
      </c>
      <c r="L53" s="1397">
        <v>0.8857481929010681</v>
      </c>
      <c r="M53" s="1397">
        <v>1.2376219732562341</v>
      </c>
      <c r="N53" s="1397">
        <v>0.63969323042131654</v>
      </c>
      <c r="O53" s="1388"/>
      <c r="P53" s="1397">
        <v>0.93693808582541604</v>
      </c>
      <c r="Q53" s="1397">
        <v>0.73357651432780335</v>
      </c>
      <c r="R53" s="1384">
        <v>20.33615714976127</v>
      </c>
      <c r="S53" s="1488"/>
      <c r="T53" s="1388"/>
      <c r="U53" s="1397">
        <v>0.93693808582541604</v>
      </c>
      <c r="V53" s="1397">
        <v>0.73357651432780335</v>
      </c>
      <c r="W53" s="1397">
        <v>0.6965138290921884</v>
      </c>
      <c r="X53" s="1397">
        <v>0.9598240092491489</v>
      </c>
      <c r="Y53" s="1397">
        <v>0.76953951163237844</v>
      </c>
      <c r="Z53" s="1329"/>
    </row>
    <row r="54" spans="1:26" ht="12.75" customHeight="1" x14ac:dyDescent="0.2">
      <c r="A54" s="1390"/>
      <c r="B54" s="1385" t="s">
        <v>74</v>
      </c>
      <c r="C54" s="1384">
        <v>-88.29222335534908</v>
      </c>
      <c r="D54" s="1397"/>
      <c r="E54" s="1353"/>
      <c r="F54" s="1353">
        <v>-0.54534388314059645</v>
      </c>
      <c r="G54" s="1397">
        <v>-1.0165184243964422E-2</v>
      </c>
      <c r="H54" s="1397">
        <v>7.1088543319581088E-2</v>
      </c>
      <c r="I54" s="1397">
        <v>0.23323331441083447</v>
      </c>
      <c r="J54" s="1397">
        <v>0.33757835041289425</v>
      </c>
      <c r="K54" s="1397">
        <v>0.3788488493014423</v>
      </c>
      <c r="L54" s="1397">
        <v>0.11425180709893193</v>
      </c>
      <c r="M54" s="1397">
        <v>-0.23762197325623419</v>
      </c>
      <c r="N54" s="1397">
        <v>0.36030676957868346</v>
      </c>
      <c r="O54" s="1388"/>
      <c r="P54" s="1397">
        <v>5.3943760760058662E-2</v>
      </c>
      <c r="Q54" s="1397">
        <v>0.26146048893409563</v>
      </c>
      <c r="R54" s="1384">
        <v>-20.751672817403698</v>
      </c>
      <c r="S54" s="1488"/>
      <c r="T54" s="1388"/>
      <c r="U54" s="1397">
        <v>5.3943760760058662E-2</v>
      </c>
      <c r="V54" s="1397">
        <v>0.26146048893409563</v>
      </c>
      <c r="W54" s="1397">
        <v>0.30348617090781166</v>
      </c>
      <c r="X54" s="1397">
        <v>4.017599075085105E-2</v>
      </c>
      <c r="Y54" s="1397">
        <v>0.23046048836762162</v>
      </c>
    </row>
    <row r="55" spans="1:26" ht="12.75" customHeight="1" x14ac:dyDescent="0.2">
      <c r="A55" s="1390"/>
      <c r="B55" s="1385"/>
      <c r="C55" s="1398"/>
      <c r="D55" s="1397"/>
      <c r="E55" s="1353"/>
      <c r="F55" s="1353"/>
      <c r="G55" s="1397"/>
      <c r="H55" s="1397"/>
      <c r="I55" s="1397"/>
      <c r="J55" s="1397"/>
      <c r="K55" s="1397"/>
      <c r="L55" s="1397"/>
      <c r="M55" s="1397"/>
      <c r="N55" s="1397"/>
      <c r="O55" s="1388"/>
      <c r="P55" s="1397"/>
      <c r="Q55" s="1397"/>
      <c r="R55" s="1384"/>
      <c r="S55" s="1488"/>
      <c r="T55" s="1388"/>
      <c r="U55" s="1463">
        <v>0</v>
      </c>
      <c r="V55" s="1463">
        <v>0</v>
      </c>
      <c r="W55" s="1463"/>
      <c r="X55" s="1463"/>
      <c r="Y55" s="1463"/>
    </row>
    <row r="56" spans="1:26" ht="12.75" customHeight="1" x14ac:dyDescent="0.2">
      <c r="A56" s="1399" t="s">
        <v>177</v>
      </c>
      <c r="B56" s="1385"/>
      <c r="C56" s="1388"/>
      <c r="D56" s="1388"/>
      <c r="E56" s="1338"/>
      <c r="F56" s="1338"/>
      <c r="G56" s="1388"/>
      <c r="H56" s="1388"/>
      <c r="I56" s="1388"/>
      <c r="J56" s="1388"/>
      <c r="K56" s="1365"/>
      <c r="L56" s="1388"/>
      <c r="M56" s="1388"/>
      <c r="N56" s="1388"/>
      <c r="O56" s="1388"/>
      <c r="P56" s="1388"/>
      <c r="Q56" s="1388"/>
      <c r="R56" s="1416"/>
      <c r="S56" s="1416"/>
      <c r="T56" s="1388"/>
      <c r="U56" s="1388"/>
      <c r="V56" s="1388"/>
      <c r="W56" s="1388"/>
      <c r="X56" s="1388"/>
      <c r="Y56" s="1388"/>
    </row>
    <row r="57" spans="1:26" ht="12.75" customHeight="1" x14ac:dyDescent="0.2">
      <c r="C57" s="2420" t="s">
        <v>667</v>
      </c>
      <c r="D57" s="2421"/>
      <c r="E57" s="1337"/>
      <c r="F57" s="1511"/>
      <c r="G57" s="1516"/>
      <c r="H57" s="1516"/>
      <c r="I57" s="1517"/>
      <c r="J57" s="1516"/>
      <c r="K57" s="1927"/>
      <c r="L57" s="1516"/>
      <c r="M57" s="1517"/>
      <c r="N57" s="1516"/>
      <c r="O57" s="1415"/>
      <c r="P57" s="981" t="s">
        <v>668</v>
      </c>
      <c r="Q57" s="981"/>
      <c r="R57" s="981" t="s">
        <v>551</v>
      </c>
      <c r="S57" s="982"/>
      <c r="T57" s="1388"/>
      <c r="U57" s="1406"/>
      <c r="V57" s="1406"/>
      <c r="W57" s="1406"/>
      <c r="X57" s="1406"/>
      <c r="Y57" s="1406"/>
      <c r="Z57" s="1674"/>
    </row>
    <row r="58" spans="1:26" ht="12.75" customHeight="1" x14ac:dyDescent="0.2">
      <c r="C58" s="2424" t="s">
        <v>35</v>
      </c>
      <c r="D58" s="2425"/>
      <c r="E58" s="1337"/>
      <c r="F58" s="906" t="s">
        <v>546</v>
      </c>
      <c r="G58" s="985" t="s">
        <v>547</v>
      </c>
      <c r="H58" s="985" t="s">
        <v>548</v>
      </c>
      <c r="I58" s="986" t="s">
        <v>549</v>
      </c>
      <c r="J58" s="985" t="s">
        <v>497</v>
      </c>
      <c r="K58" s="985" t="s">
        <v>496</v>
      </c>
      <c r="L58" s="985" t="s">
        <v>495</v>
      </c>
      <c r="M58" s="986" t="s">
        <v>494</v>
      </c>
      <c r="N58" s="985" t="s">
        <v>363</v>
      </c>
      <c r="O58" s="1415"/>
      <c r="P58" s="985" t="s">
        <v>546</v>
      </c>
      <c r="Q58" s="985" t="s">
        <v>497</v>
      </c>
      <c r="R58" s="2304" t="s">
        <v>35</v>
      </c>
      <c r="S58" s="2305"/>
      <c r="T58" s="1388"/>
      <c r="U58" s="1566" t="s">
        <v>669</v>
      </c>
      <c r="V58" s="987" t="s">
        <v>526</v>
      </c>
      <c r="W58" s="987" t="s">
        <v>490</v>
      </c>
      <c r="X58" s="987" t="s">
        <v>360</v>
      </c>
      <c r="Y58" s="987" t="s">
        <v>342</v>
      </c>
      <c r="Z58" s="1674"/>
    </row>
    <row r="59" spans="1:26" ht="12.75" customHeight="1" x14ac:dyDescent="0.2">
      <c r="A59" s="1390"/>
      <c r="B59" s="945" t="s">
        <v>609</v>
      </c>
      <c r="C59" s="1282">
        <v>-1265</v>
      </c>
      <c r="D59" s="1450">
        <v>-0.32049657968077022</v>
      </c>
      <c r="E59" s="2233"/>
      <c r="F59" s="1086">
        <v>2682</v>
      </c>
      <c r="G59" s="1186">
        <v>2919</v>
      </c>
      <c r="H59" s="1186">
        <v>4034</v>
      </c>
      <c r="I59" s="1165">
        <v>3374</v>
      </c>
      <c r="J59" s="1186">
        <v>3947</v>
      </c>
      <c r="K59" s="1186">
        <v>4327</v>
      </c>
      <c r="L59" s="1186">
        <v>3226</v>
      </c>
      <c r="M59" s="1165">
        <v>2745</v>
      </c>
      <c r="N59" s="1186">
        <v>3277</v>
      </c>
      <c r="O59" s="1169"/>
      <c r="P59" s="1130">
        <v>13009</v>
      </c>
      <c r="Q59" s="1130">
        <v>14245</v>
      </c>
      <c r="R59" s="1479">
        <v>-1236</v>
      </c>
      <c r="S59" s="1480">
        <v>-8.6767286767286761E-2</v>
      </c>
      <c r="T59" s="1388"/>
      <c r="U59" s="1644">
        <v>13009</v>
      </c>
      <c r="V59" s="2250">
        <v>14245</v>
      </c>
      <c r="W59" s="1644">
        <v>12931</v>
      </c>
      <c r="X59" s="1644">
        <v>11783</v>
      </c>
      <c r="Y59" s="1169">
        <v>11672</v>
      </c>
      <c r="Z59" s="1674"/>
    </row>
    <row r="60" spans="1:26" ht="12.75" customHeight="1" x14ac:dyDescent="0.2">
      <c r="A60" s="1390"/>
      <c r="B60" s="945" t="s">
        <v>610</v>
      </c>
      <c r="C60" s="1270">
        <v>-15705</v>
      </c>
      <c r="D60" s="1374">
        <v>-0.98223778847957977</v>
      </c>
      <c r="E60" s="2233"/>
      <c r="F60" s="1086">
        <v>284</v>
      </c>
      <c r="G60" s="1186">
        <v>3303</v>
      </c>
      <c r="H60" s="1186">
        <v>5210</v>
      </c>
      <c r="I60" s="1165">
        <v>8736</v>
      </c>
      <c r="J60" s="1186">
        <v>15989</v>
      </c>
      <c r="K60" s="1186">
        <v>17625</v>
      </c>
      <c r="L60" s="1186">
        <v>5586</v>
      </c>
      <c r="M60" s="1165">
        <v>1802</v>
      </c>
      <c r="N60" s="1186">
        <v>16108</v>
      </c>
      <c r="O60" s="1169"/>
      <c r="P60" s="1130">
        <v>17533</v>
      </c>
      <c r="Q60" s="1130">
        <v>41002</v>
      </c>
      <c r="R60" s="1479">
        <v>-23469</v>
      </c>
      <c r="S60" s="1374">
        <v>-0.57238671284327591</v>
      </c>
      <c r="T60" s="1388"/>
      <c r="U60" s="1476">
        <v>17533</v>
      </c>
      <c r="V60" s="1470">
        <v>41002</v>
      </c>
      <c r="W60" s="1476">
        <v>40089</v>
      </c>
      <c r="X60" s="1476">
        <v>17157</v>
      </c>
      <c r="Y60" s="1169">
        <v>27332</v>
      </c>
      <c r="Z60" s="1674"/>
    </row>
    <row r="61" spans="1:26" ht="12.75" customHeight="1" x14ac:dyDescent="0.2">
      <c r="A61" s="1390"/>
      <c r="B61" s="945" t="s">
        <v>611</v>
      </c>
      <c r="C61" s="1270">
        <v>129</v>
      </c>
      <c r="D61" s="1374">
        <v>1.015748031496063</v>
      </c>
      <c r="E61" s="2233"/>
      <c r="F61" s="1086">
        <v>256</v>
      </c>
      <c r="G61" s="1186">
        <v>62</v>
      </c>
      <c r="H61" s="1186">
        <v>155</v>
      </c>
      <c r="I61" s="1165">
        <v>192</v>
      </c>
      <c r="J61" s="1186">
        <v>127</v>
      </c>
      <c r="K61" s="1186">
        <v>142</v>
      </c>
      <c r="L61" s="1186">
        <v>388</v>
      </c>
      <c r="M61" s="1165">
        <v>951</v>
      </c>
      <c r="N61" s="1186">
        <v>900</v>
      </c>
      <c r="O61" s="1169"/>
      <c r="P61" s="1130">
        <v>665</v>
      </c>
      <c r="Q61" s="1130">
        <v>1608</v>
      </c>
      <c r="R61" s="1497">
        <v>-943</v>
      </c>
      <c r="S61" s="1374">
        <v>-0.58644278606965172</v>
      </c>
      <c r="T61" s="1388"/>
      <c r="U61" s="1476">
        <v>665</v>
      </c>
      <c r="V61" s="1470">
        <v>1608</v>
      </c>
      <c r="W61" s="1476">
        <v>6453</v>
      </c>
      <c r="X61" s="1476">
        <v>2178</v>
      </c>
      <c r="Y61" s="1169">
        <v>1966</v>
      </c>
      <c r="Z61" s="1674"/>
    </row>
    <row r="62" spans="1:26" ht="12.75" customHeight="1" x14ac:dyDescent="0.2">
      <c r="A62" s="1390"/>
      <c r="B62" s="945" t="s">
        <v>612</v>
      </c>
      <c r="C62" s="1270">
        <v>0</v>
      </c>
      <c r="D62" s="1374">
        <v>0</v>
      </c>
      <c r="E62" s="2233"/>
      <c r="F62" s="1086">
        <v>0</v>
      </c>
      <c r="G62" s="1186">
        <v>0</v>
      </c>
      <c r="H62" s="1186">
        <v>0</v>
      </c>
      <c r="I62" s="1165">
        <v>0</v>
      </c>
      <c r="J62" s="1186">
        <v>0</v>
      </c>
      <c r="K62" s="1186">
        <v>0</v>
      </c>
      <c r="L62" s="1186">
        <v>0</v>
      </c>
      <c r="M62" s="1165">
        <v>0</v>
      </c>
      <c r="N62" s="1186">
        <v>0</v>
      </c>
      <c r="O62" s="1169"/>
      <c r="P62" s="1130">
        <v>0</v>
      </c>
      <c r="Q62" s="1130">
        <v>0</v>
      </c>
      <c r="R62" s="1497">
        <v>0</v>
      </c>
      <c r="S62" s="1374">
        <v>0</v>
      </c>
      <c r="T62" s="1388"/>
      <c r="U62" s="1542">
        <v>0</v>
      </c>
      <c r="V62" s="1168">
        <v>0</v>
      </c>
      <c r="W62" s="1169">
        <v>0</v>
      </c>
      <c r="X62" s="1169">
        <v>0</v>
      </c>
      <c r="Y62" s="1169">
        <v>0</v>
      </c>
      <c r="Z62" s="1674"/>
    </row>
    <row r="63" spans="1:26" ht="12.75" customHeight="1" x14ac:dyDescent="0.2">
      <c r="A63" s="1390"/>
      <c r="B63" s="945" t="s">
        <v>613</v>
      </c>
      <c r="C63" s="1270">
        <v>32</v>
      </c>
      <c r="D63" s="1374">
        <v>0.96969696969696972</v>
      </c>
      <c r="E63" s="2233"/>
      <c r="F63" s="1086">
        <v>65</v>
      </c>
      <c r="G63" s="1186">
        <v>20</v>
      </c>
      <c r="H63" s="1186">
        <v>18</v>
      </c>
      <c r="I63" s="1165">
        <v>34</v>
      </c>
      <c r="J63" s="1186">
        <v>33</v>
      </c>
      <c r="K63" s="1186">
        <v>30</v>
      </c>
      <c r="L63" s="1186">
        <v>56</v>
      </c>
      <c r="M63" s="1165">
        <v>41</v>
      </c>
      <c r="N63" s="1186">
        <v>50</v>
      </c>
      <c r="O63" s="1169"/>
      <c r="P63" s="1130">
        <v>137</v>
      </c>
      <c r="Q63" s="1130">
        <v>160</v>
      </c>
      <c r="R63" s="1497">
        <v>-23</v>
      </c>
      <c r="S63" s="1374">
        <v>-0.14374999999999999</v>
      </c>
      <c r="T63" s="1388"/>
      <c r="U63" s="1476">
        <v>137</v>
      </c>
      <c r="V63" s="1168">
        <v>160</v>
      </c>
      <c r="W63" s="1169">
        <v>202</v>
      </c>
      <c r="X63" s="1169">
        <v>252</v>
      </c>
      <c r="Y63" s="1169">
        <v>277</v>
      </c>
      <c r="Z63" s="1674"/>
    </row>
    <row r="64" spans="1:26" ht="12.75" customHeight="1" x14ac:dyDescent="0.2">
      <c r="A64" s="1391"/>
      <c r="B64" s="945" t="s">
        <v>614</v>
      </c>
      <c r="C64" s="1292">
        <v>-7</v>
      </c>
      <c r="D64" s="1376">
        <v>-1.1666666666666667</v>
      </c>
      <c r="E64" s="2234"/>
      <c r="F64" s="1086">
        <v>-1</v>
      </c>
      <c r="G64" s="1212">
        <v>-8</v>
      </c>
      <c r="H64" s="1212">
        <v>36</v>
      </c>
      <c r="I64" s="1171">
        <v>-5</v>
      </c>
      <c r="J64" s="1212">
        <v>6</v>
      </c>
      <c r="K64" s="1212">
        <v>-7</v>
      </c>
      <c r="L64" s="1212">
        <v>13</v>
      </c>
      <c r="M64" s="1171">
        <v>-5</v>
      </c>
      <c r="N64" s="1212">
        <v>6</v>
      </c>
      <c r="O64" s="1169"/>
      <c r="P64" s="1130">
        <v>22</v>
      </c>
      <c r="Q64" s="1130">
        <v>7</v>
      </c>
      <c r="R64" s="1497">
        <v>15</v>
      </c>
      <c r="S64" s="1374">
        <v>2.1428571428571428</v>
      </c>
      <c r="T64" s="1390"/>
      <c r="U64" s="1486">
        <v>22</v>
      </c>
      <c r="V64" s="1168">
        <v>7</v>
      </c>
      <c r="W64" s="1169">
        <v>18</v>
      </c>
      <c r="X64" s="1169">
        <v>-232</v>
      </c>
      <c r="Y64" s="1169">
        <v>361</v>
      </c>
      <c r="Z64" s="1674"/>
    </row>
    <row r="65" spans="1:26" ht="12.75" customHeight="1" x14ac:dyDescent="0.2">
      <c r="A65" s="1391"/>
      <c r="B65" s="945"/>
      <c r="C65" s="1275">
        <v>-16816</v>
      </c>
      <c r="D65" s="1373">
        <v>-0.83653367824097102</v>
      </c>
      <c r="E65" s="1358"/>
      <c r="F65" s="1098">
        <v>3286</v>
      </c>
      <c r="G65" s="1197">
        <v>6296</v>
      </c>
      <c r="H65" s="1197">
        <v>9453</v>
      </c>
      <c r="I65" s="1546">
        <v>12331</v>
      </c>
      <c r="J65" s="1197">
        <v>20102</v>
      </c>
      <c r="K65" s="1192">
        <v>22117</v>
      </c>
      <c r="L65" s="1197">
        <v>9269</v>
      </c>
      <c r="M65" s="1546">
        <v>5534</v>
      </c>
      <c r="N65" s="1197">
        <v>20341</v>
      </c>
      <c r="O65" s="1549"/>
      <c r="P65" s="1197">
        <v>31366</v>
      </c>
      <c r="Q65" s="1197">
        <v>57022</v>
      </c>
      <c r="R65" s="1550">
        <v>-25656</v>
      </c>
      <c r="S65" s="1504">
        <v>-0.4499316053453053</v>
      </c>
      <c r="U65" s="1569">
        <v>31366</v>
      </c>
      <c r="V65" s="1546">
        <v>57022</v>
      </c>
      <c r="W65" s="1317">
        <v>59693</v>
      </c>
      <c r="X65" s="1317">
        <v>31138</v>
      </c>
      <c r="Y65" s="1317">
        <v>41608</v>
      </c>
    </row>
    <row r="66" spans="1:26" ht="12.75" customHeight="1" x14ac:dyDescent="0.2">
      <c r="A66" s="1391"/>
      <c r="B66" s="945"/>
      <c r="C66" s="1396"/>
      <c r="D66" s="1397"/>
      <c r="F66" s="1087"/>
      <c r="G66" s="1166"/>
      <c r="H66" s="1166"/>
      <c r="I66" s="1166"/>
      <c r="J66" s="1166"/>
      <c r="K66" s="1186"/>
      <c r="L66" s="1166"/>
      <c r="M66" s="1166"/>
      <c r="N66" s="1166"/>
      <c r="O66" s="1690"/>
      <c r="P66" s="1166"/>
      <c r="Q66" s="1166"/>
      <c r="R66" s="1497"/>
      <c r="S66" s="1488"/>
      <c r="V66" s="1166"/>
      <c r="W66" s="1166"/>
      <c r="X66" s="1166"/>
      <c r="Y66" s="1166"/>
    </row>
    <row r="67" spans="1:26" x14ac:dyDescent="0.2">
      <c r="O67" s="1401"/>
      <c r="P67" s="1401"/>
      <c r="Q67" s="1401"/>
      <c r="R67" s="1558"/>
      <c r="S67" s="1510"/>
      <c r="T67" s="1401"/>
      <c r="U67" s="1401"/>
      <c r="V67" s="1401"/>
      <c r="W67" s="1401"/>
      <c r="X67" s="1401"/>
      <c r="Y67" s="1401"/>
      <c r="Z67" s="1672" t="e">
        <v>#REF!</v>
      </c>
    </row>
    <row r="68" spans="1:26" x14ac:dyDescent="0.2">
      <c r="A68" s="945" t="s">
        <v>339</v>
      </c>
      <c r="O68" s="1401"/>
      <c r="P68" s="1401"/>
      <c r="Q68" s="1401"/>
      <c r="R68" s="1558"/>
      <c r="S68" s="1510"/>
      <c r="T68" s="1401"/>
      <c r="U68" s="1401"/>
      <c r="V68" s="1401"/>
      <c r="W68" s="1401"/>
      <c r="X68" s="1401"/>
      <c r="Y68" s="1401"/>
    </row>
    <row r="69" spans="1:26" x14ac:dyDescent="0.2">
      <c r="A69" s="968" t="s">
        <v>25</v>
      </c>
      <c r="P69" s="1360"/>
      <c r="Q69" s="1360"/>
    </row>
    <row r="70" spans="1:26" x14ac:dyDescent="0.2">
      <c r="A70" s="940"/>
      <c r="P70" s="1360"/>
      <c r="Q70" s="1360"/>
    </row>
    <row r="71" spans="1:26" x14ac:dyDescent="0.2">
      <c r="A71" s="945" t="s">
        <v>552</v>
      </c>
      <c r="P71" s="1360"/>
      <c r="Q71" s="1360"/>
    </row>
    <row r="72" spans="1:26" x14ac:dyDescent="0.2">
      <c r="P72" s="1360"/>
      <c r="Q72" s="1360"/>
    </row>
    <row r="73" spans="1:26" x14ac:dyDescent="0.2">
      <c r="P73" s="1360"/>
      <c r="Q73" s="1360"/>
    </row>
    <row r="74" spans="1:26" x14ac:dyDescent="0.2">
      <c r="E74" s="1328"/>
      <c r="F74" s="1328"/>
      <c r="H74" s="1359"/>
      <c r="I74" s="1359"/>
      <c r="J74" s="1359"/>
      <c r="K74" s="1543"/>
      <c r="L74" s="1359"/>
      <c r="M74" s="1359"/>
      <c r="N74" s="1359"/>
      <c r="P74" s="1360"/>
      <c r="Q74" s="1360"/>
    </row>
    <row r="75" spans="1:26" x14ac:dyDescent="0.2">
      <c r="E75" s="1328"/>
      <c r="F75" s="1328"/>
      <c r="G75" s="1359"/>
      <c r="H75" s="1359"/>
      <c r="I75" s="1359"/>
      <c r="J75" s="1359"/>
      <c r="K75" s="1543"/>
      <c r="L75" s="1359"/>
      <c r="M75" s="1359"/>
      <c r="N75" s="1359"/>
      <c r="P75" s="1360"/>
      <c r="Q75" s="1360"/>
    </row>
    <row r="76" spans="1:26" x14ac:dyDescent="0.2">
      <c r="E76" s="1328"/>
      <c r="F76" s="1328"/>
      <c r="G76" s="1359"/>
      <c r="H76" s="1359"/>
      <c r="I76" s="1359"/>
      <c r="J76" s="1359"/>
      <c r="K76" s="1543"/>
      <c r="L76" s="1359"/>
      <c r="M76" s="1359"/>
      <c r="N76" s="1359"/>
      <c r="P76" s="1360"/>
      <c r="Q76" s="1360"/>
    </row>
    <row r="77" spans="1:26" x14ac:dyDescent="0.2">
      <c r="E77" s="1328"/>
      <c r="F77" s="1328"/>
      <c r="G77" s="1359"/>
      <c r="H77" s="1359"/>
      <c r="I77" s="1359"/>
      <c r="J77" s="1359"/>
      <c r="K77" s="1543"/>
      <c r="L77" s="1359"/>
      <c r="M77" s="1359"/>
      <c r="N77" s="1359"/>
      <c r="P77" s="1360"/>
      <c r="Q77" s="1360"/>
    </row>
    <row r="78" spans="1:26" x14ac:dyDescent="0.2">
      <c r="E78" s="1328"/>
      <c r="F78" s="1328"/>
      <c r="G78" s="1359"/>
      <c r="H78" s="1359"/>
      <c r="I78" s="1359"/>
      <c r="J78" s="1359"/>
      <c r="K78" s="1543"/>
      <c r="L78" s="1359"/>
      <c r="M78" s="1359"/>
      <c r="N78" s="1359"/>
      <c r="P78" s="1360"/>
      <c r="Q78" s="1360"/>
    </row>
    <row r="79" spans="1:26" x14ac:dyDescent="0.2">
      <c r="E79" s="1328"/>
      <c r="F79" s="1328"/>
      <c r="G79" s="1359"/>
      <c r="H79" s="1359"/>
      <c r="I79" s="1359"/>
      <c r="J79" s="1359"/>
      <c r="K79" s="1543"/>
      <c r="L79" s="1359"/>
      <c r="M79" s="1359"/>
      <c r="N79" s="1359"/>
      <c r="P79" s="1360"/>
      <c r="Q79" s="1360"/>
    </row>
  </sheetData>
  <mergeCells count="11">
    <mergeCell ref="C44:D44"/>
    <mergeCell ref="C9:D9"/>
    <mergeCell ref="C10:D10"/>
    <mergeCell ref="R10:S10"/>
    <mergeCell ref="A27:B27"/>
    <mergeCell ref="A29:B29"/>
    <mergeCell ref="C45:D45"/>
    <mergeCell ref="R45:S45"/>
    <mergeCell ref="C57:D57"/>
    <mergeCell ref="C58:D58"/>
    <mergeCell ref="R58:S58"/>
  </mergeCells>
  <conditionalFormatting sqref="A42:A43 A64:A66 A56 A30:B32">
    <cfRule type="cellIs" dxfId="84" priority="13" stopIfTrue="1" operator="equal">
      <formula>0</formula>
    </cfRule>
  </conditionalFormatting>
  <conditionalFormatting sqref="Y55">
    <cfRule type="cellIs" dxfId="83" priority="6" stopIfTrue="1" operator="equal">
      <formula>0</formula>
    </cfRule>
  </conditionalFormatting>
  <conditionalFormatting sqref="X55">
    <cfRule type="cellIs" dxfId="82" priority="5" stopIfTrue="1" operator="equal">
      <formula>0</formula>
    </cfRule>
  </conditionalFormatting>
  <conditionalFormatting sqref="W55">
    <cfRule type="cellIs" dxfId="81" priority="4" stopIfTrue="1" operator="equal">
      <formula>0</formula>
    </cfRule>
  </conditionalFormatting>
  <conditionalFormatting sqref="V55">
    <cfRule type="cellIs" dxfId="80" priority="2" stopIfTrue="1" operator="equal">
      <formula>0</formula>
    </cfRule>
  </conditionalFormatting>
  <conditionalFormatting sqref="U55">
    <cfRule type="cellIs" dxfId="79" priority="1" stopIfTrue="1" operator="equal">
      <formula>0</formula>
    </cfRule>
  </conditionalFormatting>
  <printOptions horizontalCentered="1" verticalCentered="1"/>
  <pageMargins left="0" right="0" top="0" bottom="0" header="0" footer="0"/>
  <pageSetup scale="58" orientation="landscape" r:id="rId1"/>
  <headerFooter alignWithMargins="0">
    <oddFooter>&amp;L&amp;F&amp;CPage 8</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pageSetUpPr fitToPage="1"/>
  </sheetPr>
  <dimension ref="A1:Z98"/>
  <sheetViews>
    <sheetView topLeftCell="A10" zoomScale="110" zoomScaleNormal="110" workbookViewId="0">
      <selection activeCell="J10" sqref="J10"/>
    </sheetView>
  </sheetViews>
  <sheetFormatPr defaultColWidth="9.140625" defaultRowHeight="12.75" x14ac:dyDescent="0.2"/>
  <cols>
    <col min="1" max="1" width="2.7109375" style="1108" customWidth="1"/>
    <col min="2" max="2" width="52.85546875" style="1108" customWidth="1"/>
    <col min="3" max="3" width="11.7109375" style="1108" customWidth="1"/>
    <col min="4" max="4" width="10.28515625" style="1108" customWidth="1"/>
    <col min="5" max="5" width="1.5703125" style="1075" customWidth="1"/>
    <col min="6" max="6" width="9.5703125" style="896" customWidth="1"/>
    <col min="7" max="8" width="9.5703125" style="1109" customWidth="1"/>
    <col min="9" max="9" width="11.5703125" style="1109" customWidth="1"/>
    <col min="10" max="11" width="9.5703125" style="940" customWidth="1"/>
    <col min="12" max="14" width="9.5703125" style="1109" customWidth="1"/>
    <col min="15" max="15" width="1.5703125" style="1108" customWidth="1"/>
    <col min="16" max="17" width="10" style="1108" hidden="1" customWidth="1"/>
    <col min="18" max="18" width="10" style="1108" customWidth="1"/>
    <col min="19" max="19" width="9.7109375" style="1108" customWidth="1"/>
    <col min="20" max="20" width="1.5703125" style="1108" customWidth="1"/>
    <col min="21" max="25" width="9.5703125" style="1108" customWidth="1"/>
    <col min="26" max="26" width="1.5703125" style="1074" customWidth="1"/>
    <col min="27" max="16384" width="9.140625" style="1104"/>
  </cols>
  <sheetData>
    <row r="1" spans="1:26" ht="9" customHeight="1" x14ac:dyDescent="0.2"/>
    <row r="3" spans="1:26" x14ac:dyDescent="0.2">
      <c r="V3" s="1219"/>
      <c r="W3" s="1219"/>
      <c r="X3" s="1219"/>
      <c r="Y3" s="1219"/>
    </row>
    <row r="4" spans="1:26" ht="19.5" customHeight="1" x14ac:dyDescent="0.2">
      <c r="V4" s="1219"/>
      <c r="W4" s="1219"/>
      <c r="X4" s="1219"/>
      <c r="Y4" s="1219"/>
    </row>
    <row r="5" spans="1:26" ht="6.75" customHeight="1" x14ac:dyDescent="0.2">
      <c r="A5" s="1109"/>
      <c r="B5" s="1109"/>
      <c r="C5" s="1109"/>
      <c r="D5" s="1109"/>
      <c r="P5" s="1219"/>
    </row>
    <row r="6" spans="1:26" ht="18" customHeight="1" x14ac:dyDescent="0.2">
      <c r="A6" s="1110" t="s">
        <v>285</v>
      </c>
      <c r="B6" s="1109"/>
      <c r="C6" s="1109"/>
      <c r="D6" s="1109"/>
      <c r="F6" s="1230"/>
      <c r="H6" s="1140"/>
      <c r="J6" s="2215"/>
      <c r="K6" s="2215"/>
      <c r="N6" s="1609"/>
      <c r="P6" s="1219"/>
    </row>
    <row r="7" spans="1:26" ht="18" customHeight="1" x14ac:dyDescent="0.2">
      <c r="A7" s="1111" t="s">
        <v>264</v>
      </c>
      <c r="B7" s="942"/>
      <c r="C7" s="942"/>
      <c r="D7" s="942"/>
      <c r="E7" s="898"/>
      <c r="F7" s="898"/>
      <c r="G7" s="942"/>
      <c r="H7" s="942"/>
      <c r="I7" s="942"/>
      <c r="J7" s="942"/>
      <c r="K7" s="942"/>
      <c r="L7" s="942"/>
      <c r="M7" s="942"/>
      <c r="N7" s="942"/>
      <c r="P7" s="1579"/>
    </row>
    <row r="8" spans="1:26" ht="15" x14ac:dyDescent="0.2">
      <c r="A8" s="943" t="s">
        <v>518</v>
      </c>
      <c r="B8" s="942"/>
      <c r="C8" s="942"/>
      <c r="D8" s="942"/>
      <c r="E8" s="898"/>
      <c r="F8" s="1776"/>
      <c r="G8" s="942"/>
      <c r="H8" s="942"/>
      <c r="I8" s="973"/>
      <c r="J8" s="1254"/>
      <c r="K8" s="1254"/>
      <c r="L8" s="942"/>
      <c r="M8" s="973"/>
      <c r="N8" s="942"/>
      <c r="O8" s="939"/>
      <c r="P8" s="939"/>
      <c r="Q8" s="939"/>
      <c r="R8" s="939"/>
      <c r="S8" s="939"/>
      <c r="T8" s="939"/>
      <c r="U8" s="939"/>
      <c r="V8" s="939"/>
      <c r="W8" s="939"/>
    </row>
    <row r="9" spans="1:26" ht="9.75" customHeight="1" x14ac:dyDescent="0.2">
      <c r="A9" s="940"/>
      <c r="B9" s="940"/>
      <c r="C9" s="940"/>
      <c r="D9" s="940"/>
      <c r="E9" s="896"/>
      <c r="G9" s="940"/>
      <c r="H9" s="940"/>
      <c r="I9" s="940"/>
      <c r="L9" s="940"/>
      <c r="M9" s="940"/>
      <c r="N9" s="940"/>
      <c r="O9" s="939"/>
      <c r="P9" s="939"/>
      <c r="Q9" s="939"/>
      <c r="R9" s="969"/>
      <c r="S9" s="969"/>
      <c r="T9" s="939"/>
      <c r="U9" s="939"/>
      <c r="V9" s="939"/>
      <c r="W9" s="939"/>
    </row>
    <row r="10" spans="1:26" x14ac:dyDescent="0.2">
      <c r="A10" s="944" t="s">
        <v>1</v>
      </c>
      <c r="B10" s="945"/>
      <c r="C10" s="2306" t="s">
        <v>667</v>
      </c>
      <c r="D10" s="2307"/>
      <c r="E10" s="900"/>
      <c r="F10" s="902"/>
      <c r="G10" s="975"/>
      <c r="H10" s="975"/>
      <c r="I10" s="976"/>
      <c r="J10" s="975"/>
      <c r="K10" s="975"/>
      <c r="L10" s="975"/>
      <c r="M10" s="976"/>
      <c r="N10" s="975"/>
      <c r="O10" s="979"/>
      <c r="P10" s="980" t="s">
        <v>668</v>
      </c>
      <c r="Q10" s="981"/>
      <c r="R10" s="981" t="s">
        <v>551</v>
      </c>
      <c r="S10" s="982"/>
      <c r="T10" s="983"/>
      <c r="U10" s="984"/>
      <c r="V10" s="984"/>
      <c r="W10" s="984"/>
      <c r="X10" s="984"/>
      <c r="Y10" s="984"/>
      <c r="Z10" s="1079"/>
    </row>
    <row r="11" spans="1:26" ht="13.5" x14ac:dyDescent="0.2">
      <c r="A11" s="944" t="s">
        <v>2</v>
      </c>
      <c r="B11" s="945"/>
      <c r="C11" s="2308" t="s">
        <v>35</v>
      </c>
      <c r="D11" s="2309"/>
      <c r="E11" s="1559"/>
      <c r="F11" s="906" t="s">
        <v>546</v>
      </c>
      <c r="G11" s="985" t="s">
        <v>547</v>
      </c>
      <c r="H11" s="985" t="s">
        <v>548</v>
      </c>
      <c r="I11" s="986" t="s">
        <v>549</v>
      </c>
      <c r="J11" s="985" t="s">
        <v>497</v>
      </c>
      <c r="K11" s="985" t="s">
        <v>496</v>
      </c>
      <c r="L11" s="985" t="s">
        <v>495</v>
      </c>
      <c r="M11" s="986" t="s">
        <v>494</v>
      </c>
      <c r="N11" s="985" t="s">
        <v>363</v>
      </c>
      <c r="O11" s="989"/>
      <c r="P11" s="985" t="s">
        <v>546</v>
      </c>
      <c r="Q11" s="985" t="s">
        <v>497</v>
      </c>
      <c r="R11" s="2310" t="s">
        <v>35</v>
      </c>
      <c r="S11" s="2311"/>
      <c r="T11" s="2265"/>
      <c r="U11" s="987" t="s">
        <v>550</v>
      </c>
      <c r="V11" s="987" t="s">
        <v>498</v>
      </c>
      <c r="W11" s="987" t="s">
        <v>490</v>
      </c>
      <c r="X11" s="987" t="s">
        <v>360</v>
      </c>
      <c r="Y11" s="987" t="s">
        <v>342</v>
      </c>
      <c r="Z11" s="1079"/>
    </row>
    <row r="12" spans="1:26" x14ac:dyDescent="0.2">
      <c r="A12" s="944"/>
      <c r="B12" s="945"/>
      <c r="C12" s="1876"/>
      <c r="D12" s="1576"/>
      <c r="E12" s="1559"/>
      <c r="F12" s="1080"/>
      <c r="G12" s="1148"/>
      <c r="H12" s="1148"/>
      <c r="I12" s="1149"/>
      <c r="J12" s="1148"/>
      <c r="K12" s="1148"/>
      <c r="L12" s="1148"/>
      <c r="M12" s="1149"/>
      <c r="N12" s="1148"/>
      <c r="O12" s="989"/>
      <c r="P12" s="1150"/>
      <c r="Q12" s="1148"/>
      <c r="R12" s="975"/>
      <c r="S12" s="976"/>
      <c r="T12" s="2265"/>
      <c r="U12" s="1150"/>
      <c r="V12" s="1150"/>
      <c r="W12" s="1150"/>
      <c r="X12" s="1150"/>
      <c r="Y12" s="1151"/>
      <c r="Z12" s="1079"/>
    </row>
    <row r="13" spans="1:26" x14ac:dyDescent="0.2">
      <c r="A13" s="946" t="s">
        <v>56</v>
      </c>
      <c r="B13" s="947"/>
      <c r="C13" s="1889"/>
      <c r="D13" s="1036"/>
      <c r="E13" s="918"/>
      <c r="F13" s="899"/>
      <c r="G13" s="945"/>
      <c r="H13" s="945"/>
      <c r="I13" s="1036"/>
      <c r="J13" s="945"/>
      <c r="K13" s="945"/>
      <c r="L13" s="945"/>
      <c r="M13" s="1036"/>
      <c r="N13" s="945"/>
      <c r="O13" s="1016"/>
      <c r="P13" s="945"/>
      <c r="Q13" s="945"/>
      <c r="R13" s="945"/>
      <c r="S13" s="1036"/>
      <c r="T13" s="945"/>
      <c r="U13" s="1016"/>
      <c r="V13" s="1016"/>
      <c r="W13" s="1016"/>
      <c r="X13" s="1152"/>
      <c r="Y13" s="1152"/>
      <c r="Z13" s="1079"/>
    </row>
    <row r="14" spans="1:26" ht="12.75" customHeight="1" x14ac:dyDescent="0.2">
      <c r="A14" s="945"/>
      <c r="B14" s="953" t="s">
        <v>81</v>
      </c>
      <c r="C14" s="955">
        <v>2462</v>
      </c>
      <c r="D14" s="1017">
        <v>4.8718709805085587E-2</v>
      </c>
      <c r="E14" s="917"/>
      <c r="F14" s="1083">
        <v>52997</v>
      </c>
      <c r="G14" s="1153">
        <v>53663.48</v>
      </c>
      <c r="H14" s="1153">
        <v>51613</v>
      </c>
      <c r="I14" s="1154">
        <v>46147</v>
      </c>
      <c r="J14" s="1153">
        <v>50535</v>
      </c>
      <c r="K14" s="1153">
        <v>47647</v>
      </c>
      <c r="L14" s="1153">
        <v>31458</v>
      </c>
      <c r="M14" s="1154">
        <v>36251</v>
      </c>
      <c r="N14" s="1153">
        <v>39429</v>
      </c>
      <c r="O14" s="1016"/>
      <c r="P14" s="999">
        <v>204420.48000000001</v>
      </c>
      <c r="Q14" s="999">
        <v>165891</v>
      </c>
      <c r="R14" s="998">
        <v>38529.48000000001</v>
      </c>
      <c r="S14" s="1207">
        <v>0.23225780783767661</v>
      </c>
      <c r="T14" s="1126"/>
      <c r="U14" s="1178">
        <v>204420.48000000001</v>
      </c>
      <c r="V14" s="1178">
        <v>165891</v>
      </c>
      <c r="W14" s="1178">
        <v>129361</v>
      </c>
      <c r="X14" s="1706">
        <v>106654</v>
      </c>
      <c r="Y14" s="1945">
        <v>123972</v>
      </c>
      <c r="Z14" s="1082"/>
    </row>
    <row r="15" spans="1:26" ht="12.75" customHeight="1" x14ac:dyDescent="0.2">
      <c r="A15" s="945"/>
      <c r="B15" s="953" t="s">
        <v>232</v>
      </c>
      <c r="C15" s="955">
        <v>-1429</v>
      </c>
      <c r="D15" s="1017">
        <v>-2.2010689586125103E-2</v>
      </c>
      <c r="E15" s="917"/>
      <c r="F15" s="1083">
        <v>63494</v>
      </c>
      <c r="G15" s="1153">
        <v>61777</v>
      </c>
      <c r="H15" s="1153">
        <v>63927</v>
      </c>
      <c r="I15" s="1154">
        <v>65787</v>
      </c>
      <c r="J15" s="1153">
        <v>64923</v>
      </c>
      <c r="K15" s="1153">
        <v>60945</v>
      </c>
      <c r="L15" s="1153">
        <v>37482</v>
      </c>
      <c r="M15" s="1154">
        <v>38033</v>
      </c>
      <c r="N15" s="1153">
        <v>33065</v>
      </c>
      <c r="O15" s="1016"/>
      <c r="P15" s="999">
        <v>254985</v>
      </c>
      <c r="Q15" s="999">
        <v>201383</v>
      </c>
      <c r="R15" s="998">
        <v>53602</v>
      </c>
      <c r="S15" s="1207">
        <v>0.26616943833392093</v>
      </c>
      <c r="T15" s="1126"/>
      <c r="U15" s="1178">
        <v>254985</v>
      </c>
      <c r="V15" s="1178">
        <v>201383</v>
      </c>
      <c r="W15" s="1178">
        <v>134819</v>
      </c>
      <c r="X15" s="1706">
        <v>138359</v>
      </c>
      <c r="Y15" s="1945">
        <v>125551</v>
      </c>
      <c r="Z15" s="1082"/>
    </row>
    <row r="16" spans="1:26" ht="12.75" customHeight="1" x14ac:dyDescent="0.2">
      <c r="A16" s="945"/>
      <c r="B16" s="953" t="s">
        <v>183</v>
      </c>
      <c r="C16" s="955">
        <v>-281</v>
      </c>
      <c r="D16" s="1017">
        <v>-0.30543478260869567</v>
      </c>
      <c r="E16" s="917"/>
      <c r="F16" s="1083">
        <v>639</v>
      </c>
      <c r="G16" s="1153">
        <v>538.52</v>
      </c>
      <c r="H16" s="1153">
        <v>586</v>
      </c>
      <c r="I16" s="1154">
        <v>642</v>
      </c>
      <c r="J16" s="1153">
        <v>920</v>
      </c>
      <c r="K16" s="1153">
        <v>781</v>
      </c>
      <c r="L16" s="1153">
        <v>623</v>
      </c>
      <c r="M16" s="1154">
        <v>667</v>
      </c>
      <c r="N16" s="1153">
        <v>839</v>
      </c>
      <c r="O16" s="1016"/>
      <c r="P16" s="999">
        <v>2405.52</v>
      </c>
      <c r="Q16" s="999">
        <v>2991</v>
      </c>
      <c r="R16" s="998">
        <v>-585.48</v>
      </c>
      <c r="S16" s="1207">
        <v>-0.19574724172517552</v>
      </c>
      <c r="T16" s="1126"/>
      <c r="U16" s="1178">
        <v>2405.52</v>
      </c>
      <c r="V16" s="1178">
        <v>2991</v>
      </c>
      <c r="W16" s="1178">
        <v>2931</v>
      </c>
      <c r="X16" s="1706">
        <v>1554</v>
      </c>
      <c r="Y16" s="1945">
        <v>1367</v>
      </c>
      <c r="Z16" s="1082"/>
    </row>
    <row r="17" spans="1:26" ht="12.75" customHeight="1" x14ac:dyDescent="0.2">
      <c r="A17" s="947"/>
      <c r="B17" s="945"/>
      <c r="C17" s="1114">
        <v>752</v>
      </c>
      <c r="D17" s="1115">
        <v>6.4617023836120229E-3</v>
      </c>
      <c r="E17" s="917"/>
      <c r="F17" s="1085">
        <v>117130</v>
      </c>
      <c r="G17" s="1160">
        <v>115979.00000000001</v>
      </c>
      <c r="H17" s="1160">
        <v>116126</v>
      </c>
      <c r="I17" s="1162">
        <v>112576</v>
      </c>
      <c r="J17" s="1160">
        <v>116378</v>
      </c>
      <c r="K17" s="1160">
        <v>109373</v>
      </c>
      <c r="L17" s="1160">
        <v>69563</v>
      </c>
      <c r="M17" s="1162">
        <v>74951</v>
      </c>
      <c r="N17" s="1160">
        <v>73333</v>
      </c>
      <c r="O17" s="1016"/>
      <c r="P17" s="1580">
        <v>461811</v>
      </c>
      <c r="Q17" s="1580">
        <v>370265</v>
      </c>
      <c r="R17" s="1269">
        <v>91546</v>
      </c>
      <c r="S17" s="1115">
        <v>0.24724454107193497</v>
      </c>
      <c r="T17" s="1126"/>
      <c r="U17" s="1184">
        <v>461811</v>
      </c>
      <c r="V17" s="1877">
        <v>370265</v>
      </c>
      <c r="W17" s="1877">
        <v>267111</v>
      </c>
      <c r="X17" s="1646">
        <v>246567</v>
      </c>
      <c r="Y17" s="1264">
        <v>250890</v>
      </c>
      <c r="Z17" s="1082"/>
    </row>
    <row r="18" spans="1:26" ht="12.75" customHeight="1" x14ac:dyDescent="0.2">
      <c r="A18" s="946" t="s">
        <v>5</v>
      </c>
      <c r="B18" s="945"/>
      <c r="C18" s="955"/>
      <c r="D18" s="1017"/>
      <c r="E18" s="917"/>
      <c r="F18" s="1083"/>
      <c r="G18" s="1153"/>
      <c r="H18" s="1153"/>
      <c r="I18" s="1154"/>
      <c r="J18" s="1153"/>
      <c r="K18" s="1153"/>
      <c r="L18" s="1153"/>
      <c r="M18" s="1154"/>
      <c r="N18" s="1153"/>
      <c r="O18" s="1016"/>
      <c r="P18" s="999"/>
      <c r="Q18" s="999"/>
      <c r="R18" s="998"/>
      <c r="S18" s="1017"/>
      <c r="T18" s="1126"/>
      <c r="U18" s="1951"/>
      <c r="V18" s="1178"/>
      <c r="W18" s="1178"/>
      <c r="X18" s="1284"/>
      <c r="Y18" s="1284"/>
      <c r="Z18" s="1082"/>
    </row>
    <row r="19" spans="1:26" ht="12.75" customHeight="1" x14ac:dyDescent="0.2">
      <c r="A19" s="947"/>
      <c r="B19" s="1126" t="s">
        <v>640</v>
      </c>
      <c r="C19" s="955">
        <v>-3871</v>
      </c>
      <c r="D19" s="1017">
        <v>-7.2244410436340556E-2</v>
      </c>
      <c r="E19" s="917"/>
      <c r="F19" s="1083">
        <v>49711</v>
      </c>
      <c r="G19" s="1153">
        <v>50267</v>
      </c>
      <c r="H19" s="1153">
        <v>51520</v>
      </c>
      <c r="I19" s="1175">
        <v>49275</v>
      </c>
      <c r="J19" s="1153">
        <v>53582</v>
      </c>
      <c r="K19" s="1153">
        <v>48980</v>
      </c>
      <c r="L19" s="1153">
        <v>30251</v>
      </c>
      <c r="M19" s="1175">
        <v>30872</v>
      </c>
      <c r="N19" s="1153">
        <v>33600</v>
      </c>
      <c r="O19" s="1016"/>
      <c r="P19" s="999">
        <v>200773</v>
      </c>
      <c r="Q19" s="999">
        <v>163685</v>
      </c>
      <c r="R19" s="998">
        <v>37088</v>
      </c>
      <c r="S19" s="1017">
        <v>0.22658154381892048</v>
      </c>
      <c r="T19" s="1126"/>
      <c r="U19" s="1178">
        <v>200773</v>
      </c>
      <c r="V19" s="1178">
        <v>163685</v>
      </c>
      <c r="W19" s="1178">
        <v>114372</v>
      </c>
      <c r="X19" s="1134">
        <v>101853</v>
      </c>
      <c r="Y19" s="1256">
        <v>108220</v>
      </c>
      <c r="Z19" s="1082"/>
    </row>
    <row r="20" spans="1:26" ht="12.75" customHeight="1" x14ac:dyDescent="0.2">
      <c r="A20" s="947"/>
      <c r="B20" s="953" t="s">
        <v>61</v>
      </c>
      <c r="C20" s="955">
        <v>1498</v>
      </c>
      <c r="D20" s="1017">
        <v>9.7672295755362848E-2</v>
      </c>
      <c r="E20" s="917"/>
      <c r="F20" s="1083">
        <v>16835</v>
      </c>
      <c r="G20" s="1153">
        <v>15805</v>
      </c>
      <c r="H20" s="1153">
        <v>15000</v>
      </c>
      <c r="I20" s="1154">
        <v>15274</v>
      </c>
      <c r="J20" s="1153">
        <v>15337</v>
      </c>
      <c r="K20" s="1153">
        <v>13641</v>
      </c>
      <c r="L20" s="1153">
        <v>9377</v>
      </c>
      <c r="M20" s="1154">
        <v>9174</v>
      </c>
      <c r="N20" s="1153">
        <v>8622</v>
      </c>
      <c r="O20" s="1016"/>
      <c r="P20" s="999">
        <v>62914</v>
      </c>
      <c r="Q20" s="999">
        <v>47529</v>
      </c>
      <c r="R20" s="998">
        <v>15385</v>
      </c>
      <c r="S20" s="1017">
        <v>0.32369711123734984</v>
      </c>
      <c r="T20" s="1126"/>
      <c r="U20" s="1178">
        <v>62914</v>
      </c>
      <c r="V20" s="1178">
        <v>47529</v>
      </c>
      <c r="W20" s="1178">
        <v>33046</v>
      </c>
      <c r="X20" s="1706">
        <v>35106</v>
      </c>
      <c r="Y20" s="1945">
        <v>30761</v>
      </c>
      <c r="Z20" s="1082"/>
    </row>
    <row r="21" spans="1:26" ht="12.75" customHeight="1" x14ac:dyDescent="0.2">
      <c r="A21" s="947"/>
      <c r="B21" s="953" t="s">
        <v>62</v>
      </c>
      <c r="C21" s="955">
        <v>319</v>
      </c>
      <c r="D21" s="1017">
        <v>5.8628928505789379E-2</v>
      </c>
      <c r="E21" s="917"/>
      <c r="F21" s="1083">
        <v>5760</v>
      </c>
      <c r="G21" s="1153">
        <v>5839</v>
      </c>
      <c r="H21" s="1153">
        <v>4942</v>
      </c>
      <c r="I21" s="1154">
        <v>4873</v>
      </c>
      <c r="J21" s="1153">
        <v>5441</v>
      </c>
      <c r="K21" s="1153">
        <v>5382</v>
      </c>
      <c r="L21" s="1153">
        <v>3805</v>
      </c>
      <c r="M21" s="1154">
        <v>5579</v>
      </c>
      <c r="N21" s="1153">
        <v>5990</v>
      </c>
      <c r="O21" s="1016"/>
      <c r="P21" s="999">
        <v>21414</v>
      </c>
      <c r="Q21" s="999">
        <v>20207</v>
      </c>
      <c r="R21" s="998">
        <v>1207</v>
      </c>
      <c r="S21" s="1017">
        <v>5.9731776117187114E-2</v>
      </c>
      <c r="T21" s="1126"/>
      <c r="U21" s="1178">
        <v>21414</v>
      </c>
      <c r="V21" s="1178">
        <v>20207</v>
      </c>
      <c r="W21" s="1178">
        <v>20069</v>
      </c>
      <c r="X21" s="1706">
        <v>16384</v>
      </c>
      <c r="Y21" s="1945">
        <v>16705</v>
      </c>
      <c r="Z21" s="1082"/>
    </row>
    <row r="22" spans="1:26" ht="12.75" customHeight="1" x14ac:dyDescent="0.2">
      <c r="A22" s="947"/>
      <c r="B22" s="953" t="s">
        <v>63</v>
      </c>
      <c r="C22" s="955">
        <v>16</v>
      </c>
      <c r="D22" s="1017">
        <v>4.7775455359808901E-3</v>
      </c>
      <c r="E22" s="917"/>
      <c r="F22" s="1083">
        <v>3365</v>
      </c>
      <c r="G22" s="1153">
        <v>3000</v>
      </c>
      <c r="H22" s="1153">
        <v>3198</v>
      </c>
      <c r="I22" s="1154">
        <v>2875</v>
      </c>
      <c r="J22" s="1153">
        <v>3349</v>
      </c>
      <c r="K22" s="1153">
        <v>3624</v>
      </c>
      <c r="L22" s="1153">
        <v>2519</v>
      </c>
      <c r="M22" s="1154">
        <v>2747</v>
      </c>
      <c r="N22" s="1153">
        <v>2785</v>
      </c>
      <c r="O22" s="1016"/>
      <c r="P22" s="999">
        <v>12438</v>
      </c>
      <c r="Q22" s="999">
        <v>12239</v>
      </c>
      <c r="R22" s="998">
        <v>199</v>
      </c>
      <c r="S22" s="1017">
        <v>1.6259498325026555E-2</v>
      </c>
      <c r="T22" s="1126"/>
      <c r="U22" s="1178">
        <v>12438</v>
      </c>
      <c r="V22" s="1178">
        <v>12239</v>
      </c>
      <c r="W22" s="1178">
        <v>10610</v>
      </c>
      <c r="X22" s="1706">
        <v>9590</v>
      </c>
      <c r="Y22" s="1945">
        <v>11338</v>
      </c>
      <c r="Z22" s="1082"/>
    </row>
    <row r="23" spans="1:26" ht="12.75" customHeight="1" x14ac:dyDescent="0.2">
      <c r="A23" s="947"/>
      <c r="B23" s="953" t="s">
        <v>64</v>
      </c>
      <c r="C23" s="955">
        <v>870</v>
      </c>
      <c r="D23" s="1017">
        <v>0.18300378628523348</v>
      </c>
      <c r="E23" s="917"/>
      <c r="F23" s="1083">
        <v>5624</v>
      </c>
      <c r="G23" s="1153">
        <v>5063</v>
      </c>
      <c r="H23" s="1153">
        <v>5343</v>
      </c>
      <c r="I23" s="1154">
        <v>4813</v>
      </c>
      <c r="J23" s="1153">
        <v>4754</v>
      </c>
      <c r="K23" s="1153">
        <v>4178</v>
      </c>
      <c r="L23" s="1153">
        <v>3640</v>
      </c>
      <c r="M23" s="1154">
        <v>2539</v>
      </c>
      <c r="N23" s="1153">
        <v>2658</v>
      </c>
      <c r="O23" s="1016"/>
      <c r="P23" s="999">
        <v>20843</v>
      </c>
      <c r="Q23" s="999">
        <v>15111</v>
      </c>
      <c r="R23" s="998">
        <v>5732</v>
      </c>
      <c r="S23" s="1017">
        <v>0.3793263185758719</v>
      </c>
      <c r="T23" s="1126"/>
      <c r="U23" s="1178">
        <v>20843</v>
      </c>
      <c r="V23" s="1178">
        <v>15111</v>
      </c>
      <c r="W23" s="1178">
        <v>11190</v>
      </c>
      <c r="X23" s="1706">
        <v>13247</v>
      </c>
      <c r="Y23" s="1945">
        <v>12120</v>
      </c>
      <c r="Z23" s="1082"/>
    </row>
    <row r="24" spans="1:26" ht="12.75" customHeight="1" x14ac:dyDescent="0.2">
      <c r="A24" s="947"/>
      <c r="B24" s="953" t="s">
        <v>59</v>
      </c>
      <c r="C24" s="955">
        <v>-481</v>
      </c>
      <c r="D24" s="1017">
        <v>-0.35160818713450293</v>
      </c>
      <c r="E24" s="917"/>
      <c r="F24" s="1083">
        <v>887</v>
      </c>
      <c r="G24" s="1153">
        <v>847</v>
      </c>
      <c r="H24" s="1153">
        <v>1365</v>
      </c>
      <c r="I24" s="1154">
        <v>1494</v>
      </c>
      <c r="J24" s="1153">
        <v>1368</v>
      </c>
      <c r="K24" s="1153">
        <v>1093</v>
      </c>
      <c r="L24" s="1153">
        <v>184</v>
      </c>
      <c r="M24" s="1154">
        <v>96</v>
      </c>
      <c r="N24" s="1153">
        <v>59</v>
      </c>
      <c r="O24" s="1016"/>
      <c r="P24" s="999">
        <v>4593</v>
      </c>
      <c r="Q24" s="999">
        <v>2741</v>
      </c>
      <c r="R24" s="998">
        <v>1852</v>
      </c>
      <c r="S24" s="1017">
        <v>0.67566581539584092</v>
      </c>
      <c r="T24" s="1126"/>
      <c r="U24" s="1178">
        <v>4593</v>
      </c>
      <c r="V24" s="1178">
        <v>2741</v>
      </c>
      <c r="W24" s="1178">
        <v>135</v>
      </c>
      <c r="X24" s="1706">
        <v>241</v>
      </c>
      <c r="Y24" s="1945">
        <v>539</v>
      </c>
      <c r="Z24" s="1082"/>
    </row>
    <row r="25" spans="1:26" ht="12.75" customHeight="1" x14ac:dyDescent="0.2">
      <c r="A25" s="947"/>
      <c r="B25" s="953" t="s">
        <v>85</v>
      </c>
      <c r="C25" s="955">
        <v>1438</v>
      </c>
      <c r="D25" s="1017">
        <v>0.17296127014674043</v>
      </c>
      <c r="E25" s="917"/>
      <c r="F25" s="1083">
        <v>9752</v>
      </c>
      <c r="G25" s="1153">
        <v>8753</v>
      </c>
      <c r="H25" s="1153">
        <v>6743</v>
      </c>
      <c r="I25" s="1154">
        <v>8299</v>
      </c>
      <c r="J25" s="1153">
        <v>8314</v>
      </c>
      <c r="K25" s="1153">
        <v>6884</v>
      </c>
      <c r="L25" s="1153">
        <v>4864</v>
      </c>
      <c r="M25" s="1154">
        <v>5509</v>
      </c>
      <c r="N25" s="1153">
        <v>4909</v>
      </c>
      <c r="O25" s="1016"/>
      <c r="P25" s="999">
        <v>33547</v>
      </c>
      <c r="Q25" s="999">
        <v>25571</v>
      </c>
      <c r="R25" s="998">
        <v>7976</v>
      </c>
      <c r="S25" s="1017">
        <v>0.31191584216495249</v>
      </c>
      <c r="T25" s="1126"/>
      <c r="U25" s="1178">
        <v>33547</v>
      </c>
      <c r="V25" s="1178">
        <v>25571</v>
      </c>
      <c r="W25" s="1178">
        <v>20939</v>
      </c>
      <c r="X25" s="1706">
        <v>20781</v>
      </c>
      <c r="Y25" s="1945">
        <v>23336</v>
      </c>
      <c r="Z25" s="1082"/>
    </row>
    <row r="26" spans="1:26" ht="12.75" customHeight="1" x14ac:dyDescent="0.2">
      <c r="A26" s="947"/>
      <c r="B26" s="953" t="s">
        <v>66</v>
      </c>
      <c r="C26" s="955">
        <v>-262</v>
      </c>
      <c r="D26" s="1017">
        <v>-6.1473486625997185E-2</v>
      </c>
      <c r="E26" s="1091"/>
      <c r="F26" s="1083">
        <v>4000</v>
      </c>
      <c r="G26" s="1153">
        <v>3910</v>
      </c>
      <c r="H26" s="1153">
        <v>4063</v>
      </c>
      <c r="I26" s="1154">
        <v>4252</v>
      </c>
      <c r="J26" s="1153">
        <v>4262</v>
      </c>
      <c r="K26" s="1153">
        <v>4217</v>
      </c>
      <c r="L26" s="1153">
        <v>2358</v>
      </c>
      <c r="M26" s="1154">
        <v>2315</v>
      </c>
      <c r="N26" s="1153">
        <v>2204</v>
      </c>
      <c r="O26" s="1016"/>
      <c r="P26" s="999">
        <v>16225</v>
      </c>
      <c r="Q26" s="999">
        <v>13152</v>
      </c>
      <c r="R26" s="998">
        <v>3073</v>
      </c>
      <c r="S26" s="1017">
        <v>0.23365267639902676</v>
      </c>
      <c r="T26" s="1126"/>
      <c r="U26" s="1178">
        <v>16225</v>
      </c>
      <c r="V26" s="1178">
        <v>13152</v>
      </c>
      <c r="W26" s="1178">
        <v>9102</v>
      </c>
      <c r="X26" s="1706">
        <v>10264</v>
      </c>
      <c r="Y26" s="1945">
        <v>11091</v>
      </c>
      <c r="Z26" s="1082"/>
    </row>
    <row r="27" spans="1:26" ht="12.75" customHeight="1" x14ac:dyDescent="0.2">
      <c r="A27" s="945"/>
      <c r="B27" s="953" t="s">
        <v>67</v>
      </c>
      <c r="C27" s="955">
        <v>-158</v>
      </c>
      <c r="D27" s="1017">
        <v>-5.4146675805346128E-2</v>
      </c>
      <c r="E27" s="917"/>
      <c r="F27" s="1083">
        <v>2760</v>
      </c>
      <c r="G27" s="1153">
        <v>4482</v>
      </c>
      <c r="H27" s="1153">
        <v>3896</v>
      </c>
      <c r="I27" s="1154">
        <v>3768</v>
      </c>
      <c r="J27" s="1153">
        <v>2918</v>
      </c>
      <c r="K27" s="1153">
        <v>1385</v>
      </c>
      <c r="L27" s="1153">
        <v>1191</v>
      </c>
      <c r="M27" s="1154">
        <v>1279</v>
      </c>
      <c r="N27" s="1153">
        <v>2504</v>
      </c>
      <c r="O27" s="1016"/>
      <c r="P27" s="999">
        <v>14906</v>
      </c>
      <c r="Q27" s="999">
        <v>6773</v>
      </c>
      <c r="R27" s="998">
        <v>8133</v>
      </c>
      <c r="S27" s="1017">
        <v>1.2007972833308727</v>
      </c>
      <c r="T27" s="1126"/>
      <c r="U27" s="1178">
        <v>14906</v>
      </c>
      <c r="V27" s="1178">
        <v>6773</v>
      </c>
      <c r="W27" s="1178">
        <v>6585</v>
      </c>
      <c r="X27" s="1706">
        <v>6911</v>
      </c>
      <c r="Y27" s="1945">
        <v>8217</v>
      </c>
      <c r="Z27" s="1082"/>
    </row>
    <row r="28" spans="1:26" ht="12.75" customHeight="1" x14ac:dyDescent="0.2">
      <c r="A28" s="945"/>
      <c r="B28" s="945" t="s">
        <v>149</v>
      </c>
      <c r="C28" s="955">
        <v>-939</v>
      </c>
      <c r="D28" s="1017">
        <v>-1</v>
      </c>
      <c r="E28" s="917"/>
      <c r="F28" s="913">
        <v>0</v>
      </c>
      <c r="G28" s="999">
        <v>0</v>
      </c>
      <c r="H28" s="999">
        <v>0</v>
      </c>
      <c r="I28" s="1177">
        <v>0</v>
      </c>
      <c r="J28" s="999">
        <v>939</v>
      </c>
      <c r="K28" s="999">
        <v>0</v>
      </c>
      <c r="L28" s="999">
        <v>2000</v>
      </c>
      <c r="M28" s="1177">
        <v>0</v>
      </c>
      <c r="N28" s="999">
        <v>0</v>
      </c>
      <c r="O28" s="1016"/>
      <c r="P28" s="999">
        <v>0</v>
      </c>
      <c r="Q28" s="999">
        <v>2939</v>
      </c>
      <c r="R28" s="998">
        <v>-2939</v>
      </c>
      <c r="S28" s="1017">
        <v>-1</v>
      </c>
      <c r="T28" s="1126"/>
      <c r="U28" s="1178">
        <v>0</v>
      </c>
      <c r="V28" s="1178">
        <v>2939</v>
      </c>
      <c r="W28" s="1178">
        <v>0</v>
      </c>
      <c r="X28" s="1706">
        <v>165</v>
      </c>
      <c r="Y28" s="1945">
        <v>783</v>
      </c>
      <c r="Z28" s="1082"/>
    </row>
    <row r="29" spans="1:26" ht="12.75" customHeight="1" x14ac:dyDescent="0.2">
      <c r="A29" s="945"/>
      <c r="B29" s="1126" t="s">
        <v>625</v>
      </c>
      <c r="C29" s="955">
        <v>-4058</v>
      </c>
      <c r="D29" s="1017">
        <v>-1</v>
      </c>
      <c r="E29" s="917"/>
      <c r="F29" s="913">
        <v>0</v>
      </c>
      <c r="G29" s="999">
        <v>0</v>
      </c>
      <c r="H29" s="999">
        <v>0</v>
      </c>
      <c r="I29" s="1177">
        <v>0</v>
      </c>
      <c r="J29" s="999">
        <v>4058</v>
      </c>
      <c r="K29" s="999"/>
      <c r="L29" s="999"/>
      <c r="M29" s="1177"/>
      <c r="N29" s="999"/>
      <c r="O29" s="1016"/>
      <c r="P29" s="999">
        <v>0</v>
      </c>
      <c r="Q29" s="999">
        <v>4058</v>
      </c>
      <c r="R29" s="998">
        <v>-4058</v>
      </c>
      <c r="S29" s="1017">
        <v>0</v>
      </c>
      <c r="T29" s="1126"/>
      <c r="U29" s="1178">
        <v>0</v>
      </c>
      <c r="V29" s="1178">
        <v>4058</v>
      </c>
      <c r="W29" s="1178">
        <v>0</v>
      </c>
      <c r="X29" s="1706">
        <v>0</v>
      </c>
      <c r="Y29" s="1945"/>
      <c r="Z29" s="1082"/>
    </row>
    <row r="30" spans="1:26" ht="12.75" customHeight="1" x14ac:dyDescent="0.2">
      <c r="A30" s="945"/>
      <c r="B30" s="945" t="s">
        <v>169</v>
      </c>
      <c r="C30" s="955">
        <v>734</v>
      </c>
      <c r="D30" s="1017" t="s">
        <v>38</v>
      </c>
      <c r="E30" s="917"/>
      <c r="F30" s="913">
        <v>918</v>
      </c>
      <c r="G30" s="999">
        <v>170</v>
      </c>
      <c r="H30" s="999">
        <v>0</v>
      </c>
      <c r="I30" s="1177">
        <v>0</v>
      </c>
      <c r="J30" s="999">
        <v>184</v>
      </c>
      <c r="K30" s="999">
        <v>0</v>
      </c>
      <c r="L30" s="999">
        <v>4364</v>
      </c>
      <c r="M30" s="1177">
        <v>2184</v>
      </c>
      <c r="N30" s="999">
        <v>0</v>
      </c>
      <c r="O30" s="1016"/>
      <c r="P30" s="999">
        <v>1088</v>
      </c>
      <c r="Q30" s="999">
        <v>6732</v>
      </c>
      <c r="R30" s="998">
        <v>-5644</v>
      </c>
      <c r="S30" s="1017">
        <v>-0.83838383838383834</v>
      </c>
      <c r="T30" s="1126"/>
      <c r="U30" s="1178">
        <v>1088</v>
      </c>
      <c r="V30" s="1178">
        <v>6732</v>
      </c>
      <c r="W30" s="1178">
        <v>0</v>
      </c>
      <c r="X30" s="1706">
        <v>0</v>
      </c>
      <c r="Y30" s="1945">
        <v>0</v>
      </c>
      <c r="Z30" s="1082"/>
    </row>
    <row r="31" spans="1:26" ht="12.75" customHeight="1" x14ac:dyDescent="0.2">
      <c r="A31" s="947"/>
      <c r="B31" s="939"/>
      <c r="C31" s="1114">
        <v>-4894</v>
      </c>
      <c r="D31" s="1115">
        <v>-4.6829847090119225E-2</v>
      </c>
      <c r="E31" s="917"/>
      <c r="F31" s="1085">
        <v>99612</v>
      </c>
      <c r="G31" s="1160">
        <v>98136</v>
      </c>
      <c r="H31" s="1160">
        <v>96070</v>
      </c>
      <c r="I31" s="1161">
        <v>94923</v>
      </c>
      <c r="J31" s="1160">
        <v>104506</v>
      </c>
      <c r="K31" s="1160">
        <v>89384</v>
      </c>
      <c r="L31" s="1160">
        <v>64553</v>
      </c>
      <c r="M31" s="1161">
        <v>62294</v>
      </c>
      <c r="N31" s="1160">
        <v>63331</v>
      </c>
      <c r="O31" s="1016"/>
      <c r="P31" s="1580">
        <v>388741</v>
      </c>
      <c r="Q31" s="1580">
        <v>320737</v>
      </c>
      <c r="R31" s="1263">
        <v>68004</v>
      </c>
      <c r="S31" s="1583">
        <v>0.21202418180627741</v>
      </c>
      <c r="T31" s="1889"/>
      <c r="U31" s="1184">
        <v>388741</v>
      </c>
      <c r="V31" s="1877">
        <v>320737</v>
      </c>
      <c r="W31" s="1877">
        <v>226048</v>
      </c>
      <c r="X31" s="1646">
        <v>214542</v>
      </c>
      <c r="Y31" s="1164">
        <v>223110</v>
      </c>
      <c r="Z31" s="1082"/>
    </row>
    <row r="32" spans="1:26" s="1772" customFormat="1" ht="24.75" customHeight="1" x14ac:dyDescent="0.2">
      <c r="A32" s="2427" t="s">
        <v>193</v>
      </c>
      <c r="B32" s="2428"/>
      <c r="C32" s="1114">
        <v>5646</v>
      </c>
      <c r="D32" s="1115">
        <v>0.47557277628032346</v>
      </c>
      <c r="E32" s="917"/>
      <c r="F32" s="1094">
        <v>17518</v>
      </c>
      <c r="G32" s="1186">
        <v>17843.000000000015</v>
      </c>
      <c r="H32" s="1186">
        <v>20056</v>
      </c>
      <c r="I32" s="1154">
        <v>17653</v>
      </c>
      <c r="J32" s="1186">
        <v>11872</v>
      </c>
      <c r="K32" s="1186">
        <v>19989</v>
      </c>
      <c r="L32" s="1186">
        <v>5010</v>
      </c>
      <c r="M32" s="1154">
        <v>12657</v>
      </c>
      <c r="N32" s="1186">
        <v>10002</v>
      </c>
      <c r="O32" s="1016"/>
      <c r="P32" s="1114">
        <v>73070</v>
      </c>
      <c r="Q32" s="998">
        <v>49528</v>
      </c>
      <c r="R32" s="1529">
        <v>23542</v>
      </c>
      <c r="S32" s="1583">
        <v>0.47532708770796317</v>
      </c>
      <c r="T32" s="1889"/>
      <c r="U32" s="1184">
        <v>73070</v>
      </c>
      <c r="V32" s="1015">
        <v>49528</v>
      </c>
      <c r="W32" s="1015">
        <v>41063</v>
      </c>
      <c r="X32" s="1942">
        <v>32025</v>
      </c>
      <c r="Y32" s="1185">
        <v>27780</v>
      </c>
      <c r="Z32" s="1082"/>
    </row>
    <row r="33" spans="1:26" s="1772" customFormat="1" ht="15" customHeight="1" x14ac:dyDescent="0.2">
      <c r="A33" s="1943"/>
      <c r="B33" s="1944" t="s">
        <v>313</v>
      </c>
      <c r="C33" s="1114">
        <v>1189</v>
      </c>
      <c r="D33" s="1115">
        <v>0.36811145510835913</v>
      </c>
      <c r="E33" s="917"/>
      <c r="F33" s="1228">
        <v>4419</v>
      </c>
      <c r="G33" s="1281">
        <v>3030</v>
      </c>
      <c r="H33" s="1281">
        <v>3671</v>
      </c>
      <c r="I33" s="1273">
        <v>3347</v>
      </c>
      <c r="J33" s="1281">
        <v>3230</v>
      </c>
      <c r="K33" s="1281">
        <v>3667</v>
      </c>
      <c r="L33" s="1281">
        <v>4091</v>
      </c>
      <c r="M33" s="1273">
        <v>4541</v>
      </c>
      <c r="N33" s="1281">
        <v>4279</v>
      </c>
      <c r="O33" s="1584"/>
      <c r="P33" s="1572">
        <v>14467</v>
      </c>
      <c r="Q33" s="1572">
        <v>15529</v>
      </c>
      <c r="R33" s="1529">
        <v>-1062</v>
      </c>
      <c r="S33" s="1115">
        <v>-6.8388176959237559E-2</v>
      </c>
      <c r="T33" s="2267"/>
      <c r="U33" s="1184">
        <v>14467</v>
      </c>
      <c r="V33" s="1878">
        <v>15529</v>
      </c>
      <c r="W33" s="1878">
        <v>16796</v>
      </c>
      <c r="X33" s="1706">
        <v>21854</v>
      </c>
      <c r="Y33" s="1324">
        <v>21683</v>
      </c>
      <c r="Z33" s="1082"/>
    </row>
    <row r="34" spans="1:26" s="1772" customFormat="1" ht="24.75" customHeight="1" thickBot="1" x14ac:dyDescent="0.25">
      <c r="A34" s="1122" t="s">
        <v>69</v>
      </c>
      <c r="B34" s="946"/>
      <c r="C34" s="1244">
        <v>4457</v>
      </c>
      <c r="D34" s="1125">
        <v>0.51573709789400601</v>
      </c>
      <c r="E34" s="917"/>
      <c r="F34" s="1231">
        <v>13099</v>
      </c>
      <c r="G34" s="1294">
        <v>14813.000000000015</v>
      </c>
      <c r="H34" s="1294">
        <v>16385</v>
      </c>
      <c r="I34" s="1298">
        <v>14306</v>
      </c>
      <c r="J34" s="1294">
        <v>8642</v>
      </c>
      <c r="K34" s="1294">
        <v>16322</v>
      </c>
      <c r="L34" s="1294">
        <v>919</v>
      </c>
      <c r="M34" s="1298">
        <v>8116</v>
      </c>
      <c r="N34" s="1294">
        <v>5723</v>
      </c>
      <c r="O34" s="1584"/>
      <c r="P34" s="1278">
        <v>58603</v>
      </c>
      <c r="Q34" s="1278">
        <v>33999</v>
      </c>
      <c r="R34" s="1278">
        <v>24604</v>
      </c>
      <c r="S34" s="1125">
        <v>0.72366834318656426</v>
      </c>
      <c r="T34" s="1645"/>
      <c r="U34" s="2254">
        <v>58603</v>
      </c>
      <c r="V34" s="1302">
        <v>33999</v>
      </c>
      <c r="W34" s="1302">
        <v>24267</v>
      </c>
      <c r="X34" s="1647">
        <v>10171</v>
      </c>
      <c r="Y34" s="1300">
        <v>6097</v>
      </c>
      <c r="Z34" s="1082"/>
    </row>
    <row r="35" spans="1:26" ht="12.75" customHeight="1" thickTop="1" x14ac:dyDescent="0.2">
      <c r="A35" s="1126"/>
      <c r="B35" s="1126"/>
      <c r="C35" s="998"/>
      <c r="D35" s="951"/>
      <c r="E35" s="907"/>
      <c r="F35" s="907"/>
      <c r="G35" s="951"/>
      <c r="H35" s="951"/>
      <c r="I35" s="945"/>
      <c r="J35" s="951"/>
      <c r="K35" s="951"/>
      <c r="L35" s="951"/>
      <c r="M35" s="945"/>
      <c r="N35" s="951"/>
      <c r="O35" s="945"/>
      <c r="P35" s="945"/>
      <c r="Q35" s="1133"/>
      <c r="R35" s="998"/>
      <c r="S35" s="951"/>
      <c r="T35" s="1133"/>
      <c r="U35" s="1133"/>
      <c r="V35" s="1133"/>
      <c r="W35" s="1133"/>
      <c r="X35" s="1133"/>
      <c r="Y35" s="1133"/>
      <c r="Z35" s="1082"/>
    </row>
    <row r="36" spans="1:26" ht="13.5" customHeight="1" x14ac:dyDescent="0.2">
      <c r="A36" s="1129" t="s">
        <v>641</v>
      </c>
      <c r="B36" s="1126"/>
      <c r="C36" s="1563">
        <v>9.8895496267794982</v>
      </c>
      <c r="D36" s="951"/>
      <c r="E36" s="907"/>
      <c r="F36" s="920">
        <v>0.38392124692370794</v>
      </c>
      <c r="G36" s="1018">
        <v>0.33663754105014576</v>
      </c>
      <c r="H36" s="1018">
        <v>0.33788003601601563</v>
      </c>
      <c r="I36" s="1018">
        <v>0.33522836564149694</v>
      </c>
      <c r="J36" s="1018">
        <v>0.28502575065591296</v>
      </c>
      <c r="K36" s="1018">
        <v>0.28972908234905426</v>
      </c>
      <c r="L36" s="1018">
        <v>0.42402044824039153</v>
      </c>
      <c r="M36" s="1018">
        <v>0.38450078552467631</v>
      </c>
      <c r="N36" s="1018">
        <v>0.32728220919837092</v>
      </c>
      <c r="O36" s="945"/>
      <c r="P36" s="1018">
        <v>0.34889437498186882</v>
      </c>
      <c r="Q36" s="1018">
        <v>0.33452351345910164</v>
      </c>
      <c r="R36" s="1563">
        <v>1.4370861522767175</v>
      </c>
      <c r="S36" s="951"/>
      <c r="T36" s="1133"/>
      <c r="U36" s="1018">
        <v>0.34889437498186882</v>
      </c>
      <c r="V36" s="1018">
        <v>0.33452351345910164</v>
      </c>
      <c r="W36" s="1018">
        <v>0.34670274846551569</v>
      </c>
      <c r="X36" s="1018">
        <v>0.43883323641385102</v>
      </c>
      <c r="Y36" s="1018">
        <v>0.35092828249786578</v>
      </c>
      <c r="Z36" s="1082"/>
    </row>
    <row r="37" spans="1:26" ht="13.5" customHeight="1" x14ac:dyDescent="0.2">
      <c r="A37" s="1129" t="s">
        <v>642</v>
      </c>
      <c r="B37" s="1126"/>
      <c r="C37" s="1563">
        <v>6.0980948762446303</v>
      </c>
      <c r="D37" s="951"/>
      <c r="E37" s="907"/>
      <c r="F37" s="920">
        <v>0.73398094876244635</v>
      </c>
      <c r="G37" s="1018">
        <v>0.73699999999999999</v>
      </c>
      <c r="H37" s="1018">
        <v>0.73299999999999998</v>
      </c>
      <c r="I37" s="1018">
        <v>0.70199999999999996</v>
      </c>
      <c r="J37" s="1018">
        <v>0.67300000000000004</v>
      </c>
      <c r="K37" s="1018">
        <v>0.68799999999999994</v>
      </c>
      <c r="L37" s="1018">
        <v>0.72499999999999998</v>
      </c>
      <c r="M37" s="1018">
        <v>0.66300000000000003</v>
      </c>
      <c r="N37" s="1018">
        <v>0.70499999999999996</v>
      </c>
      <c r="O37" s="945"/>
      <c r="P37" s="1018">
        <v>0.72636025867002141</v>
      </c>
      <c r="Q37" s="1018">
        <v>0.68500000000000005</v>
      </c>
      <c r="R37" s="1563">
        <v>4.1360258670021359</v>
      </c>
      <c r="S37" s="951"/>
      <c r="T37" s="1133"/>
      <c r="U37" s="1018">
        <v>0.72636025867002141</v>
      </c>
      <c r="V37" s="1018">
        <v>0.68500000000000005</v>
      </c>
      <c r="W37" s="1018">
        <v>0.69199999999999995</v>
      </c>
      <c r="X37" s="1018">
        <v>0.70099999999999996</v>
      </c>
      <c r="Y37" s="1018">
        <v>0.67100000000000004</v>
      </c>
      <c r="Z37" s="1082"/>
    </row>
    <row r="38" spans="1:26" ht="12.75" customHeight="1" x14ac:dyDescent="0.2">
      <c r="A38" s="1128" t="s">
        <v>71</v>
      </c>
      <c r="B38" s="1126"/>
      <c r="C38" s="1563">
        <v>-3.6004703637997961</v>
      </c>
      <c r="D38" s="951"/>
      <c r="E38" s="907"/>
      <c r="F38" s="920">
        <v>0.42440877657303849</v>
      </c>
      <c r="G38" s="1018">
        <v>0.43341466989713651</v>
      </c>
      <c r="H38" s="1018">
        <v>0.44365602879630744</v>
      </c>
      <c r="I38" s="1018">
        <v>0.43770430642410463</v>
      </c>
      <c r="J38" s="1018">
        <v>0.46041348021103645</v>
      </c>
      <c r="K38" s="1018">
        <v>0.44782533166320754</v>
      </c>
      <c r="L38" s="1018">
        <v>0.4348719865445711</v>
      </c>
      <c r="M38" s="1018">
        <v>0.41189577190431081</v>
      </c>
      <c r="N38" s="1018">
        <v>0.45818390083591287</v>
      </c>
      <c r="O38" s="945"/>
      <c r="P38" s="1018">
        <v>0.43475144593784038</v>
      </c>
      <c r="Q38" s="1018">
        <v>0.4420752704144329</v>
      </c>
      <c r="R38" s="1563">
        <v>-0.7323824476592522</v>
      </c>
      <c r="S38" s="951"/>
      <c r="T38" s="1133"/>
      <c r="U38" s="1018">
        <v>0.43475144593784038</v>
      </c>
      <c r="V38" s="1018">
        <v>0.4420752704144329</v>
      </c>
      <c r="W38" s="1018">
        <v>0.42818154250480139</v>
      </c>
      <c r="X38" s="1018">
        <v>0.41308447602477216</v>
      </c>
      <c r="Y38" s="1018">
        <v>0.43134441388656386</v>
      </c>
      <c r="Z38" s="1082"/>
    </row>
    <row r="39" spans="1:26" ht="13.5" customHeight="1" x14ac:dyDescent="0.2">
      <c r="A39" s="1128" t="s">
        <v>627</v>
      </c>
      <c r="B39" s="1126"/>
      <c r="C39" s="1563">
        <v>-2.4061590255068266</v>
      </c>
      <c r="D39" s="951"/>
      <c r="E39" s="907"/>
      <c r="F39" s="920">
        <v>0.56813796636216174</v>
      </c>
      <c r="G39" s="1018">
        <v>0.56968934031160812</v>
      </c>
      <c r="H39" s="1018">
        <v>0.57282606823622617</v>
      </c>
      <c r="I39" s="1018">
        <v>0.57338153780557133</v>
      </c>
      <c r="J39" s="1018">
        <v>0.59219955661723001</v>
      </c>
      <c r="K39" s="1018">
        <v>0.57254532654311396</v>
      </c>
      <c r="L39" s="1018">
        <v>0.56967065825223184</v>
      </c>
      <c r="M39" s="1018">
        <v>0.53429573988339052</v>
      </c>
      <c r="N39" s="1018">
        <v>0.57575716253255693</v>
      </c>
      <c r="O39" s="945"/>
      <c r="P39" s="1018">
        <v>0.57098466688753624</v>
      </c>
      <c r="Q39" s="1018">
        <v>0.57044009020566355</v>
      </c>
      <c r="R39" s="1563">
        <v>5.4457668187268826E-2</v>
      </c>
      <c r="S39" s="951"/>
      <c r="T39" s="1133"/>
      <c r="U39" s="1018">
        <v>0.57098466688753624</v>
      </c>
      <c r="V39" s="1018">
        <v>0.57044009020566355</v>
      </c>
      <c r="W39" s="1018">
        <v>0.55189790012391848</v>
      </c>
      <c r="X39" s="1018">
        <v>0.55546362651936387</v>
      </c>
      <c r="Y39" s="1018">
        <v>0.55395193112519436</v>
      </c>
      <c r="Z39" s="1082"/>
    </row>
    <row r="40" spans="1:26" ht="12.75" customHeight="1" x14ac:dyDescent="0.2">
      <c r="A40" s="1126" t="s">
        <v>72</v>
      </c>
      <c r="B40" s="1126"/>
      <c r="C40" s="1563">
        <v>-2.3486319497358519</v>
      </c>
      <c r="D40" s="951"/>
      <c r="E40" s="907"/>
      <c r="F40" s="920">
        <v>0.2823017160420046</v>
      </c>
      <c r="G40" s="1018">
        <v>0.27646384259219337</v>
      </c>
      <c r="H40" s="1018">
        <v>0.25446497769663984</v>
      </c>
      <c r="I40" s="1018">
        <v>0.26980884025014212</v>
      </c>
      <c r="J40" s="1018">
        <v>0.30578803553936312</v>
      </c>
      <c r="K40" s="1018">
        <v>0.24469476013275671</v>
      </c>
      <c r="L40" s="1018">
        <v>0.35830829607693743</v>
      </c>
      <c r="M40" s="1018">
        <v>0.29683393150191456</v>
      </c>
      <c r="N40" s="1018">
        <v>0.28785130841503825</v>
      </c>
      <c r="O40" s="945"/>
      <c r="P40" s="1018">
        <v>0.27079043158348326</v>
      </c>
      <c r="Q40" s="1018">
        <v>0.29579625403427273</v>
      </c>
      <c r="R40" s="1563">
        <v>-2.500582245078947</v>
      </c>
      <c r="S40" s="951"/>
      <c r="T40" s="1133"/>
      <c r="U40" s="1018">
        <v>0.27079043158348326</v>
      </c>
      <c r="V40" s="1018">
        <v>0.29579625403427273</v>
      </c>
      <c r="W40" s="1018">
        <v>0.29437200265058344</v>
      </c>
      <c r="X40" s="1018">
        <v>0.31465281242015353</v>
      </c>
      <c r="Y40" s="1018">
        <v>0.33532225278010286</v>
      </c>
      <c r="Z40" s="1082"/>
    </row>
    <row r="41" spans="1:26" ht="12.75" customHeight="1" x14ac:dyDescent="0.2">
      <c r="A41" s="1126" t="s">
        <v>73</v>
      </c>
      <c r="B41" s="1126"/>
      <c r="C41" s="1563">
        <v>-4.7547909752426847</v>
      </c>
      <c r="D41" s="951"/>
      <c r="E41" s="907"/>
      <c r="F41" s="920">
        <v>0.85043968240416634</v>
      </c>
      <c r="G41" s="1018">
        <v>0.84615318290380148</v>
      </c>
      <c r="H41" s="1018">
        <v>0.82729104593286606</v>
      </c>
      <c r="I41" s="1018">
        <v>0.84319037805571351</v>
      </c>
      <c r="J41" s="1018">
        <v>0.89798759215659318</v>
      </c>
      <c r="K41" s="1018">
        <v>0.81724008667587067</v>
      </c>
      <c r="L41" s="1018">
        <v>0.92797895432916921</v>
      </c>
      <c r="M41" s="1018">
        <v>0.83112967138530502</v>
      </c>
      <c r="N41" s="1018">
        <v>0.86360847094759519</v>
      </c>
      <c r="O41" s="945"/>
      <c r="P41" s="1018">
        <v>0.8417750984710195</v>
      </c>
      <c r="Q41" s="1018">
        <v>0.86623634423993623</v>
      </c>
      <c r="R41" s="1563">
        <v>-2.4461245768916728</v>
      </c>
      <c r="S41" s="951"/>
      <c r="T41" s="1133"/>
      <c r="U41" s="1018">
        <v>0.8417750984710195</v>
      </c>
      <c r="V41" s="1018">
        <v>0.86623634423993623</v>
      </c>
      <c r="W41" s="1018">
        <v>0.84626990277450198</v>
      </c>
      <c r="X41" s="1018">
        <v>0.8701164389395174</v>
      </c>
      <c r="Y41" s="1018">
        <v>0.88927418390529711</v>
      </c>
      <c r="Z41" s="1082"/>
    </row>
    <row r="42" spans="1:26" ht="13.5" customHeight="1" x14ac:dyDescent="0.2">
      <c r="A42" s="1128" t="s">
        <v>167</v>
      </c>
      <c r="B42" s="1126"/>
      <c r="C42" s="1563">
        <v>4.7547909752426856</v>
      </c>
      <c r="D42" s="951"/>
      <c r="E42" s="907"/>
      <c r="F42" s="920">
        <v>0.14956031759583369</v>
      </c>
      <c r="G42" s="1018">
        <v>0.15384681709619855</v>
      </c>
      <c r="H42" s="1018">
        <v>0.17270895406713396</v>
      </c>
      <c r="I42" s="1018">
        <v>0.15680962194428652</v>
      </c>
      <c r="J42" s="1018">
        <v>0.10201240784340683</v>
      </c>
      <c r="K42" s="1018">
        <v>0.18275991332412936</v>
      </c>
      <c r="L42" s="1018">
        <v>7.2021045670830758E-2</v>
      </c>
      <c r="M42" s="1018">
        <v>0.16887032861469495</v>
      </c>
      <c r="N42" s="1018">
        <v>0.13639152905240479</v>
      </c>
      <c r="O42" s="945"/>
      <c r="P42" s="1018">
        <v>0.15822490152898047</v>
      </c>
      <c r="Q42" s="1018">
        <v>0.13376365576006374</v>
      </c>
      <c r="R42" s="1563">
        <v>2.4461245768916728</v>
      </c>
      <c r="S42" s="951"/>
      <c r="T42" s="1133"/>
      <c r="U42" s="1018">
        <v>0.15822490152898047</v>
      </c>
      <c r="V42" s="1018">
        <v>0.13376365576006374</v>
      </c>
      <c r="W42" s="1018">
        <v>0.15373009722549802</v>
      </c>
      <c r="X42" s="1018">
        <v>0.12988356106048254</v>
      </c>
      <c r="Y42" s="1018">
        <v>0.11072581609470286</v>
      </c>
      <c r="Z42" s="1082"/>
    </row>
    <row r="43" spans="1:26" ht="12.75" customHeight="1" x14ac:dyDescent="0.2">
      <c r="A43" s="1128" t="s">
        <v>74</v>
      </c>
      <c r="B43" s="1126"/>
      <c r="C43" s="1563">
        <v>3.75749847861421</v>
      </c>
      <c r="D43" s="951"/>
      <c r="E43" s="907"/>
      <c r="F43" s="920">
        <v>0.11183300606164091</v>
      </c>
      <c r="G43" s="1018">
        <v>0.12772139783926412</v>
      </c>
      <c r="H43" s="1018">
        <v>0.14109673974820452</v>
      </c>
      <c r="I43" s="1018">
        <v>0.12707859579306424</v>
      </c>
      <c r="J43" s="1018">
        <v>7.4258021275498812E-2</v>
      </c>
      <c r="K43" s="1018">
        <v>0.14923244310753112</v>
      </c>
      <c r="L43" s="1018">
        <v>1.3211046102094504E-2</v>
      </c>
      <c r="M43" s="1018">
        <v>0.10828407893156862</v>
      </c>
      <c r="N43" s="1018">
        <v>7.8041263823926468E-2</v>
      </c>
      <c r="O43" s="1565"/>
      <c r="P43" s="1018">
        <v>0.12689823325992669</v>
      </c>
      <c r="Q43" s="1018">
        <v>9.1823423764060871E-2</v>
      </c>
      <c r="R43" s="1563">
        <v>3.507480949586582</v>
      </c>
      <c r="S43" s="951"/>
      <c r="T43" s="1299"/>
      <c r="U43" s="1018">
        <v>0.12689823325992669</v>
      </c>
      <c r="V43" s="1018">
        <v>9.1823423764060871E-2</v>
      </c>
      <c r="W43" s="1018">
        <v>9.0849871401776791E-2</v>
      </c>
      <c r="X43" s="1018">
        <v>4.1250451195821013E-2</v>
      </c>
      <c r="Y43" s="1018">
        <v>2.4301486707321934E-2</v>
      </c>
      <c r="Z43" s="1082"/>
    </row>
    <row r="44" spans="1:26" ht="12.75" customHeight="1" x14ac:dyDescent="0.2">
      <c r="A44" s="1126"/>
      <c r="B44" s="1126"/>
      <c r="C44" s="998"/>
      <c r="D44" s="951"/>
      <c r="E44" s="907"/>
      <c r="F44" s="907"/>
      <c r="G44" s="951"/>
      <c r="H44" s="951"/>
      <c r="I44" s="951"/>
      <c r="J44" s="951"/>
      <c r="K44" s="951"/>
      <c r="L44" s="951"/>
      <c r="M44" s="951"/>
      <c r="N44" s="951"/>
      <c r="O44" s="1133"/>
      <c r="P44" s="1133"/>
      <c r="Q44" s="1133"/>
      <c r="R44" s="998"/>
      <c r="S44" s="951"/>
      <c r="T44" s="1133"/>
      <c r="U44" s="1133"/>
      <c r="V44" s="1133"/>
      <c r="W44" s="1133"/>
      <c r="X44" s="1133"/>
      <c r="Y44" s="1018"/>
      <c r="Z44" s="1082"/>
    </row>
    <row r="45" spans="1:26" ht="13.5" customHeight="1" x14ac:dyDescent="0.2">
      <c r="A45" s="953" t="s">
        <v>485</v>
      </c>
      <c r="B45" s="1126"/>
      <c r="C45" s="998">
        <v>4449</v>
      </c>
      <c r="D45" s="951">
        <v>7.2608284100923723E-2</v>
      </c>
      <c r="E45" s="907"/>
      <c r="F45" s="912">
        <v>65723</v>
      </c>
      <c r="G45" s="998">
        <v>60184</v>
      </c>
      <c r="H45" s="998">
        <v>65810</v>
      </c>
      <c r="I45" s="998">
        <v>66200</v>
      </c>
      <c r="J45" s="998">
        <v>61274</v>
      </c>
      <c r="K45" s="998">
        <v>59170</v>
      </c>
      <c r="L45" s="998">
        <v>54464</v>
      </c>
      <c r="M45" s="998">
        <v>39284</v>
      </c>
      <c r="N45" s="998">
        <v>38616</v>
      </c>
      <c r="O45" s="1133"/>
      <c r="P45" s="1158">
        <v>65723</v>
      </c>
      <c r="Q45" s="1158">
        <v>61274</v>
      </c>
      <c r="R45" s="998">
        <v>4449</v>
      </c>
      <c r="S45" s="951">
        <v>7.2608284100923723E-2</v>
      </c>
      <c r="T45" s="1133"/>
      <c r="U45" s="1158">
        <v>65723</v>
      </c>
      <c r="V45" s="1158">
        <v>61274</v>
      </c>
      <c r="W45" s="1158">
        <v>38616</v>
      </c>
      <c r="X45" s="1158">
        <v>32714</v>
      </c>
      <c r="Y45" s="1158">
        <v>33328</v>
      </c>
      <c r="Z45" s="1082"/>
    </row>
    <row r="46" spans="1:26" ht="13.5" customHeight="1" x14ac:dyDescent="0.2">
      <c r="A46" s="945" t="s">
        <v>239</v>
      </c>
      <c r="B46" s="1129"/>
      <c r="C46" s="998">
        <v>1406</v>
      </c>
      <c r="D46" s="951">
        <v>0.49946714031971579</v>
      </c>
      <c r="E46" s="907"/>
      <c r="F46" s="912">
        <v>4221</v>
      </c>
      <c r="G46" s="998">
        <v>3954</v>
      </c>
      <c r="H46" s="998">
        <v>4158</v>
      </c>
      <c r="I46" s="998">
        <v>3721</v>
      </c>
      <c r="J46" s="998">
        <v>2815</v>
      </c>
      <c r="K46" s="998">
        <v>2838</v>
      </c>
      <c r="L46" s="998">
        <v>2688</v>
      </c>
      <c r="M46" s="998">
        <v>2647</v>
      </c>
      <c r="N46" s="998">
        <v>2637</v>
      </c>
      <c r="O46" s="998"/>
      <c r="P46" s="998">
        <v>4221</v>
      </c>
      <c r="Q46" s="998">
        <v>2815</v>
      </c>
      <c r="R46" s="998">
        <v>1406</v>
      </c>
      <c r="S46" s="951">
        <v>0.49946714031971579</v>
      </c>
      <c r="T46" s="1133"/>
      <c r="U46" s="1158">
        <v>4221</v>
      </c>
      <c r="V46" s="1158">
        <v>2815</v>
      </c>
      <c r="W46" s="1158">
        <v>2637</v>
      </c>
      <c r="X46" s="1158">
        <v>1257</v>
      </c>
      <c r="Y46" s="1158">
        <v>1561</v>
      </c>
      <c r="Z46" s="1082"/>
    </row>
    <row r="47" spans="1:26" ht="12.75" customHeight="1" x14ac:dyDescent="0.2">
      <c r="A47" s="953"/>
      <c r="B47" s="1129"/>
      <c r="C47" s="998"/>
      <c r="D47" s="951"/>
      <c r="E47" s="907"/>
      <c r="F47" s="912"/>
      <c r="G47" s="998"/>
      <c r="H47" s="998"/>
      <c r="I47" s="998"/>
      <c r="J47" s="998"/>
      <c r="K47" s="998"/>
      <c r="L47" s="998"/>
      <c r="M47" s="998"/>
      <c r="N47" s="998"/>
      <c r="O47" s="1133"/>
      <c r="P47" s="1133"/>
      <c r="Q47" s="1133"/>
      <c r="R47" s="998"/>
      <c r="S47" s="951"/>
      <c r="T47" s="1133"/>
      <c r="U47" s="1133"/>
      <c r="V47" s="1133"/>
      <c r="W47" s="1133"/>
      <c r="X47" s="951"/>
      <c r="Y47" s="951"/>
      <c r="Z47" s="1082"/>
    </row>
    <row r="48" spans="1:26" ht="12.75" customHeight="1" x14ac:dyDescent="0.2">
      <c r="A48" s="1128" t="s">
        <v>84</v>
      </c>
      <c r="B48" s="1129"/>
      <c r="C48" s="998">
        <v>57</v>
      </c>
      <c r="D48" s="951">
        <v>6.0767590618336885E-2</v>
      </c>
      <c r="E48" s="907"/>
      <c r="F48" s="912">
        <v>995</v>
      </c>
      <c r="G48" s="998">
        <v>973</v>
      </c>
      <c r="H48" s="998">
        <v>972</v>
      </c>
      <c r="I48" s="998">
        <v>971</v>
      </c>
      <c r="J48" s="998">
        <v>938</v>
      </c>
      <c r="K48" s="998">
        <v>926</v>
      </c>
      <c r="L48" s="998">
        <v>939</v>
      </c>
      <c r="M48" s="998">
        <v>665</v>
      </c>
      <c r="N48" s="998">
        <v>672</v>
      </c>
      <c r="O48" s="1133"/>
      <c r="P48" s="1158">
        <v>995</v>
      </c>
      <c r="Q48" s="1158">
        <v>938</v>
      </c>
      <c r="R48" s="998">
        <v>57</v>
      </c>
      <c r="S48" s="951">
        <v>6.0767590618336885E-2</v>
      </c>
      <c r="T48" s="1133"/>
      <c r="U48" s="1158">
        <v>995</v>
      </c>
      <c r="V48" s="1158">
        <v>938</v>
      </c>
      <c r="W48" s="1158">
        <v>672</v>
      </c>
      <c r="X48" s="998">
        <v>666</v>
      </c>
      <c r="Y48" s="998">
        <v>703</v>
      </c>
      <c r="Z48" s="1082"/>
    </row>
    <row r="49" spans="1:26" ht="13.5" customHeight="1" x14ac:dyDescent="0.2">
      <c r="A49" s="1258" t="s">
        <v>643</v>
      </c>
      <c r="B49" s="1128"/>
      <c r="C49" s="998">
        <v>13</v>
      </c>
      <c r="D49" s="951">
        <v>9.154929577464789E-2</v>
      </c>
      <c r="E49" s="907"/>
      <c r="F49" s="912">
        <v>155</v>
      </c>
      <c r="G49" s="998">
        <v>150</v>
      </c>
      <c r="H49" s="998">
        <v>150</v>
      </c>
      <c r="I49" s="998">
        <v>148</v>
      </c>
      <c r="J49" s="998">
        <v>142</v>
      </c>
      <c r="K49" s="998">
        <v>134</v>
      </c>
      <c r="L49" s="998">
        <v>134</v>
      </c>
      <c r="M49" s="998">
        <v>135</v>
      </c>
      <c r="N49" s="998">
        <v>141</v>
      </c>
      <c r="O49" s="1133"/>
      <c r="P49" s="1158">
        <v>155</v>
      </c>
      <c r="Q49" s="1158">
        <v>142</v>
      </c>
      <c r="R49" s="998">
        <v>13</v>
      </c>
      <c r="S49" s="951">
        <v>9.154929577464789E-2</v>
      </c>
      <c r="T49" s="1133"/>
      <c r="U49" s="1158">
        <v>155</v>
      </c>
      <c r="V49" s="1158">
        <v>142</v>
      </c>
      <c r="W49" s="1158">
        <v>141</v>
      </c>
      <c r="X49" s="998">
        <v>139</v>
      </c>
      <c r="Y49" s="998">
        <v>152</v>
      </c>
      <c r="Z49" s="1082"/>
    </row>
    <row r="50" spans="1:26" ht="12.75" customHeight="1" x14ac:dyDescent="0.2">
      <c r="A50" s="1258" t="s">
        <v>644</v>
      </c>
      <c r="B50" s="1128"/>
      <c r="C50" s="998">
        <v>12</v>
      </c>
      <c r="D50" s="951">
        <v>6.3829787234042548E-2</v>
      </c>
      <c r="E50" s="907"/>
      <c r="F50" s="912">
        <v>200</v>
      </c>
      <c r="G50" s="998">
        <v>188</v>
      </c>
      <c r="H50" s="998">
        <v>193</v>
      </c>
      <c r="I50" s="998">
        <v>190</v>
      </c>
      <c r="J50" s="998">
        <v>188</v>
      </c>
      <c r="K50" s="998">
        <v>197</v>
      </c>
      <c r="L50" s="998">
        <v>200</v>
      </c>
      <c r="M50" s="998">
        <v>119</v>
      </c>
      <c r="N50" s="998">
        <v>118</v>
      </c>
      <c r="O50" s="1585"/>
      <c r="P50" s="1158">
        <v>200</v>
      </c>
      <c r="Q50" s="1158">
        <v>188</v>
      </c>
      <c r="R50" s="998">
        <v>12</v>
      </c>
      <c r="S50" s="951">
        <v>6.3829787234042548E-2</v>
      </c>
      <c r="T50" s="1585"/>
      <c r="U50" s="1158">
        <v>200</v>
      </c>
      <c r="V50" s="1158">
        <v>188</v>
      </c>
      <c r="W50" s="1158">
        <v>118</v>
      </c>
      <c r="X50" s="998">
        <v>118</v>
      </c>
      <c r="Y50" s="998">
        <v>114</v>
      </c>
      <c r="Z50" s="1082"/>
    </row>
    <row r="51" spans="1:26" ht="12.75" customHeight="1" x14ac:dyDescent="0.2">
      <c r="A51" s="945"/>
      <c r="B51" s="945"/>
      <c r="C51" s="1133"/>
      <c r="D51" s="1133"/>
      <c r="E51" s="1082"/>
      <c r="F51" s="899"/>
      <c r="G51" s="1133"/>
      <c r="H51" s="1133"/>
      <c r="I51" s="945"/>
      <c r="J51" s="945"/>
      <c r="K51" s="945"/>
      <c r="L51" s="1133"/>
      <c r="M51" s="945"/>
      <c r="N51" s="1133"/>
      <c r="O51" s="1133"/>
      <c r="P51" s="1133"/>
      <c r="Q51" s="1133"/>
      <c r="R51" s="1133"/>
      <c r="S51" s="1133"/>
      <c r="T51" s="1133"/>
      <c r="U51" s="1133"/>
      <c r="V51" s="1133"/>
      <c r="W51" s="1133"/>
      <c r="X51" s="1133"/>
      <c r="Y51" s="1133"/>
      <c r="Z51" s="1082"/>
    </row>
    <row r="52" spans="1:26" ht="18" customHeight="1" x14ac:dyDescent="0.2">
      <c r="A52" s="1247" t="s">
        <v>622</v>
      </c>
      <c r="B52" s="945"/>
      <c r="C52" s="1118"/>
      <c r="D52" s="1118"/>
      <c r="E52" s="1082"/>
      <c r="F52" s="899"/>
      <c r="G52" s="1133"/>
      <c r="H52" s="1133"/>
      <c r="I52" s="945"/>
      <c r="J52" s="945"/>
      <c r="K52" s="945"/>
      <c r="L52" s="1133"/>
      <c r="M52" s="945"/>
      <c r="N52" s="1133"/>
      <c r="O52" s="1118"/>
      <c r="P52" s="1118"/>
      <c r="Q52" s="1118"/>
      <c r="R52" s="1133"/>
      <c r="S52" s="1133"/>
      <c r="T52" s="1118"/>
      <c r="U52" s="1118"/>
      <c r="V52" s="1118"/>
      <c r="W52" s="1118"/>
      <c r="X52" s="1118"/>
      <c r="Y52" s="1118"/>
      <c r="Z52" s="1082"/>
    </row>
    <row r="53" spans="1:26" ht="12.75" customHeight="1" x14ac:dyDescent="0.2">
      <c r="A53" s="1248"/>
      <c r="B53" s="945"/>
      <c r="C53" s="1118"/>
      <c r="D53" s="1118"/>
      <c r="E53" s="1082"/>
      <c r="F53" s="1101"/>
      <c r="G53" s="1305"/>
      <c r="H53" s="1305"/>
      <c r="I53" s="1133"/>
      <c r="J53" s="1201"/>
      <c r="K53" s="1201"/>
      <c r="L53" s="1305"/>
      <c r="M53" s="1133"/>
      <c r="N53" s="1305"/>
      <c r="O53" s="1118"/>
      <c r="P53" s="1118"/>
      <c r="Q53" s="1118"/>
      <c r="R53" s="1133"/>
      <c r="S53" s="1133"/>
      <c r="T53" s="1118"/>
      <c r="U53" s="1118"/>
      <c r="V53" s="1118"/>
      <c r="W53" s="1118"/>
      <c r="X53" s="1118"/>
      <c r="Y53" s="1118"/>
      <c r="Z53" s="1082"/>
    </row>
    <row r="54" spans="1:26" ht="12.75" customHeight="1" x14ac:dyDescent="0.2">
      <c r="A54" s="944"/>
      <c r="B54" s="945"/>
      <c r="C54" s="2306" t="s">
        <v>667</v>
      </c>
      <c r="D54" s="2307"/>
      <c r="E54" s="900"/>
      <c r="F54" s="902"/>
      <c r="G54" s="975"/>
      <c r="H54" s="975"/>
      <c r="I54" s="1143"/>
      <c r="J54" s="975"/>
      <c r="K54" s="975"/>
      <c r="L54" s="975"/>
      <c r="M54" s="1143"/>
      <c r="N54" s="975"/>
      <c r="O54" s="1146"/>
      <c r="P54" s="980" t="s">
        <v>668</v>
      </c>
      <c r="Q54" s="981"/>
      <c r="R54" s="981" t="s">
        <v>551</v>
      </c>
      <c r="S54" s="982"/>
      <c r="T54" s="983"/>
      <c r="U54" s="984"/>
      <c r="V54" s="984"/>
      <c r="W54" s="984"/>
      <c r="X54" s="984"/>
      <c r="Y54" s="984"/>
      <c r="Z54" s="1668"/>
    </row>
    <row r="55" spans="1:26" ht="12.75" customHeight="1" x14ac:dyDescent="0.2">
      <c r="A55" s="944" t="s">
        <v>2</v>
      </c>
      <c r="B55" s="945"/>
      <c r="C55" s="2408" t="s">
        <v>35</v>
      </c>
      <c r="D55" s="2409"/>
      <c r="E55" s="1559"/>
      <c r="F55" s="906" t="s">
        <v>546</v>
      </c>
      <c r="G55" s="985" t="s">
        <v>547</v>
      </c>
      <c r="H55" s="985" t="s">
        <v>548</v>
      </c>
      <c r="I55" s="986" t="s">
        <v>549</v>
      </c>
      <c r="J55" s="985" t="s">
        <v>497</v>
      </c>
      <c r="K55" s="985" t="s">
        <v>496</v>
      </c>
      <c r="L55" s="985" t="s">
        <v>495</v>
      </c>
      <c r="M55" s="986" t="s">
        <v>494</v>
      </c>
      <c r="N55" s="985" t="s">
        <v>363</v>
      </c>
      <c r="O55" s="989"/>
      <c r="P55" s="983" t="s">
        <v>546</v>
      </c>
      <c r="Q55" s="983" t="s">
        <v>497</v>
      </c>
      <c r="R55" s="2310" t="s">
        <v>35</v>
      </c>
      <c r="S55" s="2311"/>
      <c r="T55" s="1203"/>
      <c r="U55" s="987" t="s">
        <v>550</v>
      </c>
      <c r="V55" s="987" t="s">
        <v>498</v>
      </c>
      <c r="W55" s="987" t="s">
        <v>490</v>
      </c>
      <c r="X55" s="987" t="s">
        <v>360</v>
      </c>
      <c r="Y55" s="987" t="s">
        <v>342</v>
      </c>
      <c r="Z55" s="1668"/>
    </row>
    <row r="56" spans="1:26" ht="12.75" customHeight="1" x14ac:dyDescent="0.2">
      <c r="A56" s="1132"/>
      <c r="B56" s="1133" t="s">
        <v>4</v>
      </c>
      <c r="C56" s="1251">
        <v>752</v>
      </c>
      <c r="D56" s="1135">
        <v>6.4617023836120229E-3</v>
      </c>
      <c r="E56" s="1076"/>
      <c r="F56" s="1092">
        <v>117130</v>
      </c>
      <c r="G56" s="1157">
        <v>115979</v>
      </c>
      <c r="H56" s="1157">
        <v>116126</v>
      </c>
      <c r="I56" s="1320">
        <v>112576</v>
      </c>
      <c r="J56" s="1179">
        <v>116378</v>
      </c>
      <c r="K56" s="1179">
        <v>109373</v>
      </c>
      <c r="L56" s="1157">
        <v>69563</v>
      </c>
      <c r="M56" s="1320">
        <v>74951</v>
      </c>
      <c r="N56" s="1166">
        <v>73333</v>
      </c>
      <c r="O56" s="1152"/>
      <c r="P56" s="1321">
        <v>461811</v>
      </c>
      <c r="Q56" s="1319">
        <v>370265</v>
      </c>
      <c r="R56" s="1591">
        <v>91546</v>
      </c>
      <c r="S56" s="2165">
        <v>0.24724454107193497</v>
      </c>
      <c r="T56" s="1118"/>
      <c r="U56" s="2252">
        <v>461811</v>
      </c>
      <c r="V56" s="1532">
        <v>370265</v>
      </c>
      <c r="W56" s="1532">
        <v>267111</v>
      </c>
      <c r="X56" s="1532">
        <v>246567</v>
      </c>
      <c r="Y56" s="1532">
        <v>250890</v>
      </c>
      <c r="Z56" s="1668"/>
    </row>
    <row r="57" spans="1:26" ht="12.75" customHeight="1" x14ac:dyDescent="0.2">
      <c r="A57" s="1118"/>
      <c r="B57" s="1133" t="s">
        <v>77</v>
      </c>
      <c r="C57" s="1134">
        <v>1213</v>
      </c>
      <c r="D57" s="1017">
        <v>1.277958637546488E-2</v>
      </c>
      <c r="E57" s="1968"/>
      <c r="F57" s="1092">
        <v>96130</v>
      </c>
      <c r="G57" s="1179">
        <v>93486</v>
      </c>
      <c r="H57" s="1179">
        <v>91821</v>
      </c>
      <c r="I57" s="1189">
        <v>90524</v>
      </c>
      <c r="J57" s="1179">
        <v>94917</v>
      </c>
      <c r="K57" s="1179">
        <v>86564</v>
      </c>
      <c r="L57" s="1179">
        <v>56927</v>
      </c>
      <c r="M57" s="1189">
        <v>58786</v>
      </c>
      <c r="N57" s="1186">
        <v>62071</v>
      </c>
      <c r="O57" s="1152"/>
      <c r="P57" s="1311">
        <v>371961</v>
      </c>
      <c r="Q57" s="1157">
        <v>297194</v>
      </c>
      <c r="R57" s="998">
        <v>74767</v>
      </c>
      <c r="S57" s="1207">
        <v>0.25157641136765885</v>
      </c>
      <c r="T57" s="1118"/>
      <c r="U57" s="1588">
        <v>371961</v>
      </c>
      <c r="V57" s="1532">
        <v>297194</v>
      </c>
      <c r="W57" s="1532">
        <v>220786</v>
      </c>
      <c r="X57" s="1532">
        <v>208322</v>
      </c>
      <c r="Y57" s="1532">
        <v>214736</v>
      </c>
      <c r="Z57" s="1668"/>
    </row>
    <row r="58" spans="1:26" ht="12.75" customHeight="1" x14ac:dyDescent="0.2">
      <c r="A58" s="1118"/>
      <c r="B58" s="1242" t="s">
        <v>313</v>
      </c>
      <c r="C58" s="1134">
        <v>1189</v>
      </c>
      <c r="D58" s="1017">
        <v>0.36811145510835913</v>
      </c>
      <c r="E58" s="1968"/>
      <c r="F58" s="1092">
        <v>4419</v>
      </c>
      <c r="G58" s="1179">
        <v>3030</v>
      </c>
      <c r="H58" s="1179">
        <v>3671</v>
      </c>
      <c r="I58" s="1189">
        <v>3347</v>
      </c>
      <c r="J58" s="1179">
        <v>3230</v>
      </c>
      <c r="K58" s="1179">
        <v>3667</v>
      </c>
      <c r="L58" s="1179">
        <v>4091</v>
      </c>
      <c r="M58" s="1189">
        <v>4541</v>
      </c>
      <c r="N58" s="1186">
        <v>4279</v>
      </c>
      <c r="O58" s="1152"/>
      <c r="P58" s="1311">
        <v>14467</v>
      </c>
      <c r="Q58" s="1157">
        <v>15529</v>
      </c>
      <c r="R58" s="998">
        <v>-1062</v>
      </c>
      <c r="S58" s="1207">
        <v>-6.8388176959237559E-2</v>
      </c>
      <c r="T58" s="1118"/>
      <c r="U58" s="1588">
        <v>14467</v>
      </c>
      <c r="V58" s="1532">
        <v>15529</v>
      </c>
      <c r="W58" s="1532">
        <v>16796</v>
      </c>
      <c r="X58" s="1532">
        <v>21854</v>
      </c>
      <c r="Y58" s="1532">
        <v>21683</v>
      </c>
      <c r="Z58" s="1668"/>
    </row>
    <row r="59" spans="1:26" x14ac:dyDescent="0.2">
      <c r="A59" s="1118"/>
      <c r="B59" s="1242" t="s">
        <v>69</v>
      </c>
      <c r="C59" s="1136">
        <v>-1650</v>
      </c>
      <c r="D59" s="1117">
        <v>-9.0505183478690146E-2</v>
      </c>
      <c r="E59" s="1968"/>
      <c r="F59" s="1106">
        <v>16581</v>
      </c>
      <c r="G59" s="1212">
        <v>19463</v>
      </c>
      <c r="H59" s="1212">
        <v>20634</v>
      </c>
      <c r="I59" s="1171">
        <v>18705</v>
      </c>
      <c r="J59" s="1212">
        <v>18231</v>
      </c>
      <c r="K59" s="1212">
        <v>19142</v>
      </c>
      <c r="L59" s="1212">
        <v>8545</v>
      </c>
      <c r="M59" s="1171">
        <v>11624</v>
      </c>
      <c r="N59" s="1212">
        <v>6983</v>
      </c>
      <c r="O59" s="1169"/>
      <c r="P59" s="1705">
        <v>75383</v>
      </c>
      <c r="Q59" s="1172">
        <v>57542</v>
      </c>
      <c r="R59" s="1211">
        <v>17841</v>
      </c>
      <c r="S59" s="1216">
        <v>0.31005178825901081</v>
      </c>
      <c r="T59" s="1118"/>
      <c r="U59" s="1581">
        <v>75383</v>
      </c>
      <c r="V59" s="1190">
        <v>57542</v>
      </c>
      <c r="W59" s="1190">
        <v>29529</v>
      </c>
      <c r="X59" s="1190">
        <v>16391</v>
      </c>
      <c r="Y59" s="1581">
        <v>14471</v>
      </c>
      <c r="Z59" s="1668"/>
    </row>
    <row r="60" spans="1:26" ht="12.75" customHeight="1" x14ac:dyDescent="0.2">
      <c r="A60" s="1118"/>
      <c r="B60" s="1133"/>
      <c r="C60" s="999"/>
      <c r="D60" s="957"/>
      <c r="E60" s="926"/>
      <c r="F60" s="926"/>
      <c r="G60" s="957"/>
      <c r="H60" s="957"/>
      <c r="I60" s="957"/>
      <c r="J60" s="957"/>
      <c r="K60" s="957"/>
      <c r="L60" s="957"/>
      <c r="M60" s="957"/>
      <c r="N60" s="957"/>
      <c r="O60" s="1133"/>
      <c r="P60" s="1133"/>
      <c r="Q60" s="1133"/>
      <c r="R60" s="999"/>
      <c r="S60" s="957"/>
      <c r="T60" s="1133"/>
      <c r="U60" s="1133"/>
      <c r="V60" s="1133"/>
      <c r="W60" s="1133"/>
      <c r="X60" s="1133"/>
      <c r="Y60" s="1133"/>
      <c r="Z60" s="1082"/>
    </row>
    <row r="61" spans="1:26" ht="12.75" customHeight="1" x14ac:dyDescent="0.2">
      <c r="A61" s="1118"/>
      <c r="B61" s="1128" t="s">
        <v>627</v>
      </c>
      <c r="C61" s="1563">
        <v>-2.4061590255068266</v>
      </c>
      <c r="D61" s="957"/>
      <c r="E61" s="926"/>
      <c r="F61" s="926">
        <v>0.56813796636216174</v>
      </c>
      <c r="G61" s="957">
        <v>0.56968934031160812</v>
      </c>
      <c r="H61" s="957">
        <v>0.57282606823622617</v>
      </c>
      <c r="I61" s="957">
        <v>0.57338153780557133</v>
      </c>
      <c r="J61" s="957">
        <v>0.59219955661723001</v>
      </c>
      <c r="K61" s="957">
        <v>0.57254532654311396</v>
      </c>
      <c r="L61" s="957">
        <v>0.56967065825223184</v>
      </c>
      <c r="M61" s="957">
        <v>0.53429573988339052</v>
      </c>
      <c r="N61" s="957">
        <v>0.57575716253255693</v>
      </c>
      <c r="O61" s="1133"/>
      <c r="P61" s="957">
        <v>0.57098466688753624</v>
      </c>
      <c r="Q61" s="957">
        <v>0.57044009020566355</v>
      </c>
      <c r="R61" s="1563">
        <v>5.4457668187268826E-2</v>
      </c>
      <c r="S61" s="957"/>
      <c r="T61" s="1133"/>
      <c r="U61" s="957">
        <v>0.57098466688753624</v>
      </c>
      <c r="V61" s="957">
        <v>0.57044009020566355</v>
      </c>
      <c r="W61" s="957">
        <v>0.55189790012391848</v>
      </c>
      <c r="X61" s="957">
        <v>0.55546362651936387</v>
      </c>
      <c r="Y61" s="957">
        <v>0.55395193112519436</v>
      </c>
      <c r="Z61" s="1082"/>
    </row>
    <row r="62" spans="1:26" ht="12.75" customHeight="1" x14ac:dyDescent="0.2">
      <c r="A62" s="1118"/>
      <c r="B62" s="1128" t="s">
        <v>72</v>
      </c>
      <c r="C62" s="1563">
        <v>2.9181325547945476</v>
      </c>
      <c r="D62" s="957"/>
      <c r="E62" s="926"/>
      <c r="F62" s="926">
        <v>0.25257406300691537</v>
      </c>
      <c r="G62" s="957">
        <v>0.23637037739590785</v>
      </c>
      <c r="H62" s="957">
        <v>0.21787541119129222</v>
      </c>
      <c r="I62" s="957">
        <v>0.2307330159181353</v>
      </c>
      <c r="J62" s="957">
        <v>0.2233927374589699</v>
      </c>
      <c r="K62" s="957">
        <v>0.21891143152331929</v>
      </c>
      <c r="L62" s="957">
        <v>0.2486810517085232</v>
      </c>
      <c r="M62" s="957">
        <v>0.25003001961281368</v>
      </c>
      <c r="N62" s="957">
        <v>0.2706694121336915</v>
      </c>
      <c r="O62" s="1133"/>
      <c r="P62" s="957">
        <v>0.23445522085874956</v>
      </c>
      <c r="Q62" s="957">
        <v>0.23221206433230254</v>
      </c>
      <c r="R62" s="1563">
        <v>0.2243156526447021</v>
      </c>
      <c r="S62" s="957"/>
      <c r="T62" s="1133"/>
      <c r="U62" s="957">
        <v>0.23445522085874956</v>
      </c>
      <c r="V62" s="957">
        <v>0.23221206433230254</v>
      </c>
      <c r="W62" s="957">
        <v>0.27467232723474511</v>
      </c>
      <c r="X62" s="957">
        <v>0.28942640337109182</v>
      </c>
      <c r="Y62" s="957">
        <v>0.30194507553110927</v>
      </c>
      <c r="Z62" s="1082"/>
    </row>
    <row r="63" spans="1:26" ht="12.75" customHeight="1" x14ac:dyDescent="0.2">
      <c r="A63" s="1118"/>
      <c r="B63" s="1128" t="s">
        <v>73</v>
      </c>
      <c r="C63" s="1563">
        <v>0.51197352928771256</v>
      </c>
      <c r="D63" s="957"/>
      <c r="E63" s="926"/>
      <c r="F63" s="926">
        <v>0.82071202936907706</v>
      </c>
      <c r="G63" s="957">
        <v>0.80605971770751605</v>
      </c>
      <c r="H63" s="957">
        <v>0.79070147942751834</v>
      </c>
      <c r="I63" s="957">
        <v>0.80411455372370666</v>
      </c>
      <c r="J63" s="957">
        <v>0.81559229407619993</v>
      </c>
      <c r="K63" s="957">
        <v>0.79145675806643323</v>
      </c>
      <c r="L63" s="957">
        <v>0.81835170996075501</v>
      </c>
      <c r="M63" s="957">
        <v>0.7843257594962042</v>
      </c>
      <c r="N63" s="957">
        <v>0.84642657466624849</v>
      </c>
      <c r="O63" s="1133"/>
      <c r="P63" s="957">
        <v>0.80543988774628583</v>
      </c>
      <c r="Q63" s="957">
        <v>0.80265215453796601</v>
      </c>
      <c r="R63" s="1563">
        <v>0.27877332083198203</v>
      </c>
      <c r="S63" s="957"/>
      <c r="T63" s="1133"/>
      <c r="U63" s="957">
        <v>0.80543988774628583</v>
      </c>
      <c r="V63" s="957">
        <v>0.80265215453796601</v>
      </c>
      <c r="W63" s="957">
        <v>0.82657022735866359</v>
      </c>
      <c r="X63" s="957">
        <v>0.8448900298904557</v>
      </c>
      <c r="Y63" s="957">
        <v>0.85589700665630353</v>
      </c>
      <c r="Z63" s="1082"/>
    </row>
    <row r="64" spans="1:26" ht="12.75" customHeight="1" x14ac:dyDescent="0.2">
      <c r="A64" s="1118"/>
      <c r="B64" s="1128" t="s">
        <v>74</v>
      </c>
      <c r="C64" s="1563">
        <v>-1.5092660259161867</v>
      </c>
      <c r="D64" s="957"/>
      <c r="E64" s="926"/>
      <c r="F64" s="926">
        <v>0.14156065909673013</v>
      </c>
      <c r="G64" s="957">
        <v>0.16781486303554954</v>
      </c>
      <c r="H64" s="957">
        <v>0.17768630625355217</v>
      </c>
      <c r="I64" s="957">
        <v>0.16615442012507106</v>
      </c>
      <c r="J64" s="957">
        <v>0.156653319355892</v>
      </c>
      <c r="K64" s="957">
        <v>0.17501577171696853</v>
      </c>
      <c r="L64" s="957">
        <v>0.12283829047050875</v>
      </c>
      <c r="M64" s="957">
        <v>0.15508799082066951</v>
      </c>
      <c r="N64" s="957">
        <v>9.5223160105273208E-2</v>
      </c>
      <c r="O64" s="1133"/>
      <c r="P64" s="957">
        <v>0.16323344398466039</v>
      </c>
      <c r="Q64" s="957">
        <v>0.15540761346603107</v>
      </c>
      <c r="R64" s="1563">
        <v>0.7825830518629312</v>
      </c>
      <c r="S64" s="957"/>
      <c r="T64" s="1133"/>
      <c r="U64" s="957">
        <v>0.16323344398466039</v>
      </c>
      <c r="V64" s="957">
        <v>0.15540761346603107</v>
      </c>
      <c r="W64" s="957">
        <v>0.11054954681761515</v>
      </c>
      <c r="X64" s="957">
        <v>6.6476860244882724E-2</v>
      </c>
      <c r="Y64" s="957">
        <v>5.7678663956315518E-2</v>
      </c>
      <c r="Z64" s="1082"/>
    </row>
    <row r="65" spans="1:26" ht="12.75" customHeight="1" x14ac:dyDescent="0.2">
      <c r="A65" s="1118"/>
      <c r="B65" s="1128"/>
      <c r="C65" s="1563"/>
      <c r="D65" s="957"/>
      <c r="E65" s="926"/>
      <c r="F65" s="926"/>
      <c r="G65" s="957"/>
      <c r="H65" s="957"/>
      <c r="I65" s="957"/>
      <c r="J65" s="957"/>
      <c r="K65" s="957"/>
      <c r="L65" s="957"/>
      <c r="M65" s="957"/>
      <c r="N65" s="957"/>
      <c r="O65" s="1133"/>
      <c r="P65" s="1133"/>
      <c r="Q65" s="1133"/>
      <c r="R65" s="1563"/>
      <c r="S65" s="957"/>
      <c r="T65" s="1133"/>
      <c r="U65" s="1018"/>
      <c r="V65" s="1018"/>
      <c r="W65" s="1018"/>
      <c r="X65" s="1018"/>
      <c r="Y65" s="1018"/>
      <c r="Z65" s="1082"/>
    </row>
    <row r="66" spans="1:26" ht="12.75" customHeight="1" x14ac:dyDescent="0.2">
      <c r="A66" s="1247" t="s">
        <v>177</v>
      </c>
      <c r="B66" s="1128"/>
      <c r="C66" s="1133"/>
      <c r="D66" s="1133"/>
      <c r="E66" s="1082"/>
      <c r="F66" s="899"/>
      <c r="G66" s="1133"/>
      <c r="H66" s="1133"/>
      <c r="I66" s="1133"/>
      <c r="J66" s="945"/>
      <c r="K66" s="945"/>
      <c r="L66" s="1133"/>
      <c r="M66" s="1133"/>
      <c r="N66" s="1133"/>
      <c r="O66" s="1133"/>
      <c r="P66" s="1133"/>
      <c r="Q66" s="1133"/>
      <c r="R66" s="1133"/>
      <c r="S66" s="1133"/>
      <c r="T66" s="1133"/>
      <c r="U66" s="1133"/>
      <c r="V66" s="1133"/>
      <c r="W66" s="1133"/>
      <c r="X66" s="1133"/>
      <c r="Y66" s="1133"/>
      <c r="Z66" s="1082"/>
    </row>
    <row r="67" spans="1:26" ht="12.75" customHeight="1" x14ac:dyDescent="0.2">
      <c r="C67" s="2306" t="s">
        <v>667</v>
      </c>
      <c r="D67" s="2307"/>
      <c r="E67" s="900"/>
      <c r="F67" s="902"/>
      <c r="G67" s="975"/>
      <c r="H67" s="975"/>
      <c r="I67" s="1143"/>
      <c r="J67" s="975"/>
      <c r="K67" s="975"/>
      <c r="L67" s="975"/>
      <c r="M67" s="1143"/>
      <c r="N67" s="975"/>
      <c r="O67" s="1146"/>
      <c r="P67" s="980" t="s">
        <v>668</v>
      </c>
      <c r="Q67" s="981"/>
      <c r="R67" s="981" t="s">
        <v>551</v>
      </c>
      <c r="S67" s="982"/>
      <c r="T67" s="1133"/>
      <c r="U67" s="984"/>
      <c r="V67" s="984"/>
      <c r="W67" s="984"/>
      <c r="X67" s="984"/>
      <c r="Y67" s="984"/>
      <c r="Z67" s="1668"/>
    </row>
    <row r="68" spans="1:26" ht="12.75" customHeight="1" x14ac:dyDescent="0.2">
      <c r="C68" s="2308" t="s">
        <v>35</v>
      </c>
      <c r="D68" s="2309"/>
      <c r="E68" s="1559"/>
      <c r="F68" s="906" t="s">
        <v>546</v>
      </c>
      <c r="G68" s="985" t="s">
        <v>547</v>
      </c>
      <c r="H68" s="985" t="s">
        <v>548</v>
      </c>
      <c r="I68" s="986" t="s">
        <v>549</v>
      </c>
      <c r="J68" s="985" t="s">
        <v>497</v>
      </c>
      <c r="K68" s="985" t="s">
        <v>496</v>
      </c>
      <c r="L68" s="985" t="s">
        <v>495</v>
      </c>
      <c r="M68" s="986" t="s">
        <v>494</v>
      </c>
      <c r="N68" s="985" t="s">
        <v>363</v>
      </c>
      <c r="O68" s="989"/>
      <c r="P68" s="985" t="s">
        <v>546</v>
      </c>
      <c r="Q68" s="985" t="s">
        <v>497</v>
      </c>
      <c r="R68" s="2304" t="s">
        <v>35</v>
      </c>
      <c r="S68" s="2305"/>
      <c r="T68" s="1133"/>
      <c r="U68" s="987" t="s">
        <v>550</v>
      </c>
      <c r="V68" s="987" t="s">
        <v>498</v>
      </c>
      <c r="W68" s="987" t="s">
        <v>490</v>
      </c>
      <c r="X68" s="987" t="s">
        <v>360</v>
      </c>
      <c r="Y68" s="987" t="s">
        <v>342</v>
      </c>
      <c r="Z68" s="1668"/>
    </row>
    <row r="69" spans="1:26" ht="12.75" customHeight="1" x14ac:dyDescent="0.2">
      <c r="A69" s="1118"/>
      <c r="B69" s="945" t="s">
        <v>282</v>
      </c>
      <c r="C69" s="1251">
        <v>2032</v>
      </c>
      <c r="D69" s="1135">
        <v>2.1527704205954019E-2</v>
      </c>
      <c r="E69" s="1076"/>
      <c r="F69" s="1094">
        <v>96422</v>
      </c>
      <c r="G69" s="1186">
        <v>93717</v>
      </c>
      <c r="H69" s="1186">
        <v>94552</v>
      </c>
      <c r="I69" s="1165">
        <v>96273</v>
      </c>
      <c r="J69" s="1186">
        <v>94390</v>
      </c>
      <c r="K69" s="1186">
        <v>89157</v>
      </c>
      <c r="L69" s="1186">
        <v>60089</v>
      </c>
      <c r="M69" s="1165">
        <v>63180</v>
      </c>
      <c r="N69" s="1179">
        <v>59943</v>
      </c>
      <c r="O69" s="1152"/>
      <c r="P69" s="1166">
        <v>380964</v>
      </c>
      <c r="Q69" s="1166">
        <v>306816</v>
      </c>
      <c r="R69" s="1186">
        <v>74148</v>
      </c>
      <c r="S69" s="1207">
        <v>0.24166927409261577</v>
      </c>
      <c r="T69" s="1133"/>
      <c r="U69" s="1532">
        <v>380964</v>
      </c>
      <c r="V69" s="1532">
        <v>306816</v>
      </c>
      <c r="W69" s="1532">
        <v>226207</v>
      </c>
      <c r="X69" s="1532">
        <v>220437</v>
      </c>
      <c r="Y69" s="1532">
        <v>214902</v>
      </c>
      <c r="Z69" s="1668"/>
    </row>
    <row r="70" spans="1:26" ht="12.75" customHeight="1" x14ac:dyDescent="0.2">
      <c r="A70" s="1118"/>
      <c r="B70" s="945" t="s">
        <v>57</v>
      </c>
      <c r="C70" s="1134">
        <v>-3687</v>
      </c>
      <c r="D70" s="1017">
        <v>-0.22071236156839269</v>
      </c>
      <c r="E70" s="1076"/>
      <c r="F70" s="1094">
        <v>13018</v>
      </c>
      <c r="G70" s="1186">
        <v>14579</v>
      </c>
      <c r="H70" s="1186">
        <v>12400</v>
      </c>
      <c r="I70" s="1165">
        <v>10529</v>
      </c>
      <c r="J70" s="1186">
        <v>16705</v>
      </c>
      <c r="K70" s="1186">
        <v>16431</v>
      </c>
      <c r="L70" s="1186">
        <v>5964</v>
      </c>
      <c r="M70" s="1165">
        <v>8275</v>
      </c>
      <c r="N70" s="1179">
        <v>9802</v>
      </c>
      <c r="O70" s="1152"/>
      <c r="P70" s="1166">
        <v>50526</v>
      </c>
      <c r="Q70" s="1166">
        <v>47375</v>
      </c>
      <c r="R70" s="1166">
        <v>3151</v>
      </c>
      <c r="S70" s="1207">
        <v>6.6511873350923484E-2</v>
      </c>
      <c r="T70" s="1133"/>
      <c r="U70" s="1532">
        <v>50526</v>
      </c>
      <c r="V70" s="1532">
        <v>47375</v>
      </c>
      <c r="W70" s="1532">
        <v>27209</v>
      </c>
      <c r="X70" s="1532">
        <v>11638</v>
      </c>
      <c r="Y70" s="1532">
        <v>20980</v>
      </c>
      <c r="Z70" s="1668"/>
    </row>
    <row r="71" spans="1:26" ht="12.75" customHeight="1" x14ac:dyDescent="0.2">
      <c r="A71" s="1118"/>
      <c r="B71" s="945" t="s">
        <v>188</v>
      </c>
      <c r="C71" s="1134">
        <v>82</v>
      </c>
      <c r="D71" s="1017" t="s">
        <v>38</v>
      </c>
      <c r="E71" s="1076"/>
      <c r="F71" s="1094">
        <v>82</v>
      </c>
      <c r="G71" s="1186">
        <v>649</v>
      </c>
      <c r="H71" s="1186">
        <v>480</v>
      </c>
      <c r="I71" s="1165">
        <v>273</v>
      </c>
      <c r="J71" s="1186">
        <v>0</v>
      </c>
      <c r="K71" s="1186">
        <v>-140</v>
      </c>
      <c r="L71" s="1186">
        <v>140</v>
      </c>
      <c r="M71" s="1165">
        <v>0</v>
      </c>
      <c r="N71" s="1042">
        <v>0</v>
      </c>
      <c r="O71" s="1156"/>
      <c r="P71" s="1166">
        <v>1484</v>
      </c>
      <c r="Q71" s="1166">
        <v>0</v>
      </c>
      <c r="R71" s="1166">
        <v>1484</v>
      </c>
      <c r="S71" s="1208" t="s">
        <v>38</v>
      </c>
      <c r="T71" s="1158"/>
      <c r="U71" s="1532">
        <v>1484</v>
      </c>
      <c r="V71" s="1532">
        <v>0</v>
      </c>
      <c r="W71" s="1532">
        <v>466</v>
      </c>
      <c r="X71" s="1532">
        <v>8</v>
      </c>
      <c r="Y71" s="1532">
        <v>87</v>
      </c>
      <c r="Z71" s="1668"/>
    </row>
    <row r="72" spans="1:26" ht="12.75" customHeight="1" x14ac:dyDescent="0.2">
      <c r="A72" s="1118"/>
      <c r="B72" s="945" t="s">
        <v>58</v>
      </c>
      <c r="C72" s="1134">
        <v>37</v>
      </c>
      <c r="D72" s="1017">
        <v>1.5416666666666667</v>
      </c>
      <c r="E72" s="1076"/>
      <c r="F72" s="1094">
        <v>61</v>
      </c>
      <c r="G72" s="1186">
        <v>53</v>
      </c>
      <c r="H72" s="1186">
        <v>-28</v>
      </c>
      <c r="I72" s="1165">
        <v>14</v>
      </c>
      <c r="J72" s="1186">
        <v>24</v>
      </c>
      <c r="K72" s="1186">
        <v>23</v>
      </c>
      <c r="L72" s="1186">
        <v>102</v>
      </c>
      <c r="M72" s="1165">
        <v>52</v>
      </c>
      <c r="N72" s="1186">
        <v>114</v>
      </c>
      <c r="O72" s="1152"/>
      <c r="P72" s="1166">
        <v>100</v>
      </c>
      <c r="Q72" s="1166">
        <v>201</v>
      </c>
      <c r="R72" s="1166">
        <v>-101</v>
      </c>
      <c r="S72" s="1208">
        <v>-0.50248756218905477</v>
      </c>
      <c r="T72" s="1133"/>
      <c r="U72" s="1532">
        <v>100</v>
      </c>
      <c r="V72" s="1532">
        <v>201</v>
      </c>
      <c r="W72" s="1532">
        <v>520</v>
      </c>
      <c r="X72" s="1532">
        <v>239</v>
      </c>
      <c r="Y72" s="1532">
        <v>261</v>
      </c>
      <c r="Z72" s="1668"/>
    </row>
    <row r="73" spans="1:26" ht="12.75" customHeight="1" x14ac:dyDescent="0.2">
      <c r="A73" s="1118"/>
      <c r="B73" s="945" t="s">
        <v>59</v>
      </c>
      <c r="C73" s="1134">
        <v>1976</v>
      </c>
      <c r="D73" s="1017">
        <v>0.51364699766051469</v>
      </c>
      <c r="E73" s="1076"/>
      <c r="F73" s="1094">
        <v>5823</v>
      </c>
      <c r="G73" s="1186">
        <v>5578</v>
      </c>
      <c r="H73" s="1186">
        <v>8047</v>
      </c>
      <c r="I73" s="1165">
        <v>4688</v>
      </c>
      <c r="J73" s="1186">
        <v>3847</v>
      </c>
      <c r="K73" s="1186">
        <v>3162</v>
      </c>
      <c r="L73" s="1186">
        <v>2632</v>
      </c>
      <c r="M73" s="1165">
        <v>2431</v>
      </c>
      <c r="N73" s="1179">
        <v>2337</v>
      </c>
      <c r="O73" s="1152"/>
      <c r="P73" s="1166">
        <v>24136</v>
      </c>
      <c r="Q73" s="1166">
        <v>12072</v>
      </c>
      <c r="R73" s="1166">
        <v>12064</v>
      </c>
      <c r="S73" s="1207">
        <v>0.99933730947647448</v>
      </c>
      <c r="T73" s="1133"/>
      <c r="U73" s="1532">
        <v>24136</v>
      </c>
      <c r="V73" s="1532">
        <v>12072</v>
      </c>
      <c r="W73" s="1532">
        <v>8881</v>
      </c>
      <c r="X73" s="1532">
        <v>9904</v>
      </c>
      <c r="Y73" s="1532">
        <v>10712</v>
      </c>
      <c r="Z73" s="1668"/>
    </row>
    <row r="74" spans="1:26" ht="12.75" customHeight="1" x14ac:dyDescent="0.2">
      <c r="A74" s="1248"/>
      <c r="B74" s="945" t="s">
        <v>60</v>
      </c>
      <c r="C74" s="1136">
        <v>312</v>
      </c>
      <c r="D74" s="1117">
        <v>0.22096317280453256</v>
      </c>
      <c r="E74" s="2219"/>
      <c r="F74" s="1106">
        <v>1724</v>
      </c>
      <c r="G74" s="1212">
        <v>1403</v>
      </c>
      <c r="H74" s="1212">
        <v>675</v>
      </c>
      <c r="I74" s="1165">
        <v>799</v>
      </c>
      <c r="J74" s="1212">
        <v>1412</v>
      </c>
      <c r="K74" s="1212">
        <v>740</v>
      </c>
      <c r="L74" s="1212">
        <v>636</v>
      </c>
      <c r="M74" s="1165">
        <v>1013</v>
      </c>
      <c r="N74" s="1210">
        <v>1137</v>
      </c>
      <c r="O74" s="1152"/>
      <c r="P74" s="1166">
        <v>4601</v>
      </c>
      <c r="Q74" s="1166">
        <v>3801</v>
      </c>
      <c r="R74" s="1172">
        <v>800</v>
      </c>
      <c r="S74" s="1252">
        <v>0.2104709287029729</v>
      </c>
      <c r="T74" s="1118"/>
      <c r="U74" s="1532">
        <v>4601</v>
      </c>
      <c r="V74" s="1532">
        <v>3801</v>
      </c>
      <c r="W74" s="1532">
        <v>3828</v>
      </c>
      <c r="X74" s="1532">
        <v>4341</v>
      </c>
      <c r="Y74" s="1532">
        <v>3948</v>
      </c>
      <c r="Z74" s="1668"/>
    </row>
    <row r="75" spans="1:26" ht="12.75" customHeight="1" x14ac:dyDescent="0.2">
      <c r="A75" s="1248"/>
      <c r="B75" s="945"/>
      <c r="C75" s="1136">
        <v>752</v>
      </c>
      <c r="D75" s="1117">
        <v>6.4617023836120229E-3</v>
      </c>
      <c r="E75" s="1078"/>
      <c r="F75" s="1096">
        <v>117130</v>
      </c>
      <c r="G75" s="1197">
        <v>115979</v>
      </c>
      <c r="H75" s="1197">
        <v>116126</v>
      </c>
      <c r="I75" s="1314">
        <v>112576</v>
      </c>
      <c r="J75" s="1192">
        <v>116378</v>
      </c>
      <c r="K75" s="1192">
        <v>109373</v>
      </c>
      <c r="L75" s="1197">
        <v>69563</v>
      </c>
      <c r="M75" s="1314">
        <v>74951</v>
      </c>
      <c r="N75" s="1197">
        <v>73333</v>
      </c>
      <c r="O75" s="1146"/>
      <c r="P75" s="1313">
        <v>461811</v>
      </c>
      <c r="Q75" s="1313">
        <v>370265</v>
      </c>
      <c r="R75" s="1316">
        <v>91546</v>
      </c>
      <c r="S75" s="1250">
        <v>0.24724454107193497</v>
      </c>
      <c r="U75" s="2253">
        <v>461811</v>
      </c>
      <c r="V75" s="1318">
        <v>370265</v>
      </c>
      <c r="W75" s="1318">
        <v>267111</v>
      </c>
      <c r="X75" s="1318">
        <v>246567</v>
      </c>
      <c r="Y75" s="1315">
        <v>250890</v>
      </c>
      <c r="Z75" s="1668"/>
    </row>
    <row r="76" spans="1:26" ht="12.75" customHeight="1" x14ac:dyDescent="0.2">
      <c r="A76" s="945" t="s">
        <v>339</v>
      </c>
      <c r="B76" s="969"/>
      <c r="C76" s="969"/>
      <c r="D76" s="969"/>
      <c r="E76" s="937"/>
      <c r="F76" s="937"/>
      <c r="G76" s="969"/>
      <c r="H76" s="969"/>
      <c r="I76" s="969"/>
      <c r="J76" s="969"/>
      <c r="K76" s="969"/>
      <c r="L76" s="969"/>
      <c r="M76" s="969"/>
      <c r="N76" s="969"/>
      <c r="O76" s="1109"/>
      <c r="P76" s="1109"/>
      <c r="Q76" s="1109"/>
      <c r="R76" s="1118"/>
      <c r="S76" s="1118"/>
      <c r="Z76" s="1075"/>
    </row>
    <row r="77" spans="1:26" x14ac:dyDescent="0.2">
      <c r="A77" s="968" t="s">
        <v>25</v>
      </c>
      <c r="B77" s="1109"/>
      <c r="C77" s="1109"/>
      <c r="D77" s="1109"/>
      <c r="O77" s="998"/>
      <c r="P77" s="998"/>
      <c r="Q77" s="998"/>
      <c r="R77" s="998"/>
      <c r="S77" s="998"/>
      <c r="T77" s="998"/>
      <c r="U77" s="998"/>
      <c r="Z77" s="1075"/>
    </row>
    <row r="78" spans="1:26" x14ac:dyDescent="0.2">
      <c r="A78" s="940"/>
      <c r="C78" s="1577"/>
      <c r="Z78" s="1075"/>
    </row>
    <row r="79" spans="1:26" x14ac:dyDescent="0.2">
      <c r="A79" s="945" t="s">
        <v>552</v>
      </c>
      <c r="C79" s="1578"/>
      <c r="Z79" s="1075"/>
    </row>
    <row r="80" spans="1:26" x14ac:dyDescent="0.2">
      <c r="A80" s="940"/>
      <c r="C80" s="1577"/>
    </row>
    <row r="81" spans="1:25" x14ac:dyDescent="0.2">
      <c r="A81" s="945"/>
      <c r="R81" s="1219"/>
    </row>
    <row r="82" spans="1:25" x14ac:dyDescent="0.2">
      <c r="O82" s="1109"/>
      <c r="P82" s="1109"/>
      <c r="Q82" s="1109"/>
    </row>
    <row r="83" spans="1:25" x14ac:dyDescent="0.2">
      <c r="O83" s="1109"/>
      <c r="P83" s="1109"/>
      <c r="Q83" s="1109"/>
      <c r="V83" s="1219"/>
      <c r="W83" s="1219"/>
      <c r="X83" s="1219"/>
      <c r="Y83" s="1219"/>
    </row>
    <row r="84" spans="1:25" x14ac:dyDescent="0.2">
      <c r="O84" s="1109"/>
      <c r="P84" s="1109"/>
      <c r="Q84" s="1109"/>
      <c r="V84" s="1219"/>
      <c r="W84" s="1219"/>
      <c r="X84" s="1219"/>
      <c r="Y84" s="1219"/>
    </row>
    <row r="85" spans="1:25" x14ac:dyDescent="0.2">
      <c r="E85" s="1074"/>
      <c r="F85" s="895"/>
      <c r="G85" s="1108"/>
      <c r="H85" s="1108"/>
      <c r="I85" s="1108"/>
      <c r="J85" s="939"/>
      <c r="K85" s="939"/>
      <c r="L85" s="1108"/>
      <c r="M85" s="1108"/>
      <c r="N85" s="1108"/>
      <c r="O85" s="1109"/>
      <c r="P85" s="1109"/>
      <c r="Q85" s="1109"/>
    </row>
    <row r="86" spans="1:25" x14ac:dyDescent="0.2">
      <c r="E86" s="1074"/>
      <c r="F86" s="895"/>
      <c r="G86" s="1108"/>
      <c r="H86" s="1108"/>
      <c r="I86" s="1108"/>
      <c r="J86" s="939"/>
      <c r="K86" s="939"/>
      <c r="L86" s="1108"/>
      <c r="M86" s="1108"/>
      <c r="N86" s="1108"/>
      <c r="O86" s="1109"/>
      <c r="P86" s="1109"/>
      <c r="Q86" s="1109"/>
      <c r="V86" s="1219"/>
      <c r="W86" s="1219"/>
      <c r="X86" s="1219"/>
      <c r="Y86" s="1219"/>
    </row>
    <row r="87" spans="1:25" x14ac:dyDescent="0.2">
      <c r="E87" s="1074"/>
      <c r="F87" s="895"/>
      <c r="G87" s="1108"/>
      <c r="H87" s="1108"/>
      <c r="I87" s="1108"/>
      <c r="J87" s="939"/>
      <c r="K87" s="939"/>
      <c r="L87" s="1108"/>
      <c r="M87" s="1108"/>
      <c r="N87" s="1108"/>
      <c r="O87" s="1109"/>
      <c r="P87" s="1109"/>
      <c r="Q87" s="1109"/>
      <c r="V87" s="1219"/>
      <c r="W87" s="1219"/>
      <c r="X87" s="1219"/>
      <c r="Y87" s="1219"/>
    </row>
    <row r="88" spans="1:25" x14ac:dyDescent="0.2">
      <c r="E88" s="1074"/>
      <c r="F88" s="895"/>
      <c r="G88" s="1108"/>
      <c r="H88" s="1108"/>
      <c r="I88" s="1108"/>
      <c r="J88" s="939"/>
      <c r="K88" s="939"/>
      <c r="L88" s="1108"/>
      <c r="M88" s="1108"/>
      <c r="N88" s="1108"/>
      <c r="O88" s="1109"/>
      <c r="P88" s="1109"/>
      <c r="Q88" s="1109"/>
      <c r="V88" s="1219"/>
      <c r="W88" s="1219"/>
      <c r="X88" s="1219"/>
      <c r="Y88" s="1219"/>
    </row>
    <row r="89" spans="1:25" x14ac:dyDescent="0.2">
      <c r="E89" s="1074"/>
      <c r="F89" s="895"/>
      <c r="G89" s="1108"/>
      <c r="H89" s="1108"/>
      <c r="I89" s="1108"/>
      <c r="J89" s="939"/>
      <c r="K89" s="939"/>
      <c r="L89" s="1108"/>
      <c r="M89" s="1108"/>
      <c r="N89" s="1108"/>
      <c r="O89" s="1109"/>
      <c r="P89" s="1109"/>
      <c r="Q89" s="1109"/>
      <c r="V89" s="1219"/>
      <c r="W89" s="1219"/>
      <c r="X89" s="1219"/>
      <c r="Y89" s="1219"/>
    </row>
    <row r="90" spans="1:25" x14ac:dyDescent="0.2">
      <c r="E90" s="1074"/>
      <c r="F90" s="895"/>
      <c r="G90" s="1108"/>
      <c r="H90" s="1108"/>
      <c r="I90" s="1108"/>
      <c r="J90" s="939"/>
      <c r="K90" s="939"/>
      <c r="L90" s="1108"/>
      <c r="M90" s="1108"/>
      <c r="N90" s="1108"/>
      <c r="O90" s="1109"/>
      <c r="P90" s="1109"/>
      <c r="Q90" s="1109"/>
      <c r="V90" s="1219"/>
      <c r="W90" s="1219"/>
      <c r="X90" s="1219"/>
      <c r="Y90" s="1219"/>
    </row>
    <row r="91" spans="1:25" x14ac:dyDescent="0.2">
      <c r="E91" s="1074"/>
      <c r="F91" s="895"/>
      <c r="G91" s="1108"/>
      <c r="H91" s="1108"/>
      <c r="I91" s="1108"/>
      <c r="J91" s="939"/>
      <c r="K91" s="939"/>
      <c r="L91" s="1108"/>
      <c r="M91" s="1108"/>
      <c r="N91" s="1108"/>
      <c r="O91" s="1109"/>
      <c r="P91" s="1109"/>
      <c r="Q91" s="1109"/>
      <c r="V91" s="1219"/>
      <c r="W91" s="1219"/>
      <c r="X91" s="1219"/>
      <c r="Y91" s="1219"/>
    </row>
    <row r="92" spans="1:25" x14ac:dyDescent="0.2">
      <c r="E92" s="1074"/>
      <c r="F92" s="895"/>
      <c r="G92" s="1108"/>
      <c r="H92" s="1108"/>
      <c r="I92" s="1108"/>
      <c r="J92" s="939"/>
      <c r="K92" s="939"/>
      <c r="L92" s="1108"/>
      <c r="M92" s="1108"/>
      <c r="N92" s="1108"/>
      <c r="O92" s="1109"/>
      <c r="P92" s="1109"/>
      <c r="Q92" s="1109"/>
      <c r="V92" s="1219"/>
      <c r="W92" s="1219"/>
      <c r="X92" s="1219"/>
      <c r="Y92" s="1219"/>
    </row>
    <row r="93" spans="1:25" x14ac:dyDescent="0.2">
      <c r="E93" s="1074"/>
      <c r="F93" s="895"/>
      <c r="G93" s="1108"/>
      <c r="H93" s="1108"/>
      <c r="I93" s="1108"/>
      <c r="J93" s="939"/>
      <c r="K93" s="939"/>
      <c r="L93" s="1108"/>
      <c r="M93" s="1108"/>
      <c r="N93" s="1108"/>
      <c r="O93" s="1109"/>
      <c r="P93" s="1109"/>
      <c r="Q93" s="1109"/>
    </row>
    <row r="94" spans="1:25" x14ac:dyDescent="0.2">
      <c r="E94" s="1074"/>
      <c r="F94" s="895"/>
      <c r="G94" s="1108"/>
      <c r="H94" s="1108"/>
      <c r="I94" s="1108"/>
      <c r="J94" s="939"/>
      <c r="K94" s="939"/>
      <c r="L94" s="1108"/>
      <c r="M94" s="1108"/>
      <c r="N94" s="1108"/>
      <c r="O94" s="1109"/>
      <c r="P94" s="1109"/>
      <c r="Q94" s="1109"/>
      <c r="R94" s="998"/>
      <c r="S94" s="951"/>
      <c r="V94" s="1219"/>
      <c r="W94" s="1219"/>
      <c r="X94" s="1219"/>
      <c r="Y94" s="1219"/>
    </row>
    <row r="95" spans="1:25" x14ac:dyDescent="0.2">
      <c r="O95" s="1109"/>
      <c r="P95" s="1109"/>
      <c r="Q95" s="1109"/>
      <c r="V95" s="1219"/>
      <c r="W95" s="1219"/>
      <c r="X95" s="1219"/>
      <c r="Y95" s="1219"/>
    </row>
    <row r="96" spans="1:25" x14ac:dyDescent="0.2">
      <c r="O96" s="1109"/>
      <c r="P96" s="1109"/>
      <c r="Q96" s="1109"/>
      <c r="V96" s="1219"/>
      <c r="W96" s="1219"/>
      <c r="X96" s="1219"/>
      <c r="Y96" s="1219"/>
    </row>
    <row r="97" spans="15:25" x14ac:dyDescent="0.2">
      <c r="O97" s="1109"/>
      <c r="P97" s="1109"/>
      <c r="Q97" s="1109"/>
      <c r="V97" s="1219"/>
      <c r="W97" s="1219"/>
      <c r="X97" s="1219"/>
      <c r="Y97" s="1219"/>
    </row>
    <row r="98" spans="15:25" x14ac:dyDescent="0.2">
      <c r="O98" s="1109"/>
      <c r="P98" s="1109"/>
      <c r="Q98" s="1109"/>
      <c r="V98" s="1219"/>
      <c r="W98" s="1219"/>
      <c r="X98" s="1219"/>
      <c r="Y98" s="1219"/>
    </row>
  </sheetData>
  <mergeCells count="10">
    <mergeCell ref="C68:D68"/>
    <mergeCell ref="R68:S68"/>
    <mergeCell ref="C10:D10"/>
    <mergeCell ref="C11:D11"/>
    <mergeCell ref="R11:S11"/>
    <mergeCell ref="A32:B32"/>
    <mergeCell ref="C54:D54"/>
    <mergeCell ref="C55:D55"/>
    <mergeCell ref="R55:S55"/>
    <mergeCell ref="C67:D67"/>
  </mergeCells>
  <conditionalFormatting sqref="A66 A74:A75 A52:A53 A38:A41 A44 A35 P41:Q43 P36:Q39 X38:Y43 K38:N43 U36:W43 J38:J39 F38:I43 B35:B47">
    <cfRule type="cellIs" dxfId="78" priority="61" stopIfTrue="1" operator="equal">
      <formula>0</formula>
    </cfRule>
  </conditionalFormatting>
  <conditionalFormatting sqref="Y65 Y47 Y44">
    <cfRule type="cellIs" dxfId="77" priority="54" stopIfTrue="1" operator="equal">
      <formula>0</formula>
    </cfRule>
  </conditionalFormatting>
  <conditionalFormatting sqref="X65 X47">
    <cfRule type="cellIs" dxfId="76" priority="50" stopIfTrue="1" operator="equal">
      <formula>0</formula>
    </cfRule>
  </conditionalFormatting>
  <conditionalFormatting sqref="N36:N37">
    <cfRule type="cellIs" dxfId="75" priority="44" stopIfTrue="1" operator="equal">
      <formula>0</formula>
    </cfRule>
  </conditionalFormatting>
  <conditionalFormatting sqref="N36:N37">
    <cfRule type="cellIs" dxfId="74" priority="42" stopIfTrue="1" operator="equal">
      <formula>0</formula>
    </cfRule>
  </conditionalFormatting>
  <conditionalFormatting sqref="W65">
    <cfRule type="cellIs" dxfId="73" priority="40" stopIfTrue="1" operator="equal">
      <formula>0</formula>
    </cfRule>
  </conditionalFormatting>
  <conditionalFormatting sqref="K36:N37">
    <cfRule type="cellIs" dxfId="72" priority="38" stopIfTrue="1" operator="equal">
      <formula>0</formula>
    </cfRule>
  </conditionalFormatting>
  <conditionalFormatting sqref="M36:M37">
    <cfRule type="cellIs" dxfId="71" priority="36" stopIfTrue="1" operator="equal">
      <formula>0</formula>
    </cfRule>
  </conditionalFormatting>
  <conditionalFormatting sqref="K36:N37">
    <cfRule type="cellIs" dxfId="70" priority="34" stopIfTrue="1" operator="equal">
      <formula>0</formula>
    </cfRule>
  </conditionalFormatting>
  <conditionalFormatting sqref="X36:Y37">
    <cfRule type="cellIs" dxfId="69" priority="30" stopIfTrue="1" operator="equal">
      <formula>0</formula>
    </cfRule>
  </conditionalFormatting>
  <conditionalFormatting sqref="J36:J37">
    <cfRule type="cellIs" dxfId="68" priority="24" stopIfTrue="1" operator="equal">
      <formula>0</formula>
    </cfRule>
  </conditionalFormatting>
  <conditionalFormatting sqref="J41:J43">
    <cfRule type="cellIs" dxfId="67" priority="23" stopIfTrue="1" operator="equal">
      <formula>0</formula>
    </cfRule>
  </conditionalFormatting>
  <conditionalFormatting sqref="J36:J37">
    <cfRule type="cellIs" dxfId="66" priority="22" stopIfTrue="1" operator="equal">
      <formula>0</formula>
    </cfRule>
  </conditionalFormatting>
  <conditionalFormatting sqref="V65">
    <cfRule type="cellIs" dxfId="65" priority="26" stopIfTrue="1" operator="equal">
      <formula>0</formula>
    </cfRule>
  </conditionalFormatting>
  <conditionalFormatting sqref="B61">
    <cfRule type="cellIs" dxfId="64" priority="21" stopIfTrue="1" operator="equal">
      <formula>0</formula>
    </cfRule>
  </conditionalFormatting>
  <conditionalFormatting sqref="H36:I37">
    <cfRule type="cellIs" dxfId="63" priority="20" stopIfTrue="1" operator="equal">
      <formula>0</formula>
    </cfRule>
  </conditionalFormatting>
  <conditionalFormatting sqref="J40">
    <cfRule type="cellIs" dxfId="62" priority="19" stopIfTrue="1" operator="equal">
      <formula>0</formula>
    </cfRule>
  </conditionalFormatting>
  <conditionalFormatting sqref="I36:I37">
    <cfRule type="cellIs" dxfId="61" priority="18" stopIfTrue="1" operator="equal">
      <formula>0</formula>
    </cfRule>
  </conditionalFormatting>
  <conditionalFormatting sqref="J40">
    <cfRule type="cellIs" dxfId="60" priority="17" stopIfTrue="1" operator="equal">
      <formula>0</formula>
    </cfRule>
  </conditionalFormatting>
  <conditionalFormatting sqref="H36:I37">
    <cfRule type="cellIs" dxfId="59" priority="16" stopIfTrue="1" operator="equal">
      <formula>0</formula>
    </cfRule>
  </conditionalFormatting>
  <conditionalFormatting sqref="F36:F37">
    <cfRule type="cellIs" dxfId="58" priority="15" stopIfTrue="1" operator="equal">
      <formula>0</formula>
    </cfRule>
  </conditionalFormatting>
  <conditionalFormatting sqref="F36:F37">
    <cfRule type="cellIs" dxfId="57" priority="13" stopIfTrue="1" operator="equal">
      <formula>0</formula>
    </cfRule>
  </conditionalFormatting>
  <conditionalFormatting sqref="P40">
    <cfRule type="cellIs" dxfId="56" priority="12" stopIfTrue="1" operator="equal">
      <formula>0</formula>
    </cfRule>
  </conditionalFormatting>
  <conditionalFormatting sqref="P40">
    <cfRule type="cellIs" dxfId="55" priority="11" stopIfTrue="1" operator="equal">
      <formula>0</formula>
    </cfRule>
  </conditionalFormatting>
  <conditionalFormatting sqref="Q40">
    <cfRule type="cellIs" dxfId="54" priority="10" stopIfTrue="1" operator="equal">
      <formula>0</formula>
    </cfRule>
  </conditionalFormatting>
  <conditionalFormatting sqref="Q40">
    <cfRule type="cellIs" dxfId="53" priority="9" stopIfTrue="1" operator="equal">
      <formula>0</formula>
    </cfRule>
  </conditionalFormatting>
  <conditionalFormatting sqref="G36:G37">
    <cfRule type="cellIs" dxfId="52" priority="5" stopIfTrue="1" operator="equal">
      <formula>0</formula>
    </cfRule>
  </conditionalFormatting>
  <conditionalFormatting sqref="G36:G37">
    <cfRule type="cellIs" dxfId="51" priority="3" stopIfTrue="1" operator="equal">
      <formula>0</formula>
    </cfRule>
  </conditionalFormatting>
  <conditionalFormatting sqref="U65">
    <cfRule type="cellIs" dxfId="50" priority="2" stopIfTrue="1" operator="equal">
      <formula>0</formula>
    </cfRule>
  </conditionalFormatting>
  <printOptions horizontalCentered="1" verticalCentered="1"/>
  <pageMargins left="0" right="0" top="0" bottom="0" header="0" footer="0"/>
  <pageSetup scale="56" orientation="landscape" r:id="rId1"/>
  <headerFooter alignWithMargins="0">
    <oddFooter>&amp;L&amp;F&amp;CPage 9</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I101"/>
  <sheetViews>
    <sheetView workbookViewId="0"/>
  </sheetViews>
  <sheetFormatPr defaultColWidth="9.140625" defaultRowHeight="12.75" outlineLevelRow="1" x14ac:dyDescent="0.2"/>
  <cols>
    <col min="1" max="1" width="2.7109375" style="480" customWidth="1"/>
    <col min="2" max="2" width="48.140625" style="480" customWidth="1"/>
    <col min="3" max="4" width="9.7109375" style="480" customWidth="1"/>
    <col min="5" max="5" width="1.5703125" style="481" customWidth="1"/>
    <col min="6" max="8" width="9.28515625" style="481" hidden="1" customWidth="1"/>
    <col min="9" max="9" width="9.42578125" style="481" customWidth="1"/>
    <col min="10" max="12" width="9.28515625" style="481" customWidth="1"/>
    <col min="13" max="14" width="9.42578125" style="481" customWidth="1"/>
    <col min="15" max="16" width="9.28515625" style="481" customWidth="1"/>
    <col min="17" max="17" width="9.42578125" style="481" customWidth="1"/>
    <col min="18" max="18" width="9.42578125" style="481" hidden="1" customWidth="1"/>
    <col min="19" max="26" width="9.28515625" style="481" hidden="1" customWidth="1"/>
    <col min="27" max="28" width="9.7109375" style="481" hidden="1" customWidth="1"/>
    <col min="29" max="37" width="9.7109375" style="480" hidden="1" customWidth="1"/>
    <col min="38" max="38" width="1.5703125" style="480" customWidth="1"/>
    <col min="39" max="41" width="10" style="480" hidden="1" customWidth="1"/>
    <col min="42" max="42" width="9.7109375" style="480" hidden="1" customWidth="1"/>
    <col min="43" max="43" width="1.5703125" style="480" hidden="1" customWidth="1"/>
    <col min="44" max="46" width="9.5703125" style="480" customWidth="1"/>
    <col min="47" max="48" width="9.7109375" style="480" customWidth="1"/>
    <col min="49" max="53" width="9.7109375" style="480" hidden="1" customWidth="1"/>
    <col min="54" max="54" width="1.5703125" style="480" customWidth="1"/>
    <col min="55" max="16384" width="9.140625" style="480"/>
  </cols>
  <sheetData>
    <row r="1" spans="1:61" ht="9" customHeight="1" x14ac:dyDescent="0.2"/>
    <row r="3" spans="1:61" x14ac:dyDescent="0.2">
      <c r="AR3" s="347"/>
    </row>
    <row r="4" spans="1:61" x14ac:dyDescent="0.2">
      <c r="AR4" s="347"/>
    </row>
    <row r="5" spans="1:61" ht="6.75" customHeight="1" x14ac:dyDescent="0.2">
      <c r="A5" s="481"/>
      <c r="B5" s="481"/>
      <c r="C5" s="481"/>
      <c r="D5" s="481"/>
      <c r="AC5" s="481"/>
      <c r="AD5" s="481"/>
      <c r="AE5" s="481"/>
      <c r="AM5" s="347"/>
    </row>
    <row r="6" spans="1:61" ht="18" customHeight="1" x14ac:dyDescent="0.2">
      <c r="A6" s="81" t="s">
        <v>284</v>
      </c>
      <c r="B6" s="481"/>
      <c r="C6" s="481"/>
      <c r="D6" s="481"/>
      <c r="F6" s="325"/>
      <c r="G6" s="325"/>
      <c r="H6" s="325"/>
      <c r="I6" s="325"/>
      <c r="J6" s="325"/>
      <c r="K6" s="325"/>
      <c r="L6" s="325"/>
      <c r="M6" s="325"/>
      <c r="AC6" s="481"/>
      <c r="AD6" s="481"/>
      <c r="AE6" s="481"/>
      <c r="AM6" s="347"/>
    </row>
    <row r="7" spans="1:61" ht="18" customHeight="1" x14ac:dyDescent="0.2">
      <c r="A7" s="107" t="s">
        <v>271</v>
      </c>
      <c r="B7" s="4"/>
      <c r="C7" s="4"/>
      <c r="D7" s="4"/>
      <c r="E7" s="4"/>
      <c r="F7" s="4"/>
      <c r="G7" s="4"/>
      <c r="H7" s="4"/>
      <c r="I7" s="4"/>
      <c r="J7" s="4"/>
      <c r="K7" s="4"/>
      <c r="L7" s="4"/>
      <c r="M7" s="4"/>
      <c r="N7" s="4"/>
      <c r="O7" s="4"/>
      <c r="P7" s="4"/>
      <c r="Q7" s="4"/>
      <c r="R7" s="4"/>
      <c r="S7" s="4"/>
      <c r="T7" s="4"/>
      <c r="U7" s="4"/>
      <c r="V7" s="4"/>
      <c r="W7" s="4"/>
      <c r="X7" s="4"/>
      <c r="Y7" s="4"/>
      <c r="Z7" s="4"/>
      <c r="AA7" s="4"/>
      <c r="AB7" s="4"/>
      <c r="AC7" s="481"/>
      <c r="AD7" s="481"/>
      <c r="AE7" s="481"/>
      <c r="AM7" s="354"/>
    </row>
    <row r="8" spans="1:61" ht="15" x14ac:dyDescent="0.2">
      <c r="A8" s="510" t="s">
        <v>237</v>
      </c>
      <c r="B8" s="4"/>
      <c r="C8" s="4"/>
      <c r="D8" s="4"/>
      <c r="E8" s="4"/>
      <c r="F8" s="4"/>
      <c r="G8" s="4"/>
      <c r="H8" s="4"/>
      <c r="I8" s="4"/>
      <c r="J8" s="4"/>
      <c r="K8" s="4"/>
      <c r="L8" s="4"/>
      <c r="M8" s="4"/>
      <c r="N8" s="4"/>
      <c r="O8" s="4"/>
      <c r="P8" s="4"/>
      <c r="Q8" s="4"/>
      <c r="R8" s="4"/>
      <c r="S8" s="4"/>
      <c r="T8" s="4"/>
      <c r="U8" s="4"/>
      <c r="V8" s="4"/>
      <c r="W8" s="4"/>
      <c r="X8" s="4"/>
      <c r="Y8" s="4"/>
      <c r="Z8" s="4"/>
      <c r="AA8" s="4"/>
      <c r="AB8" s="4"/>
      <c r="AC8" s="481"/>
      <c r="AD8" s="481"/>
      <c r="AE8" s="481"/>
    </row>
    <row r="9" spans="1:61" ht="9.75" customHeight="1" x14ac:dyDescent="0.2">
      <c r="A9" s="2"/>
      <c r="B9" s="2"/>
      <c r="C9" s="2"/>
      <c r="D9" s="2"/>
      <c r="E9" s="2"/>
      <c r="F9" s="281"/>
      <c r="G9" s="281"/>
      <c r="H9" s="281"/>
      <c r="I9" s="2"/>
      <c r="J9" s="281"/>
      <c r="K9" s="281"/>
      <c r="L9" s="281"/>
      <c r="M9" s="2"/>
      <c r="N9" s="281"/>
      <c r="O9" s="2"/>
      <c r="P9" s="281"/>
      <c r="Q9" s="2"/>
      <c r="R9" s="281"/>
      <c r="S9" s="2"/>
      <c r="T9" s="281"/>
      <c r="U9" s="2"/>
      <c r="V9" s="281"/>
      <c r="W9" s="2"/>
      <c r="X9" s="281"/>
      <c r="Y9" s="2"/>
      <c r="Z9" s="281"/>
      <c r="AA9" s="2"/>
      <c r="AB9" s="2"/>
      <c r="AC9" s="481"/>
      <c r="AD9" s="481"/>
      <c r="AE9" s="481"/>
      <c r="AO9" s="366"/>
      <c r="AP9" s="366"/>
      <c r="AY9" s="481"/>
      <c r="AZ9" s="481"/>
      <c r="BA9" s="481"/>
    </row>
    <row r="10" spans="1:61" x14ac:dyDescent="0.2">
      <c r="A10" s="5" t="s">
        <v>1</v>
      </c>
      <c r="B10" s="6"/>
      <c r="C10" s="2431"/>
      <c r="D10" s="2432"/>
      <c r="E10" s="184"/>
      <c r="F10" s="273"/>
      <c r="G10" s="273"/>
      <c r="H10" s="273"/>
      <c r="I10" s="17"/>
      <c r="J10" s="273"/>
      <c r="K10" s="273"/>
      <c r="L10" s="273"/>
      <c r="M10" s="17"/>
      <c r="N10" s="15"/>
      <c r="O10" s="16"/>
      <c r="P10" s="273"/>
      <c r="Q10" s="17"/>
      <c r="R10" s="15"/>
      <c r="S10" s="16"/>
      <c r="T10" s="273"/>
      <c r="U10" s="17"/>
      <c r="W10" s="16"/>
      <c r="X10" s="2"/>
      <c r="Y10" s="17"/>
      <c r="Z10" s="16"/>
      <c r="AB10" s="273"/>
      <c r="AC10" s="17"/>
      <c r="AD10" s="16"/>
      <c r="AE10" s="16"/>
      <c r="AF10" s="16"/>
      <c r="AG10" s="16"/>
      <c r="AH10" s="20"/>
      <c r="AI10" s="17"/>
      <c r="AJ10" s="17"/>
      <c r="AK10" s="17"/>
      <c r="AL10" s="22"/>
      <c r="AM10" s="445" t="s">
        <v>281</v>
      </c>
      <c r="AN10" s="433"/>
      <c r="AO10" s="433" t="s">
        <v>266</v>
      </c>
      <c r="AP10" s="434"/>
      <c r="AQ10" s="13"/>
      <c r="AR10" s="46"/>
      <c r="AS10" s="46"/>
      <c r="AT10" s="46"/>
      <c r="AU10" s="46"/>
      <c r="AV10" s="46"/>
      <c r="AW10" s="15"/>
      <c r="AX10" s="20"/>
      <c r="AY10" s="46"/>
      <c r="AZ10" s="572"/>
      <c r="BA10" s="573"/>
      <c r="BB10" s="23"/>
    </row>
    <row r="11" spans="1:61" ht="13.5" x14ac:dyDescent="0.2">
      <c r="A11" s="5" t="s">
        <v>2</v>
      </c>
      <c r="B11" s="6"/>
      <c r="C11" s="2433"/>
      <c r="D11" s="2434"/>
      <c r="E11" s="355"/>
      <c r="F11" s="19" t="s">
        <v>296</v>
      </c>
      <c r="G11" s="19" t="s">
        <v>295</v>
      </c>
      <c r="H11" s="19" t="s">
        <v>294</v>
      </c>
      <c r="I11" s="12" t="s">
        <v>292</v>
      </c>
      <c r="J11" s="19" t="s">
        <v>252</v>
      </c>
      <c r="K11" s="19" t="s">
        <v>253</v>
      </c>
      <c r="L11" s="19" t="s">
        <v>254</v>
      </c>
      <c r="M11" s="12" t="s">
        <v>255</v>
      </c>
      <c r="N11" s="18" t="s">
        <v>202</v>
      </c>
      <c r="O11" s="19" t="s">
        <v>203</v>
      </c>
      <c r="P11" s="19" t="s">
        <v>204</v>
      </c>
      <c r="Q11" s="12" t="s">
        <v>201</v>
      </c>
      <c r="R11" s="18" t="s">
        <v>173</v>
      </c>
      <c r="S11" s="19" t="s">
        <v>174</v>
      </c>
      <c r="T11" s="19" t="s">
        <v>175</v>
      </c>
      <c r="U11" s="12" t="s">
        <v>176</v>
      </c>
      <c r="V11" s="19" t="s">
        <v>109</v>
      </c>
      <c r="W11" s="19" t="s">
        <v>108</v>
      </c>
      <c r="X11" s="19" t="s">
        <v>107</v>
      </c>
      <c r="Y11" s="12" t="s">
        <v>106</v>
      </c>
      <c r="Z11" s="19" t="s">
        <v>78</v>
      </c>
      <c r="AA11" s="19" t="s">
        <v>79</v>
      </c>
      <c r="AB11" s="19" t="s">
        <v>80</v>
      </c>
      <c r="AC11" s="12" t="s">
        <v>26</v>
      </c>
      <c r="AD11" s="19" t="s">
        <v>27</v>
      </c>
      <c r="AE11" s="19" t="s">
        <v>28</v>
      </c>
      <c r="AF11" s="19" t="s">
        <v>29</v>
      </c>
      <c r="AG11" s="19" t="s">
        <v>30</v>
      </c>
      <c r="AH11" s="21" t="s">
        <v>31</v>
      </c>
      <c r="AI11" s="12" t="s">
        <v>32</v>
      </c>
      <c r="AJ11" s="12" t="s">
        <v>33</v>
      </c>
      <c r="AK11" s="12" t="s">
        <v>34</v>
      </c>
      <c r="AL11" s="184"/>
      <c r="AM11" s="19" t="s">
        <v>253</v>
      </c>
      <c r="AN11" s="19" t="s">
        <v>203</v>
      </c>
      <c r="AO11" s="2436" t="s">
        <v>35</v>
      </c>
      <c r="AP11" s="2437"/>
      <c r="AQ11" s="568"/>
      <c r="AR11" s="18" t="s">
        <v>257</v>
      </c>
      <c r="AS11" s="18" t="s">
        <v>206</v>
      </c>
      <c r="AT11" s="18"/>
      <c r="AU11" s="18"/>
      <c r="AV11" s="18"/>
      <c r="AW11" s="18"/>
      <c r="AX11" s="21"/>
      <c r="AY11" s="21"/>
      <c r="AZ11" s="21"/>
      <c r="BA11" s="18"/>
      <c r="BB11" s="23"/>
      <c r="BC11" s="481"/>
      <c r="BD11" s="481"/>
      <c r="BG11" s="481"/>
      <c r="BH11" s="481"/>
      <c r="BI11" s="481"/>
    </row>
    <row r="12" spans="1:61" x14ac:dyDescent="0.2">
      <c r="A12" s="5"/>
      <c r="B12" s="6"/>
      <c r="C12" s="571"/>
      <c r="D12" s="569"/>
      <c r="E12" s="355"/>
      <c r="F12" s="421" t="s">
        <v>220</v>
      </c>
      <c r="G12" s="421" t="s">
        <v>220</v>
      </c>
      <c r="H12" s="421" t="s">
        <v>220</v>
      </c>
      <c r="I12" s="422" t="s">
        <v>220</v>
      </c>
      <c r="J12" s="421" t="s">
        <v>220</v>
      </c>
      <c r="K12" s="421" t="s">
        <v>220</v>
      </c>
      <c r="L12" s="421" t="s">
        <v>220</v>
      </c>
      <c r="M12" s="422" t="s">
        <v>220</v>
      </c>
      <c r="N12" s="420" t="s">
        <v>220</v>
      </c>
      <c r="O12" s="421" t="s">
        <v>220</v>
      </c>
      <c r="P12" s="421" t="s">
        <v>220</v>
      </c>
      <c r="Q12" s="422" t="s">
        <v>220</v>
      </c>
      <c r="R12" s="420" t="s">
        <v>220</v>
      </c>
      <c r="S12" s="421" t="s">
        <v>220</v>
      </c>
      <c r="T12" s="421" t="s">
        <v>220</v>
      </c>
      <c r="U12" s="422" t="s">
        <v>220</v>
      </c>
      <c r="V12" s="420" t="s">
        <v>221</v>
      </c>
      <c r="W12" s="421" t="s">
        <v>221</v>
      </c>
      <c r="X12" s="421" t="s">
        <v>221</v>
      </c>
      <c r="Y12" s="422" t="s">
        <v>221</v>
      </c>
      <c r="Z12" s="13"/>
      <c r="AA12" s="13"/>
      <c r="AB12" s="13"/>
      <c r="AC12" s="159"/>
      <c r="AD12" s="13"/>
      <c r="AE12" s="13"/>
      <c r="AF12" s="13"/>
      <c r="AG12" s="13"/>
      <c r="AH12" s="184"/>
      <c r="AI12" s="159"/>
      <c r="AJ12" s="159"/>
      <c r="AK12" s="159"/>
      <c r="AL12" s="184"/>
      <c r="AM12" s="420" t="s">
        <v>220</v>
      </c>
      <c r="AN12" s="421" t="s">
        <v>220</v>
      </c>
      <c r="AO12" s="435"/>
      <c r="AP12" s="436"/>
      <c r="AQ12" s="568"/>
      <c r="AR12" s="420" t="s">
        <v>220</v>
      </c>
      <c r="AS12" s="420" t="s">
        <v>220</v>
      </c>
      <c r="AT12" s="420"/>
      <c r="AU12" s="420"/>
      <c r="AV12" s="420"/>
      <c r="AW12" s="420"/>
      <c r="AX12" s="423"/>
      <c r="AY12" s="184"/>
      <c r="AZ12" s="184"/>
      <c r="BA12" s="158"/>
      <c r="BB12" s="23"/>
      <c r="BC12" s="481"/>
      <c r="BD12" s="481"/>
      <c r="BG12" s="481"/>
      <c r="BH12" s="481"/>
      <c r="BI12" s="481"/>
    </row>
    <row r="13" spans="1:61" ht="12.75" customHeight="1" x14ac:dyDescent="0.2">
      <c r="A13" s="408" t="s">
        <v>56</v>
      </c>
      <c r="B13" s="7"/>
      <c r="C13" s="105"/>
      <c r="D13" s="107"/>
      <c r="E13" s="47"/>
      <c r="F13" s="483"/>
      <c r="G13" s="483"/>
      <c r="H13" s="483"/>
      <c r="I13" s="107"/>
      <c r="J13" s="483"/>
      <c r="K13" s="483"/>
      <c r="L13" s="483"/>
      <c r="M13" s="107"/>
      <c r="N13" s="483"/>
      <c r="O13" s="483"/>
      <c r="P13" s="483"/>
      <c r="Q13" s="107"/>
      <c r="R13" s="483"/>
      <c r="S13" s="483"/>
      <c r="T13" s="483"/>
      <c r="U13" s="107"/>
      <c r="V13" s="483"/>
      <c r="W13" s="483"/>
      <c r="X13" s="483"/>
      <c r="Y13" s="107"/>
      <c r="Z13" s="483"/>
      <c r="AA13" s="483"/>
      <c r="AB13" s="483"/>
      <c r="AC13" s="107"/>
      <c r="AD13" s="126"/>
      <c r="AE13" s="483"/>
      <c r="AF13" s="483"/>
      <c r="AH13" s="20"/>
      <c r="AI13" s="24"/>
      <c r="AJ13" s="24"/>
      <c r="AK13" s="17"/>
      <c r="AL13" s="47"/>
      <c r="AM13" s="483"/>
      <c r="AN13" s="483"/>
      <c r="AO13" s="483"/>
      <c r="AP13" s="107"/>
      <c r="AQ13" s="482"/>
      <c r="AR13" s="47"/>
      <c r="AS13" s="47"/>
      <c r="AT13" s="47"/>
      <c r="AU13" s="47"/>
      <c r="AV13" s="47"/>
      <c r="AW13" s="105"/>
      <c r="AX13" s="47"/>
      <c r="AY13" s="225"/>
      <c r="AZ13" s="225"/>
      <c r="BA13" s="467"/>
      <c r="BB13" s="23"/>
      <c r="BC13" s="481"/>
      <c r="BD13" s="481"/>
      <c r="BG13" s="481"/>
    </row>
    <row r="14" spans="1:61" ht="12.75" customHeight="1" x14ac:dyDescent="0.2">
      <c r="A14" s="6"/>
      <c r="B14" s="489" t="s">
        <v>265</v>
      </c>
      <c r="C14" s="459"/>
      <c r="D14" s="498"/>
      <c r="E14" s="497"/>
      <c r="F14" s="502"/>
      <c r="G14" s="502"/>
      <c r="H14" s="502"/>
      <c r="I14" s="143">
        <v>755</v>
      </c>
      <c r="J14" s="502">
        <v>1298</v>
      </c>
      <c r="K14" s="502">
        <v>178</v>
      </c>
      <c r="L14" s="502">
        <v>1153</v>
      </c>
      <c r="M14" s="143">
        <v>844</v>
      </c>
      <c r="N14" s="488">
        <v>0</v>
      </c>
      <c r="O14" s="488">
        <v>0</v>
      </c>
      <c r="P14" s="488">
        <v>0</v>
      </c>
      <c r="Q14" s="109">
        <v>0</v>
      </c>
      <c r="R14" s="488">
        <v>0</v>
      </c>
      <c r="S14" s="488">
        <v>0</v>
      </c>
      <c r="T14" s="488">
        <v>0</v>
      </c>
      <c r="U14" s="109">
        <v>0</v>
      </c>
      <c r="V14" s="502"/>
      <c r="W14" s="502"/>
      <c r="X14" s="502"/>
      <c r="Y14" s="143"/>
      <c r="Z14" s="502"/>
      <c r="AA14" s="502"/>
      <c r="AB14" s="502"/>
      <c r="AC14" s="143"/>
      <c r="AD14" s="114"/>
      <c r="AE14" s="139"/>
      <c r="AF14" s="139"/>
      <c r="AG14" s="488"/>
      <c r="AH14" s="409"/>
      <c r="AI14" s="109"/>
      <c r="AJ14" s="109"/>
      <c r="AK14" s="109"/>
      <c r="AL14" s="47"/>
      <c r="AM14" s="488">
        <f>SUM(K14:M14)</f>
        <v>2175</v>
      </c>
      <c r="AN14" s="488">
        <f>SUM(O14:Q14)</f>
        <v>0</v>
      </c>
      <c r="AO14" s="507">
        <f>AR14-AS14</f>
        <v>3473</v>
      </c>
      <c r="AP14" s="324" t="s">
        <v>38</v>
      </c>
      <c r="AQ14" s="482"/>
      <c r="AR14" s="499">
        <f>SUM(J14:M14)</f>
        <v>3473</v>
      </c>
      <c r="AS14" s="410"/>
      <c r="AT14" s="410"/>
      <c r="AU14" s="410"/>
      <c r="AV14" s="410"/>
      <c r="AW14" s="410"/>
      <c r="AX14" s="499"/>
      <c r="AY14" s="226"/>
      <c r="AZ14" s="226"/>
      <c r="BA14" s="226"/>
      <c r="BB14" s="483"/>
      <c r="BD14" s="481"/>
      <c r="BG14" s="481"/>
    </row>
    <row r="15" spans="1:61" ht="12.75" customHeight="1" x14ac:dyDescent="0.2">
      <c r="A15" s="7"/>
      <c r="B15" s="6"/>
      <c r="C15" s="110"/>
      <c r="D15" s="111"/>
      <c r="E15" s="497"/>
      <c r="F15" s="269">
        <f t="shared" ref="F15:N15" si="0">SUM(F14:F14)</f>
        <v>0</v>
      </c>
      <c r="G15" s="269">
        <f t="shared" si="0"/>
        <v>0</v>
      </c>
      <c r="H15" s="269">
        <f t="shared" si="0"/>
        <v>0</v>
      </c>
      <c r="I15" s="148">
        <f t="shared" si="0"/>
        <v>755</v>
      </c>
      <c r="J15" s="269">
        <f t="shared" si="0"/>
        <v>1298</v>
      </c>
      <c r="K15" s="269">
        <f t="shared" si="0"/>
        <v>178</v>
      </c>
      <c r="L15" s="269">
        <f t="shared" si="0"/>
        <v>1153</v>
      </c>
      <c r="M15" s="148">
        <f t="shared" si="0"/>
        <v>844</v>
      </c>
      <c r="N15" s="269">
        <f t="shared" si="0"/>
        <v>0</v>
      </c>
      <c r="O15" s="269">
        <f>SUM(O14:O14)</f>
        <v>0</v>
      </c>
      <c r="P15" s="269">
        <f>SUM(P14:P14)</f>
        <v>0</v>
      </c>
      <c r="Q15" s="269">
        <f>SUM(Q14:Q14)</f>
        <v>0</v>
      </c>
      <c r="R15" s="269">
        <v>72704</v>
      </c>
      <c r="S15" s="269">
        <v>68599</v>
      </c>
      <c r="T15" s="269">
        <v>44539</v>
      </c>
      <c r="U15" s="148">
        <v>47207</v>
      </c>
      <c r="V15" s="269">
        <v>54990</v>
      </c>
      <c r="W15" s="269">
        <v>51733</v>
      </c>
      <c r="X15" s="269">
        <v>40138</v>
      </c>
      <c r="Y15" s="148">
        <v>40185</v>
      </c>
      <c r="Z15" s="269">
        <v>37255</v>
      </c>
      <c r="AA15" s="269">
        <v>33532</v>
      </c>
      <c r="AB15" s="269">
        <v>43844</v>
      </c>
      <c r="AC15" s="148">
        <v>57853</v>
      </c>
      <c r="AD15" s="117">
        <v>54463</v>
      </c>
      <c r="AE15" s="147">
        <v>61166</v>
      </c>
      <c r="AF15" s="147">
        <v>57415</v>
      </c>
      <c r="AG15" s="147">
        <v>76083</v>
      </c>
      <c r="AH15" s="112">
        <v>75876</v>
      </c>
      <c r="AI15" s="148">
        <v>68831</v>
      </c>
      <c r="AJ15" s="148">
        <v>55626</v>
      </c>
      <c r="AK15" s="148">
        <v>72286</v>
      </c>
      <c r="AL15" s="47"/>
      <c r="AM15" s="517">
        <f>SUM(AM14:AM14)</f>
        <v>2175</v>
      </c>
      <c r="AN15" s="517">
        <f>SUM(AN14:AN14)</f>
        <v>0</v>
      </c>
      <c r="AO15" s="269">
        <f>AR15-AS15</f>
        <v>3473</v>
      </c>
      <c r="AP15" s="111" t="e">
        <f>IF(OR((AO15/AS15)&gt;3,(AO15/AS15)&lt;-3),"n.m.",(AO15/AS15))</f>
        <v>#DIV/0!</v>
      </c>
      <c r="AQ15" s="482"/>
      <c r="AR15" s="130">
        <f>SUM(AR14:AR14)</f>
        <v>3473</v>
      </c>
      <c r="AS15" s="130"/>
      <c r="AT15" s="130"/>
      <c r="AU15" s="130"/>
      <c r="AV15" s="130"/>
      <c r="AW15" s="130"/>
      <c r="AX15" s="130"/>
      <c r="AY15" s="227"/>
      <c r="AZ15" s="227"/>
      <c r="BA15" s="227"/>
      <c r="BB15" s="483"/>
      <c r="BD15" s="481"/>
      <c r="BG15" s="481"/>
    </row>
    <row r="16" spans="1:61" ht="12.75" customHeight="1" x14ac:dyDescent="0.2">
      <c r="A16" s="408" t="s">
        <v>5</v>
      </c>
      <c r="B16" s="6"/>
      <c r="C16" s="459"/>
      <c r="D16" s="498"/>
      <c r="E16" s="497"/>
      <c r="F16" s="502"/>
      <c r="G16" s="502"/>
      <c r="H16" s="502"/>
      <c r="I16" s="143"/>
      <c r="J16" s="502"/>
      <c r="K16" s="502"/>
      <c r="L16" s="502"/>
      <c r="M16" s="143"/>
      <c r="N16" s="502"/>
      <c r="O16" s="502"/>
      <c r="P16" s="502"/>
      <c r="Q16" s="143"/>
      <c r="R16" s="502"/>
      <c r="S16" s="502"/>
      <c r="T16" s="502"/>
      <c r="U16" s="143"/>
      <c r="V16" s="502"/>
      <c r="W16" s="502"/>
      <c r="X16" s="502"/>
      <c r="Y16" s="143"/>
      <c r="Z16" s="502"/>
      <c r="AA16" s="502"/>
      <c r="AB16" s="502"/>
      <c r="AC16" s="143"/>
      <c r="AD16" s="114"/>
      <c r="AE16" s="139"/>
      <c r="AF16" s="139"/>
      <c r="AG16" s="139"/>
      <c r="AH16" s="486"/>
      <c r="AI16" s="143"/>
      <c r="AJ16" s="143"/>
      <c r="AK16" s="143"/>
      <c r="AL16" s="47"/>
      <c r="AM16" s="488"/>
      <c r="AN16" s="488"/>
      <c r="AO16" s="507"/>
      <c r="AP16" s="498"/>
      <c r="AQ16" s="482"/>
      <c r="AR16" s="131"/>
      <c r="AS16" s="131"/>
      <c r="AT16" s="131"/>
      <c r="AU16" s="131"/>
      <c r="AV16" s="131"/>
      <c r="AW16" s="499"/>
      <c r="AX16" s="499"/>
      <c r="AY16" s="226"/>
      <c r="AZ16" s="226"/>
      <c r="BA16" s="226"/>
      <c r="BB16" s="483"/>
      <c r="BD16" s="481"/>
      <c r="BG16" s="481"/>
    </row>
    <row r="17" spans="1:59" ht="12.75" customHeight="1" x14ac:dyDescent="0.2">
      <c r="A17" s="408"/>
      <c r="B17" s="6" t="s">
        <v>274</v>
      </c>
      <c r="C17" s="459"/>
      <c r="D17" s="498"/>
      <c r="E17" s="497"/>
      <c r="F17" s="502"/>
      <c r="G17" s="502"/>
      <c r="H17" s="502"/>
      <c r="I17" s="143">
        <v>681</v>
      </c>
      <c r="J17" s="502">
        <v>750</v>
      </c>
      <c r="K17" s="502">
        <v>810</v>
      </c>
      <c r="L17" s="502">
        <v>332</v>
      </c>
      <c r="M17" s="143">
        <v>570</v>
      </c>
      <c r="N17" s="502"/>
      <c r="O17" s="502"/>
      <c r="P17" s="502"/>
      <c r="Q17" s="143"/>
      <c r="R17" s="502">
        <v>33880</v>
      </c>
      <c r="S17" s="502">
        <v>33144</v>
      </c>
      <c r="T17" s="502">
        <v>20664</v>
      </c>
      <c r="U17" s="143"/>
      <c r="V17" s="502"/>
      <c r="W17" s="502"/>
      <c r="X17" s="502"/>
      <c r="Y17" s="143"/>
      <c r="Z17" s="502"/>
      <c r="AA17" s="502"/>
      <c r="AB17" s="502"/>
      <c r="AC17" s="143"/>
      <c r="AD17" s="114"/>
      <c r="AE17" s="139"/>
      <c r="AF17" s="139"/>
      <c r="AG17" s="139"/>
      <c r="AH17" s="486"/>
      <c r="AI17" s="143"/>
      <c r="AJ17" s="143"/>
      <c r="AK17" s="143"/>
      <c r="AL17" s="47"/>
      <c r="AM17" s="488">
        <f t="shared" ref="AM17:AM30" si="1">SUM(K17:M17)</f>
        <v>1712</v>
      </c>
      <c r="AN17" s="488">
        <f t="shared" ref="AN17:AN30" si="2">SUM(O17:Q17)</f>
        <v>0</v>
      </c>
      <c r="AO17" s="507">
        <f t="shared" ref="AO17:AO28" si="3">AR17-AS17</f>
        <v>2462</v>
      </c>
      <c r="AP17" s="498" t="e">
        <f t="shared" ref="AP17:AP28" si="4">IF(OR((AO17/AS17)&gt;3,(AO17/AS17)&lt;-3),"n.m.",(AO17/AS17))</f>
        <v>#DIV/0!</v>
      </c>
      <c r="AQ17" s="482"/>
      <c r="AR17" s="499">
        <f t="shared" ref="AR17:AR30" si="5">SUM(J17:M17)</f>
        <v>2462</v>
      </c>
      <c r="AS17" s="499"/>
      <c r="AT17" s="499"/>
      <c r="AU17" s="499"/>
      <c r="AV17" s="499"/>
      <c r="AW17" s="499"/>
      <c r="AX17" s="499"/>
      <c r="AY17" s="226"/>
      <c r="AZ17" s="226"/>
      <c r="BA17" s="226"/>
      <c r="BB17" s="483"/>
      <c r="BD17" s="481"/>
      <c r="BG17" s="481"/>
    </row>
    <row r="18" spans="1:59" ht="12.75" customHeight="1" x14ac:dyDescent="0.2">
      <c r="A18" s="408"/>
      <c r="B18" s="6" t="s">
        <v>275</v>
      </c>
      <c r="C18" s="267"/>
      <c r="D18" s="92"/>
      <c r="E18" s="497"/>
      <c r="F18" s="271"/>
      <c r="G18" s="271"/>
      <c r="H18" s="271"/>
      <c r="I18" s="146">
        <v>0</v>
      </c>
      <c r="J18" s="271">
        <v>2</v>
      </c>
      <c r="K18" s="271">
        <v>16</v>
      </c>
      <c r="L18" s="271">
        <v>0</v>
      </c>
      <c r="M18" s="146">
        <v>0</v>
      </c>
      <c r="N18" s="271"/>
      <c r="O18" s="271"/>
      <c r="P18" s="271"/>
      <c r="Q18" s="146"/>
      <c r="R18" s="271">
        <v>1641</v>
      </c>
      <c r="S18" s="271">
        <v>2757</v>
      </c>
      <c r="T18" s="271">
        <v>897</v>
      </c>
      <c r="U18" s="143"/>
      <c r="V18" s="502"/>
      <c r="W18" s="502"/>
      <c r="X18" s="502"/>
      <c r="Y18" s="143"/>
      <c r="Z18" s="502"/>
      <c r="AA18" s="502"/>
      <c r="AB18" s="502"/>
      <c r="AC18" s="143"/>
      <c r="AD18" s="114"/>
      <c r="AE18" s="139"/>
      <c r="AF18" s="139"/>
      <c r="AG18" s="139"/>
      <c r="AH18" s="486"/>
      <c r="AI18" s="143"/>
      <c r="AJ18" s="143"/>
      <c r="AK18" s="143"/>
      <c r="AL18" s="47"/>
      <c r="AM18" s="250">
        <f t="shared" si="1"/>
        <v>16</v>
      </c>
      <c r="AN18" s="250">
        <f t="shared" si="2"/>
        <v>0</v>
      </c>
      <c r="AO18" s="100">
        <f t="shared" si="3"/>
        <v>18</v>
      </c>
      <c r="AP18" s="92" t="e">
        <f t="shared" si="4"/>
        <v>#DIV/0!</v>
      </c>
      <c r="AQ18" s="482"/>
      <c r="AR18" s="134">
        <f t="shared" si="5"/>
        <v>18</v>
      </c>
      <c r="AS18" s="134"/>
      <c r="AT18" s="134"/>
      <c r="AU18" s="134"/>
      <c r="AV18" s="134"/>
      <c r="AW18" s="134"/>
      <c r="AX18" s="499"/>
      <c r="AY18" s="226"/>
      <c r="AZ18" s="226"/>
      <c r="BA18" s="226"/>
      <c r="BB18" s="483"/>
      <c r="BD18" s="481"/>
      <c r="BG18" s="481"/>
    </row>
    <row r="19" spans="1:59" ht="12.75" customHeight="1" x14ac:dyDescent="0.2">
      <c r="A19" s="7"/>
      <c r="B19" s="482" t="s">
        <v>190</v>
      </c>
      <c r="C19" s="459"/>
      <c r="D19" s="498"/>
      <c r="E19" s="497"/>
      <c r="F19" s="502">
        <f t="shared" ref="F19:M19" si="6">SUM(F17:F18)</f>
        <v>0</v>
      </c>
      <c r="G19" s="502">
        <f t="shared" si="6"/>
        <v>0</v>
      </c>
      <c r="H19" s="502">
        <f t="shared" si="6"/>
        <v>0</v>
      </c>
      <c r="I19" s="143">
        <f t="shared" si="6"/>
        <v>681</v>
      </c>
      <c r="J19" s="502">
        <f t="shared" si="6"/>
        <v>752</v>
      </c>
      <c r="K19" s="502">
        <f t="shared" si="6"/>
        <v>826</v>
      </c>
      <c r="L19" s="502">
        <f t="shared" si="6"/>
        <v>332</v>
      </c>
      <c r="M19" s="143">
        <f t="shared" si="6"/>
        <v>570</v>
      </c>
      <c r="N19" s="502"/>
      <c r="O19" s="502"/>
      <c r="P19" s="502"/>
      <c r="Q19" s="143"/>
      <c r="R19" s="502">
        <v>35521</v>
      </c>
      <c r="S19" s="502">
        <v>35901</v>
      </c>
      <c r="T19" s="502">
        <v>21561</v>
      </c>
      <c r="U19" s="143">
        <v>23281</v>
      </c>
      <c r="V19" s="502">
        <v>26203</v>
      </c>
      <c r="W19" s="502">
        <v>24376</v>
      </c>
      <c r="X19" s="502">
        <v>19368</v>
      </c>
      <c r="Y19" s="143">
        <v>18643</v>
      </c>
      <c r="Z19" s="502">
        <v>13122</v>
      </c>
      <c r="AA19" s="502">
        <v>14195</v>
      </c>
      <c r="AB19" s="502">
        <v>20116</v>
      </c>
      <c r="AC19" s="143">
        <v>26950</v>
      </c>
      <c r="AD19" s="114">
        <v>24166</v>
      </c>
      <c r="AE19" s="139">
        <v>28443</v>
      </c>
      <c r="AF19" s="139">
        <v>25351</v>
      </c>
      <c r="AG19" s="139">
        <v>37680</v>
      </c>
      <c r="AH19" s="486">
        <v>36567</v>
      </c>
      <c r="AI19" s="143">
        <v>31848</v>
      </c>
      <c r="AJ19" s="143">
        <v>24885</v>
      </c>
      <c r="AK19" s="143">
        <v>33368</v>
      </c>
      <c r="AL19" s="47"/>
      <c r="AM19" s="488">
        <f t="shared" si="1"/>
        <v>1728</v>
      </c>
      <c r="AN19" s="488">
        <f t="shared" si="2"/>
        <v>0</v>
      </c>
      <c r="AO19" s="507">
        <f t="shared" si="3"/>
        <v>2480</v>
      </c>
      <c r="AP19" s="498" t="e">
        <f t="shared" si="4"/>
        <v>#DIV/0!</v>
      </c>
      <c r="AQ19" s="482"/>
      <c r="AR19" s="499">
        <f>SUM(AR17:AR18)</f>
        <v>2480</v>
      </c>
      <c r="AS19" s="499"/>
      <c r="AT19" s="499"/>
      <c r="AU19" s="499"/>
      <c r="AV19" s="499"/>
      <c r="AW19" s="499"/>
      <c r="AX19" s="499"/>
      <c r="AY19" s="226"/>
      <c r="AZ19" s="226"/>
      <c r="BA19" s="226"/>
      <c r="BB19" s="483"/>
      <c r="BD19" s="481"/>
      <c r="BG19" s="481"/>
    </row>
    <row r="20" spans="1:59" ht="12.75" customHeight="1" x14ac:dyDescent="0.2">
      <c r="A20" s="7"/>
      <c r="B20" s="489" t="s">
        <v>61</v>
      </c>
      <c r="C20" s="459"/>
      <c r="D20" s="498"/>
      <c r="E20" s="497"/>
      <c r="F20" s="502"/>
      <c r="G20" s="502"/>
      <c r="H20" s="502"/>
      <c r="I20" s="143">
        <v>6</v>
      </c>
      <c r="J20" s="502">
        <v>53</v>
      </c>
      <c r="K20" s="502">
        <v>17</v>
      </c>
      <c r="L20" s="502">
        <v>0</v>
      </c>
      <c r="M20" s="143">
        <v>1</v>
      </c>
      <c r="N20" s="502"/>
      <c r="O20" s="502"/>
      <c r="P20" s="502"/>
      <c r="Q20" s="143"/>
      <c r="R20" s="502">
        <v>5565</v>
      </c>
      <c r="S20" s="502">
        <v>3601</v>
      </c>
      <c r="T20" s="502">
        <v>4817</v>
      </c>
      <c r="U20" s="143">
        <v>3882</v>
      </c>
      <c r="V20" s="502">
        <v>5573</v>
      </c>
      <c r="W20" s="502">
        <v>4015</v>
      </c>
      <c r="X20" s="502">
        <v>4360</v>
      </c>
      <c r="Y20" s="143">
        <v>4246</v>
      </c>
      <c r="Z20" s="502">
        <v>4505</v>
      </c>
      <c r="AA20" s="502">
        <v>3057</v>
      </c>
      <c r="AB20" s="502">
        <v>3477</v>
      </c>
      <c r="AC20" s="143">
        <v>3781</v>
      </c>
      <c r="AD20" s="114">
        <v>4683</v>
      </c>
      <c r="AE20" s="139">
        <v>3272</v>
      </c>
      <c r="AF20" s="139">
        <v>3510</v>
      </c>
      <c r="AG20" s="139">
        <v>4049</v>
      </c>
      <c r="AH20" s="486">
        <v>4303</v>
      </c>
      <c r="AI20" s="143">
        <v>3039</v>
      </c>
      <c r="AJ20" s="143">
        <v>2854</v>
      </c>
      <c r="AK20" s="143">
        <v>3430</v>
      </c>
      <c r="AL20" s="47"/>
      <c r="AM20" s="488">
        <f t="shared" si="1"/>
        <v>18</v>
      </c>
      <c r="AN20" s="488">
        <f t="shared" si="2"/>
        <v>0</v>
      </c>
      <c r="AO20" s="507">
        <f t="shared" si="3"/>
        <v>71</v>
      </c>
      <c r="AP20" s="498" t="e">
        <f t="shared" si="4"/>
        <v>#DIV/0!</v>
      </c>
      <c r="AQ20" s="482"/>
      <c r="AR20" s="499">
        <f t="shared" si="5"/>
        <v>71</v>
      </c>
      <c r="AS20" s="499"/>
      <c r="AT20" s="499"/>
      <c r="AU20" s="499"/>
      <c r="AV20" s="499"/>
      <c r="AW20" s="499"/>
      <c r="AX20" s="499"/>
      <c r="AY20" s="226"/>
      <c r="AZ20" s="226"/>
      <c r="BA20" s="226"/>
      <c r="BB20" s="483"/>
      <c r="BD20" s="481"/>
      <c r="BG20" s="481"/>
    </row>
    <row r="21" spans="1:59" ht="12.75" customHeight="1" x14ac:dyDescent="0.2">
      <c r="A21" s="7"/>
      <c r="B21" s="489" t="s">
        <v>62</v>
      </c>
      <c r="C21" s="459"/>
      <c r="D21" s="498"/>
      <c r="E21" s="497"/>
      <c r="F21" s="502"/>
      <c r="G21" s="502"/>
      <c r="H21" s="502"/>
      <c r="I21" s="143">
        <v>221</v>
      </c>
      <c r="J21" s="502">
        <v>159</v>
      </c>
      <c r="K21" s="502">
        <v>53</v>
      </c>
      <c r="L21" s="502">
        <v>197</v>
      </c>
      <c r="M21" s="143">
        <v>132</v>
      </c>
      <c r="N21" s="502"/>
      <c r="O21" s="502"/>
      <c r="P21" s="502"/>
      <c r="Q21" s="143"/>
      <c r="R21" s="502">
        <v>2253</v>
      </c>
      <c r="S21" s="502">
        <v>2017</v>
      </c>
      <c r="T21" s="502">
        <v>1577</v>
      </c>
      <c r="U21" s="143">
        <v>2224</v>
      </c>
      <c r="V21" s="502">
        <v>2320</v>
      </c>
      <c r="W21" s="502">
        <v>1910</v>
      </c>
      <c r="X21" s="502">
        <v>2120</v>
      </c>
      <c r="Y21" s="143">
        <v>2156</v>
      </c>
      <c r="Z21" s="502">
        <v>1697</v>
      </c>
      <c r="AA21" s="502">
        <v>1856</v>
      </c>
      <c r="AB21" s="502">
        <v>1606</v>
      </c>
      <c r="AC21" s="143">
        <v>1849</v>
      </c>
      <c r="AD21" s="114">
        <v>1694</v>
      </c>
      <c r="AE21" s="139">
        <v>2331</v>
      </c>
      <c r="AF21" s="139">
        <v>2158</v>
      </c>
      <c r="AG21" s="139">
        <v>2399</v>
      </c>
      <c r="AH21" s="486">
        <v>2477</v>
      </c>
      <c r="AI21" s="143">
        <v>2338</v>
      </c>
      <c r="AJ21" s="143">
        <v>2276</v>
      </c>
      <c r="AK21" s="143">
        <v>3066</v>
      </c>
      <c r="AL21" s="47"/>
      <c r="AM21" s="488">
        <f t="shared" si="1"/>
        <v>382</v>
      </c>
      <c r="AN21" s="488">
        <f t="shared" si="2"/>
        <v>0</v>
      </c>
      <c r="AO21" s="507">
        <f t="shared" si="3"/>
        <v>541</v>
      </c>
      <c r="AP21" s="498" t="e">
        <f t="shared" si="4"/>
        <v>#DIV/0!</v>
      </c>
      <c r="AQ21" s="482"/>
      <c r="AR21" s="499">
        <f t="shared" si="5"/>
        <v>541</v>
      </c>
      <c r="AS21" s="499"/>
      <c r="AT21" s="499"/>
      <c r="AU21" s="499"/>
      <c r="AV21" s="499"/>
      <c r="AW21" s="499"/>
      <c r="AX21" s="499"/>
      <c r="AY21" s="226"/>
      <c r="AZ21" s="226"/>
      <c r="BA21" s="226"/>
      <c r="BB21" s="483"/>
      <c r="BD21" s="481"/>
      <c r="BG21" s="481"/>
    </row>
    <row r="22" spans="1:59" ht="12.75" customHeight="1" x14ac:dyDescent="0.2">
      <c r="A22" s="7"/>
      <c r="B22" s="489" t="s">
        <v>63</v>
      </c>
      <c r="C22" s="459"/>
      <c r="D22" s="498"/>
      <c r="E22" s="497"/>
      <c r="F22" s="502"/>
      <c r="G22" s="502"/>
      <c r="H22" s="502"/>
      <c r="I22" s="143">
        <v>-7</v>
      </c>
      <c r="J22" s="502">
        <v>52</v>
      </c>
      <c r="K22" s="502">
        <v>43</v>
      </c>
      <c r="L22" s="502">
        <v>70</v>
      </c>
      <c r="M22" s="143">
        <v>49</v>
      </c>
      <c r="N22" s="502"/>
      <c r="O22" s="502"/>
      <c r="P22" s="502"/>
      <c r="Q22" s="143"/>
      <c r="R22" s="502">
        <v>2030</v>
      </c>
      <c r="S22" s="502">
        <v>1993</v>
      </c>
      <c r="T22" s="502">
        <v>2068</v>
      </c>
      <c r="U22" s="143">
        <v>1948</v>
      </c>
      <c r="V22" s="502">
        <v>2016</v>
      </c>
      <c r="W22" s="502">
        <v>2074</v>
      </c>
      <c r="X22" s="502">
        <v>2075</v>
      </c>
      <c r="Y22" s="143">
        <v>1951</v>
      </c>
      <c r="Z22" s="502">
        <v>1822</v>
      </c>
      <c r="AA22" s="502">
        <v>1632</v>
      </c>
      <c r="AB22" s="502">
        <v>1702</v>
      </c>
      <c r="AC22" s="143">
        <v>1632</v>
      </c>
      <c r="AD22" s="114">
        <v>1630</v>
      </c>
      <c r="AE22" s="139">
        <v>1605</v>
      </c>
      <c r="AF22" s="139">
        <v>1605</v>
      </c>
      <c r="AG22" s="139">
        <v>1535</v>
      </c>
      <c r="AH22" s="486">
        <v>1555</v>
      </c>
      <c r="AI22" s="143">
        <v>1528</v>
      </c>
      <c r="AJ22" s="143">
        <v>1534</v>
      </c>
      <c r="AK22" s="143">
        <v>1536</v>
      </c>
      <c r="AL22" s="47"/>
      <c r="AM22" s="488">
        <f t="shared" si="1"/>
        <v>162</v>
      </c>
      <c r="AN22" s="488">
        <f t="shared" si="2"/>
        <v>0</v>
      </c>
      <c r="AO22" s="507">
        <f t="shared" si="3"/>
        <v>214</v>
      </c>
      <c r="AP22" s="498" t="e">
        <f t="shared" si="4"/>
        <v>#DIV/0!</v>
      </c>
      <c r="AQ22" s="482"/>
      <c r="AR22" s="499">
        <f t="shared" si="5"/>
        <v>214</v>
      </c>
      <c r="AS22" s="499"/>
      <c r="AT22" s="499"/>
      <c r="AU22" s="499"/>
      <c r="AV22" s="499"/>
      <c r="AW22" s="499"/>
      <c r="AX22" s="499"/>
      <c r="AY22" s="226"/>
      <c r="AZ22" s="226"/>
      <c r="BA22" s="226"/>
      <c r="BB22" s="483"/>
      <c r="BD22" s="481"/>
      <c r="BG22" s="481"/>
    </row>
    <row r="23" spans="1:59" ht="12.75" customHeight="1" x14ac:dyDescent="0.2">
      <c r="A23" s="7"/>
      <c r="B23" s="489" t="s">
        <v>64</v>
      </c>
      <c r="C23" s="459"/>
      <c r="D23" s="498"/>
      <c r="E23" s="497"/>
      <c r="F23" s="502"/>
      <c r="G23" s="502"/>
      <c r="H23" s="502"/>
      <c r="I23" s="143">
        <v>70</v>
      </c>
      <c r="J23" s="502">
        <v>23</v>
      </c>
      <c r="K23" s="502">
        <v>44</v>
      </c>
      <c r="L23" s="502">
        <v>30</v>
      </c>
      <c r="M23" s="143">
        <v>36</v>
      </c>
      <c r="N23" s="502"/>
      <c r="O23" s="502"/>
      <c r="P23" s="502"/>
      <c r="Q23" s="143"/>
      <c r="R23" s="502">
        <v>1256</v>
      </c>
      <c r="S23" s="502">
        <v>1264</v>
      </c>
      <c r="T23" s="502">
        <v>1329</v>
      </c>
      <c r="U23" s="143">
        <v>1325</v>
      </c>
      <c r="V23" s="502">
        <v>1426</v>
      </c>
      <c r="W23" s="502">
        <v>1660</v>
      </c>
      <c r="X23" s="502">
        <v>1494</v>
      </c>
      <c r="Y23" s="143">
        <v>1536</v>
      </c>
      <c r="Z23" s="502">
        <v>1630</v>
      </c>
      <c r="AA23" s="502">
        <v>1590</v>
      </c>
      <c r="AB23" s="502">
        <v>1556</v>
      </c>
      <c r="AC23" s="143">
        <v>1639</v>
      </c>
      <c r="AD23" s="114">
        <v>1596</v>
      </c>
      <c r="AE23" s="139">
        <v>1544</v>
      </c>
      <c r="AF23" s="139">
        <v>1573</v>
      </c>
      <c r="AG23" s="139">
        <v>1670</v>
      </c>
      <c r="AH23" s="486">
        <v>1639</v>
      </c>
      <c r="AI23" s="143">
        <v>1526</v>
      </c>
      <c r="AJ23" s="143">
        <v>1571</v>
      </c>
      <c r="AK23" s="143">
        <v>1602</v>
      </c>
      <c r="AL23" s="47"/>
      <c r="AM23" s="488">
        <f t="shared" si="1"/>
        <v>110</v>
      </c>
      <c r="AN23" s="488">
        <f t="shared" si="2"/>
        <v>0</v>
      </c>
      <c r="AO23" s="507">
        <f t="shared" si="3"/>
        <v>133</v>
      </c>
      <c r="AP23" s="498" t="e">
        <f t="shared" si="4"/>
        <v>#DIV/0!</v>
      </c>
      <c r="AQ23" s="482"/>
      <c r="AR23" s="499">
        <f t="shared" si="5"/>
        <v>133</v>
      </c>
      <c r="AS23" s="499"/>
      <c r="AT23" s="499"/>
      <c r="AU23" s="499"/>
      <c r="AV23" s="499"/>
      <c r="AW23" s="499"/>
      <c r="AX23" s="499"/>
      <c r="AY23" s="226"/>
      <c r="AZ23" s="226"/>
      <c r="BA23" s="226"/>
      <c r="BB23" s="483"/>
      <c r="BD23" s="481"/>
      <c r="BG23" s="481"/>
    </row>
    <row r="24" spans="1:59" ht="12.75" customHeight="1" x14ac:dyDescent="0.2">
      <c r="A24" s="7"/>
      <c r="B24" s="489" t="s">
        <v>59</v>
      </c>
      <c r="C24" s="459"/>
      <c r="D24" s="498"/>
      <c r="E24" s="497"/>
      <c r="F24" s="502"/>
      <c r="G24" s="502"/>
      <c r="H24" s="502"/>
      <c r="I24" s="143">
        <v>2</v>
      </c>
      <c r="J24" s="502">
        <v>2</v>
      </c>
      <c r="K24" s="502">
        <v>2</v>
      </c>
      <c r="L24" s="502">
        <v>2</v>
      </c>
      <c r="M24" s="143">
        <v>4</v>
      </c>
      <c r="N24" s="502"/>
      <c r="O24" s="502"/>
      <c r="P24" s="502"/>
      <c r="Q24" s="143"/>
      <c r="R24" s="502">
        <v>90</v>
      </c>
      <c r="S24" s="502">
        <v>97</v>
      </c>
      <c r="T24" s="502">
        <v>63</v>
      </c>
      <c r="U24" s="143">
        <v>58</v>
      </c>
      <c r="V24" s="502">
        <v>44</v>
      </c>
      <c r="W24" s="502">
        <v>51</v>
      </c>
      <c r="X24" s="502">
        <v>104</v>
      </c>
      <c r="Y24" s="143">
        <v>243</v>
      </c>
      <c r="Z24" s="502">
        <v>671</v>
      </c>
      <c r="AA24" s="502">
        <v>1758</v>
      </c>
      <c r="AB24" s="502">
        <v>2459</v>
      </c>
      <c r="AC24" s="143">
        <v>2915</v>
      </c>
      <c r="AD24" s="114">
        <v>4124</v>
      </c>
      <c r="AE24" s="139">
        <v>5305</v>
      </c>
      <c r="AF24" s="139">
        <v>5435</v>
      </c>
      <c r="AG24" s="139">
        <v>5060</v>
      </c>
      <c r="AH24" s="486">
        <v>4659</v>
      </c>
      <c r="AI24" s="143">
        <v>4412</v>
      </c>
      <c r="AJ24" s="143">
        <v>4434</v>
      </c>
      <c r="AK24" s="143">
        <v>4246</v>
      </c>
      <c r="AL24" s="47"/>
      <c r="AM24" s="488">
        <f t="shared" si="1"/>
        <v>8</v>
      </c>
      <c r="AN24" s="488">
        <f t="shared" si="2"/>
        <v>0</v>
      </c>
      <c r="AO24" s="507">
        <f t="shared" si="3"/>
        <v>10</v>
      </c>
      <c r="AP24" s="498" t="e">
        <f t="shared" si="4"/>
        <v>#DIV/0!</v>
      </c>
      <c r="AQ24" s="482"/>
      <c r="AR24" s="499">
        <f t="shared" si="5"/>
        <v>10</v>
      </c>
      <c r="AS24" s="499"/>
      <c r="AT24" s="499"/>
      <c r="AU24" s="499"/>
      <c r="AV24" s="499"/>
      <c r="AW24" s="499"/>
      <c r="AX24" s="499"/>
      <c r="AY24" s="226"/>
      <c r="AZ24" s="226"/>
      <c r="BA24" s="226"/>
      <c r="BB24" s="483"/>
      <c r="BD24" s="481"/>
      <c r="BG24" s="481"/>
    </row>
    <row r="25" spans="1:59" ht="12.75" customHeight="1" x14ac:dyDescent="0.2">
      <c r="A25" s="7"/>
      <c r="B25" s="489" t="s">
        <v>85</v>
      </c>
      <c r="C25" s="459"/>
      <c r="D25" s="498"/>
      <c r="E25" s="497"/>
      <c r="F25" s="502"/>
      <c r="G25" s="502"/>
      <c r="H25" s="502"/>
      <c r="I25" s="143">
        <v>104</v>
      </c>
      <c r="J25" s="502">
        <v>78</v>
      </c>
      <c r="K25" s="502">
        <v>143</v>
      </c>
      <c r="L25" s="502">
        <v>180</v>
      </c>
      <c r="M25" s="143">
        <v>128</v>
      </c>
      <c r="N25" s="502"/>
      <c r="O25" s="502"/>
      <c r="P25" s="502"/>
      <c r="Q25" s="143"/>
      <c r="R25" s="502">
        <v>4728</v>
      </c>
      <c r="S25" s="502">
        <v>4268</v>
      </c>
      <c r="T25" s="502">
        <v>4186</v>
      </c>
      <c r="U25" s="143">
        <v>3730</v>
      </c>
      <c r="V25" s="502">
        <v>6030</v>
      </c>
      <c r="W25" s="502">
        <v>4108</v>
      </c>
      <c r="X25" s="502">
        <v>2461</v>
      </c>
      <c r="Y25" s="143">
        <v>3886</v>
      </c>
      <c r="Z25" s="502">
        <v>2268</v>
      </c>
      <c r="AA25" s="502">
        <v>7826</v>
      </c>
      <c r="AB25" s="502">
        <v>3206</v>
      </c>
      <c r="AC25" s="143">
        <v>3942</v>
      </c>
      <c r="AD25" s="114">
        <v>3477</v>
      </c>
      <c r="AE25" s="139">
        <v>3587</v>
      </c>
      <c r="AF25" s="139">
        <v>2594</v>
      </c>
      <c r="AG25" s="139">
        <v>2953</v>
      </c>
      <c r="AH25" s="486">
        <v>2341</v>
      </c>
      <c r="AI25" s="143">
        <v>3444</v>
      </c>
      <c r="AJ25" s="143">
        <v>1855</v>
      </c>
      <c r="AK25" s="143">
        <v>6038</v>
      </c>
      <c r="AL25" s="47"/>
      <c r="AM25" s="488">
        <f t="shared" si="1"/>
        <v>451</v>
      </c>
      <c r="AN25" s="488">
        <f t="shared" si="2"/>
        <v>0</v>
      </c>
      <c r="AO25" s="507">
        <f t="shared" si="3"/>
        <v>529</v>
      </c>
      <c r="AP25" s="498" t="e">
        <f t="shared" si="4"/>
        <v>#DIV/0!</v>
      </c>
      <c r="AQ25" s="482"/>
      <c r="AR25" s="499">
        <f t="shared" si="5"/>
        <v>529</v>
      </c>
      <c r="AS25" s="499"/>
      <c r="AT25" s="499"/>
      <c r="AU25" s="499"/>
      <c r="AV25" s="499"/>
      <c r="AW25" s="499"/>
      <c r="AX25" s="499"/>
      <c r="AY25" s="226"/>
      <c r="AZ25" s="226"/>
      <c r="BA25" s="226"/>
      <c r="BB25" s="483"/>
      <c r="BD25" s="481"/>
      <c r="BE25" s="481"/>
      <c r="BF25" s="481"/>
      <c r="BG25" s="481"/>
    </row>
    <row r="26" spans="1:59" ht="12.75" customHeight="1" x14ac:dyDescent="0.2">
      <c r="A26" s="7"/>
      <c r="B26" s="489" t="s">
        <v>66</v>
      </c>
      <c r="C26" s="459"/>
      <c r="D26" s="498"/>
      <c r="E26" s="497"/>
      <c r="F26" s="502"/>
      <c r="G26" s="502"/>
      <c r="H26" s="502"/>
      <c r="I26" s="143">
        <v>127</v>
      </c>
      <c r="J26" s="502">
        <v>37</v>
      </c>
      <c r="K26" s="502">
        <v>44</v>
      </c>
      <c r="L26" s="502">
        <v>42</v>
      </c>
      <c r="M26" s="143">
        <v>47</v>
      </c>
      <c r="N26" s="502"/>
      <c r="O26" s="502"/>
      <c r="P26" s="502"/>
      <c r="Q26" s="143"/>
      <c r="R26" s="502">
        <v>632</v>
      </c>
      <c r="S26" s="502">
        <v>596</v>
      </c>
      <c r="T26" s="502">
        <v>575</v>
      </c>
      <c r="U26" s="143">
        <v>619</v>
      </c>
      <c r="V26" s="502">
        <v>649</v>
      </c>
      <c r="W26" s="502">
        <v>637</v>
      </c>
      <c r="X26" s="502">
        <v>618</v>
      </c>
      <c r="Y26" s="143">
        <v>602</v>
      </c>
      <c r="Z26" s="502">
        <v>655</v>
      </c>
      <c r="AA26" s="502">
        <v>463</v>
      </c>
      <c r="AB26" s="502">
        <v>411</v>
      </c>
      <c r="AC26" s="143">
        <v>409</v>
      </c>
      <c r="AD26" s="114">
        <v>436</v>
      </c>
      <c r="AE26" s="139">
        <v>495</v>
      </c>
      <c r="AF26" s="139">
        <v>472</v>
      </c>
      <c r="AG26" s="139">
        <v>430</v>
      </c>
      <c r="AH26" s="486">
        <v>438</v>
      </c>
      <c r="AI26" s="143">
        <v>380</v>
      </c>
      <c r="AJ26" s="143">
        <v>420</v>
      </c>
      <c r="AK26" s="143">
        <v>410</v>
      </c>
      <c r="AL26" s="47"/>
      <c r="AM26" s="488">
        <f t="shared" si="1"/>
        <v>133</v>
      </c>
      <c r="AN26" s="488">
        <f t="shared" si="2"/>
        <v>0</v>
      </c>
      <c r="AO26" s="507">
        <f t="shared" si="3"/>
        <v>170</v>
      </c>
      <c r="AP26" s="498" t="e">
        <f t="shared" si="4"/>
        <v>#DIV/0!</v>
      </c>
      <c r="AQ26" s="482"/>
      <c r="AR26" s="499">
        <f t="shared" si="5"/>
        <v>170</v>
      </c>
      <c r="AS26" s="499"/>
      <c r="AT26" s="499"/>
      <c r="AU26" s="499"/>
      <c r="AV26" s="499"/>
      <c r="AW26" s="499"/>
      <c r="AX26" s="499"/>
      <c r="AY26" s="226"/>
      <c r="AZ26" s="226"/>
      <c r="BA26" s="226"/>
      <c r="BB26" s="483"/>
      <c r="BD26" s="481"/>
      <c r="BE26" s="481"/>
      <c r="BF26" s="481"/>
      <c r="BG26" s="481"/>
    </row>
    <row r="27" spans="1:59" ht="12.75" customHeight="1" x14ac:dyDescent="0.2">
      <c r="A27" s="6"/>
      <c r="B27" s="489" t="s">
        <v>67</v>
      </c>
      <c r="C27" s="459"/>
      <c r="D27" s="498"/>
      <c r="E27" s="497"/>
      <c r="F27" s="502"/>
      <c r="G27" s="502"/>
      <c r="H27" s="502"/>
      <c r="I27" s="143">
        <v>127</v>
      </c>
      <c r="J27" s="488">
        <v>0</v>
      </c>
      <c r="K27" s="488">
        <v>0</v>
      </c>
      <c r="L27" s="502">
        <v>0</v>
      </c>
      <c r="M27" s="143">
        <v>0</v>
      </c>
      <c r="N27" s="502"/>
      <c r="O27" s="502"/>
      <c r="P27" s="502"/>
      <c r="Q27" s="143"/>
      <c r="R27" s="502">
        <v>2125</v>
      </c>
      <c r="S27" s="502">
        <v>2275</v>
      </c>
      <c r="T27" s="502">
        <v>2425</v>
      </c>
      <c r="U27" s="143">
        <v>2433</v>
      </c>
      <c r="V27" s="502">
        <v>2574</v>
      </c>
      <c r="W27" s="502">
        <v>3216</v>
      </c>
      <c r="X27" s="502">
        <v>2613</v>
      </c>
      <c r="Y27" s="143">
        <v>1905</v>
      </c>
      <c r="Z27" s="502">
        <v>2597</v>
      </c>
      <c r="AA27" s="502">
        <v>2312</v>
      </c>
      <c r="AB27" s="502">
        <v>1378</v>
      </c>
      <c r="AC27" s="143">
        <v>1566</v>
      </c>
      <c r="AD27" s="114">
        <v>1897</v>
      </c>
      <c r="AE27" s="139">
        <v>1550</v>
      </c>
      <c r="AF27" s="139">
        <v>1341</v>
      </c>
      <c r="AG27" s="139">
        <v>1372</v>
      </c>
      <c r="AH27" s="486">
        <v>1370</v>
      </c>
      <c r="AI27" s="143">
        <v>1663</v>
      </c>
      <c r="AJ27" s="143">
        <v>1517</v>
      </c>
      <c r="AK27" s="143">
        <v>1521</v>
      </c>
      <c r="AL27" s="47"/>
      <c r="AM27" s="488">
        <f t="shared" si="1"/>
        <v>0</v>
      </c>
      <c r="AN27" s="488">
        <f t="shared" si="2"/>
        <v>0</v>
      </c>
      <c r="AO27" s="507">
        <f t="shared" si="3"/>
        <v>0</v>
      </c>
      <c r="AP27" s="498" t="e">
        <f t="shared" si="4"/>
        <v>#DIV/0!</v>
      </c>
      <c r="AQ27" s="482"/>
      <c r="AR27" s="499">
        <f t="shared" si="5"/>
        <v>0</v>
      </c>
      <c r="AS27" s="499"/>
      <c r="AT27" s="499"/>
      <c r="AU27" s="499"/>
      <c r="AV27" s="499"/>
      <c r="AW27" s="499"/>
      <c r="AX27" s="499"/>
      <c r="AY27" s="226"/>
      <c r="AZ27" s="226"/>
      <c r="BA27" s="226"/>
      <c r="BB27" s="483"/>
      <c r="BD27" s="481"/>
      <c r="BE27" s="481"/>
      <c r="BF27" s="481"/>
      <c r="BG27" s="481"/>
    </row>
    <row r="28" spans="1:59" ht="12.75" customHeight="1" x14ac:dyDescent="0.2">
      <c r="A28" s="6"/>
      <c r="B28" s="6" t="s">
        <v>149</v>
      </c>
      <c r="C28" s="459"/>
      <c r="D28" s="348"/>
      <c r="E28" s="497"/>
      <c r="F28" s="488"/>
      <c r="G28" s="488"/>
      <c r="H28" s="488"/>
      <c r="I28" s="109">
        <v>0</v>
      </c>
      <c r="J28" s="488">
        <v>0</v>
      </c>
      <c r="K28" s="488">
        <v>0</v>
      </c>
      <c r="L28" s="488">
        <v>0</v>
      </c>
      <c r="M28" s="109">
        <v>0</v>
      </c>
      <c r="N28" s="488"/>
      <c r="O28" s="488"/>
      <c r="P28" s="488"/>
      <c r="Q28" s="109"/>
      <c r="R28" s="488">
        <v>0</v>
      </c>
      <c r="S28" s="488">
        <v>0</v>
      </c>
      <c r="T28" s="488">
        <v>0</v>
      </c>
      <c r="U28" s="109">
        <v>0</v>
      </c>
      <c r="V28" s="488">
        <v>0</v>
      </c>
      <c r="W28" s="488">
        <v>0</v>
      </c>
      <c r="X28" s="488">
        <v>0</v>
      </c>
      <c r="Y28" s="109">
        <v>0</v>
      </c>
      <c r="Z28" s="488">
        <v>0</v>
      </c>
      <c r="AA28" s="488">
        <v>5347</v>
      </c>
      <c r="AB28" s="488">
        <v>0</v>
      </c>
      <c r="AC28" s="498">
        <v>0</v>
      </c>
      <c r="AD28" s="115">
        <v>54200</v>
      </c>
      <c r="AE28" s="488">
        <v>0</v>
      </c>
      <c r="AF28" s="488">
        <v>0</v>
      </c>
      <c r="AG28" s="109">
        <v>0</v>
      </c>
      <c r="AH28" s="409">
        <v>0</v>
      </c>
      <c r="AI28" s="109">
        <v>0</v>
      </c>
      <c r="AJ28" s="109">
        <v>0</v>
      </c>
      <c r="AK28" s="109">
        <v>0</v>
      </c>
      <c r="AL28" s="47"/>
      <c r="AM28" s="488">
        <f t="shared" si="1"/>
        <v>0</v>
      </c>
      <c r="AN28" s="488">
        <f t="shared" si="2"/>
        <v>0</v>
      </c>
      <c r="AO28" s="507">
        <f t="shared" si="3"/>
        <v>0</v>
      </c>
      <c r="AP28" s="498" t="e">
        <f t="shared" si="4"/>
        <v>#DIV/0!</v>
      </c>
      <c r="AQ28" s="482"/>
      <c r="AR28" s="499">
        <f t="shared" si="5"/>
        <v>0</v>
      </c>
      <c r="AS28" s="410"/>
      <c r="AT28" s="410"/>
      <c r="AU28" s="410"/>
      <c r="AV28" s="499"/>
      <c r="AW28" s="410"/>
      <c r="AX28" s="410"/>
      <c r="AY28" s="226"/>
      <c r="AZ28" s="226"/>
      <c r="BA28" s="226"/>
      <c r="BB28" s="483"/>
      <c r="BD28" s="141"/>
      <c r="BE28" s="141"/>
      <c r="BF28" s="481"/>
      <c r="BG28" s="481"/>
    </row>
    <row r="29" spans="1:59" ht="12.75" customHeight="1" x14ac:dyDescent="0.2">
      <c r="A29" s="6"/>
      <c r="B29" s="6" t="s">
        <v>169</v>
      </c>
      <c r="C29" s="459"/>
      <c r="D29" s="348"/>
      <c r="E29" s="497"/>
      <c r="F29" s="488"/>
      <c r="G29" s="488"/>
      <c r="H29" s="488"/>
      <c r="I29" s="109">
        <v>0</v>
      </c>
      <c r="J29" s="488">
        <v>0</v>
      </c>
      <c r="K29" s="488">
        <v>0</v>
      </c>
      <c r="L29" s="488">
        <v>0</v>
      </c>
      <c r="M29" s="109">
        <v>0</v>
      </c>
      <c r="N29" s="488"/>
      <c r="O29" s="488"/>
      <c r="P29" s="488"/>
      <c r="Q29" s="109"/>
      <c r="R29" s="488">
        <v>0</v>
      </c>
      <c r="S29" s="488">
        <v>0</v>
      </c>
      <c r="T29" s="488">
        <v>0</v>
      </c>
      <c r="U29" s="109">
        <v>0</v>
      </c>
      <c r="V29" s="488"/>
      <c r="W29" s="488"/>
      <c r="X29" s="488"/>
      <c r="Y29" s="109"/>
      <c r="Z29" s="488"/>
      <c r="AA29" s="488"/>
      <c r="AB29" s="488"/>
      <c r="AC29" s="498"/>
      <c r="AD29" s="488"/>
      <c r="AE29" s="488"/>
      <c r="AF29" s="488"/>
      <c r="AG29" s="488"/>
      <c r="AH29" s="409"/>
      <c r="AI29" s="109"/>
      <c r="AJ29" s="109"/>
      <c r="AK29" s="109"/>
      <c r="AL29" s="47"/>
      <c r="AM29" s="488">
        <f t="shared" si="1"/>
        <v>0</v>
      </c>
      <c r="AN29" s="488">
        <f t="shared" si="2"/>
        <v>0</v>
      </c>
      <c r="AO29" s="507">
        <f>AR29-AS29</f>
        <v>0</v>
      </c>
      <c r="AP29" s="498">
        <v>0</v>
      </c>
      <c r="AQ29" s="482"/>
      <c r="AR29" s="410">
        <f t="shared" si="5"/>
        <v>0</v>
      </c>
      <c r="AS29" s="410"/>
      <c r="AT29" s="410"/>
      <c r="AU29" s="410"/>
      <c r="AV29" s="410"/>
      <c r="AW29" s="410"/>
      <c r="AX29" s="410"/>
      <c r="AY29" s="226"/>
      <c r="AZ29" s="226"/>
      <c r="BA29" s="226"/>
      <c r="BB29" s="483"/>
      <c r="BD29" s="141"/>
      <c r="BE29" s="141"/>
      <c r="BF29" s="481"/>
      <c r="BG29" s="481"/>
    </row>
    <row r="30" spans="1:59" ht="12.75" customHeight="1" x14ac:dyDescent="0.2">
      <c r="A30" s="7"/>
      <c r="B30" s="484" t="s">
        <v>148</v>
      </c>
      <c r="C30" s="459"/>
      <c r="D30" s="348"/>
      <c r="E30" s="497"/>
      <c r="F30" s="488"/>
      <c r="G30" s="488"/>
      <c r="H30" s="488"/>
      <c r="I30" s="266">
        <v>0</v>
      </c>
      <c r="J30" s="488">
        <v>0</v>
      </c>
      <c r="K30" s="488">
        <v>0</v>
      </c>
      <c r="L30" s="488">
        <v>0</v>
      </c>
      <c r="M30" s="266">
        <v>0</v>
      </c>
      <c r="N30" s="488"/>
      <c r="O30" s="488"/>
      <c r="P30" s="488"/>
      <c r="Q30" s="266"/>
      <c r="R30" s="488">
        <v>0</v>
      </c>
      <c r="S30" s="488">
        <v>0</v>
      </c>
      <c r="T30" s="488">
        <v>0</v>
      </c>
      <c r="U30" s="266">
        <v>0</v>
      </c>
      <c r="V30" s="488">
        <v>0</v>
      </c>
      <c r="W30" s="488">
        <v>0</v>
      </c>
      <c r="X30" s="488">
        <v>0</v>
      </c>
      <c r="Y30" s="266">
        <v>0</v>
      </c>
      <c r="Z30" s="488">
        <v>0</v>
      </c>
      <c r="AA30" s="502">
        <v>180</v>
      </c>
      <c r="AB30" s="488">
        <v>0</v>
      </c>
      <c r="AC30" s="498">
        <v>0</v>
      </c>
      <c r="AD30" s="488">
        <v>700</v>
      </c>
      <c r="AE30" s="488">
        <v>0</v>
      </c>
      <c r="AF30" s="488">
        <v>0</v>
      </c>
      <c r="AG30" s="488">
        <v>0</v>
      </c>
      <c r="AH30" s="409">
        <v>0</v>
      </c>
      <c r="AI30" s="109">
        <v>0</v>
      </c>
      <c r="AJ30" s="109">
        <v>0</v>
      </c>
      <c r="AK30" s="109">
        <v>0</v>
      </c>
      <c r="AL30" s="47"/>
      <c r="AM30" s="488">
        <f t="shared" si="1"/>
        <v>0</v>
      </c>
      <c r="AN30" s="488">
        <f t="shared" si="2"/>
        <v>0</v>
      </c>
      <c r="AO30" s="507">
        <v>0</v>
      </c>
      <c r="AP30" s="498">
        <v>0</v>
      </c>
      <c r="AQ30" s="482"/>
      <c r="AR30" s="410">
        <f t="shared" si="5"/>
        <v>0</v>
      </c>
      <c r="AS30" s="410"/>
      <c r="AT30" s="410"/>
      <c r="AU30" s="410"/>
      <c r="AV30" s="410"/>
      <c r="AW30" s="410"/>
      <c r="AX30" s="410"/>
      <c r="AY30" s="226"/>
      <c r="AZ30" s="226"/>
      <c r="BA30" s="226"/>
      <c r="BB30" s="483"/>
      <c r="BD30" s="481"/>
      <c r="BE30" s="481"/>
      <c r="BF30" s="481"/>
      <c r="BG30" s="481"/>
    </row>
    <row r="31" spans="1:59" ht="12.75" customHeight="1" x14ac:dyDescent="0.2">
      <c r="A31" s="7"/>
      <c r="C31" s="110"/>
      <c r="D31" s="111"/>
      <c r="E31" s="497"/>
      <c r="F31" s="269">
        <f>SUM(F19:F30)</f>
        <v>0</v>
      </c>
      <c r="G31" s="269">
        <f>SUM(G19:G30)</f>
        <v>0</v>
      </c>
      <c r="H31" s="269">
        <f>SUM(H19:H30)</f>
        <v>0</v>
      </c>
      <c r="I31" s="148">
        <f>SUM(I19:I30)</f>
        <v>1331</v>
      </c>
      <c r="J31" s="269">
        <f t="shared" ref="J31:U31" si="7">SUM(J19:J30)</f>
        <v>1156</v>
      </c>
      <c r="K31" s="269">
        <f t="shared" si="7"/>
        <v>1172</v>
      </c>
      <c r="L31" s="269">
        <f t="shared" si="7"/>
        <v>853</v>
      </c>
      <c r="M31" s="148">
        <f t="shared" si="7"/>
        <v>967</v>
      </c>
      <c r="N31" s="269"/>
      <c r="O31" s="269"/>
      <c r="P31" s="269"/>
      <c r="Q31" s="148"/>
      <c r="R31" s="269">
        <f t="shared" si="7"/>
        <v>54200</v>
      </c>
      <c r="S31" s="269">
        <f t="shared" si="7"/>
        <v>52012</v>
      </c>
      <c r="T31" s="269">
        <f t="shared" si="7"/>
        <v>38601</v>
      </c>
      <c r="U31" s="148">
        <f t="shared" si="7"/>
        <v>39500</v>
      </c>
      <c r="V31" s="269">
        <v>46835</v>
      </c>
      <c r="W31" s="269">
        <v>42047</v>
      </c>
      <c r="X31" s="269">
        <v>35213</v>
      </c>
      <c r="Y31" s="148">
        <v>35168</v>
      </c>
      <c r="Z31" s="269">
        <v>28967</v>
      </c>
      <c r="AA31" s="269">
        <v>40216</v>
      </c>
      <c r="AB31" s="269">
        <v>35911</v>
      </c>
      <c r="AC31" s="148">
        <v>44683</v>
      </c>
      <c r="AD31" s="117">
        <v>98603</v>
      </c>
      <c r="AE31" s="147">
        <v>48132</v>
      </c>
      <c r="AF31" s="147">
        <v>44039</v>
      </c>
      <c r="AG31" s="147">
        <v>57148</v>
      </c>
      <c r="AH31" s="112">
        <v>55349</v>
      </c>
      <c r="AI31" s="148">
        <v>50178</v>
      </c>
      <c r="AJ31" s="148">
        <v>41346</v>
      </c>
      <c r="AK31" s="148">
        <v>55217</v>
      </c>
      <c r="AL31" s="47"/>
      <c r="AM31" s="517">
        <f>SUM(AM19:AM30)</f>
        <v>2992</v>
      </c>
      <c r="AN31" s="517">
        <f>SUM(AN19:AN30)</f>
        <v>0</v>
      </c>
      <c r="AO31" s="244">
        <f>AR31-AS31</f>
        <v>4148</v>
      </c>
      <c r="AP31" s="314" t="e">
        <f>IF(OR((AO31/AS31)&gt;3,(AO31/AS31)&lt;-3),"n.m.",(AO31/AS31))</f>
        <v>#DIV/0!</v>
      </c>
      <c r="AQ31" s="47"/>
      <c r="AR31" s="148">
        <f>SUM(AR19:AR30)</f>
        <v>4148</v>
      </c>
      <c r="AS31" s="148"/>
      <c r="AT31" s="148"/>
      <c r="AU31" s="175"/>
      <c r="AV31" s="130"/>
      <c r="AW31" s="130"/>
      <c r="AX31" s="130"/>
      <c r="AY31" s="227"/>
      <c r="AZ31" s="227"/>
      <c r="BA31" s="227"/>
      <c r="BB31" s="483"/>
      <c r="BD31" s="481"/>
      <c r="BE31" s="481"/>
      <c r="BF31" s="481"/>
      <c r="BG31" s="481"/>
    </row>
    <row r="32" spans="1:59" s="53" customFormat="1" ht="24.75" customHeight="1" thickBot="1" x14ac:dyDescent="0.25">
      <c r="A32" s="2429" t="s">
        <v>193</v>
      </c>
      <c r="B32" s="2430"/>
      <c r="C32" s="459"/>
      <c r="D32" s="313"/>
      <c r="E32" s="497"/>
      <c r="F32" s="139">
        <f t="shared" ref="F32:L32" si="8">+F15-F31</f>
        <v>0</v>
      </c>
      <c r="G32" s="139">
        <f t="shared" si="8"/>
        <v>0</v>
      </c>
      <c r="H32" s="139">
        <f t="shared" si="8"/>
        <v>0</v>
      </c>
      <c r="I32" s="152">
        <f t="shared" si="8"/>
        <v>-576</v>
      </c>
      <c r="J32" s="117">
        <f t="shared" si="8"/>
        <v>142</v>
      </c>
      <c r="K32" s="147">
        <f t="shared" si="8"/>
        <v>-994</v>
      </c>
      <c r="L32" s="147">
        <f t="shared" si="8"/>
        <v>300</v>
      </c>
      <c r="M32" s="148">
        <f>M15-M31</f>
        <v>-123</v>
      </c>
      <c r="N32" s="117"/>
      <c r="O32" s="147"/>
      <c r="P32" s="147"/>
      <c r="Q32" s="148"/>
      <c r="R32" s="249">
        <f>R15-R31</f>
        <v>18504</v>
      </c>
      <c r="S32" s="249">
        <f>S15-S31</f>
        <v>16587</v>
      </c>
      <c r="T32" s="139">
        <f>T15-T31</f>
        <v>5938</v>
      </c>
      <c r="U32" s="152">
        <f>U15-U31</f>
        <v>7707</v>
      </c>
      <c r="V32" s="139">
        <v>8155</v>
      </c>
      <c r="W32" s="249">
        <v>9686</v>
      </c>
      <c r="X32" s="139">
        <v>4925</v>
      </c>
      <c r="Y32" s="152">
        <v>5017</v>
      </c>
      <c r="Z32" s="249">
        <v>8288</v>
      </c>
      <c r="AA32" s="249">
        <v>-6684</v>
      </c>
      <c r="AB32" s="249">
        <v>7933</v>
      </c>
      <c r="AC32" s="152">
        <v>13170</v>
      </c>
      <c r="AD32" s="153">
        <v>-44140</v>
      </c>
      <c r="AE32" s="148">
        <v>13034</v>
      </c>
      <c r="AF32" s="148">
        <v>13376</v>
      </c>
      <c r="AG32" s="147">
        <v>18935</v>
      </c>
      <c r="AH32" s="147">
        <v>20527</v>
      </c>
      <c r="AI32" s="147">
        <v>18653</v>
      </c>
      <c r="AJ32" s="147">
        <v>14280</v>
      </c>
      <c r="AK32" s="147">
        <v>17069</v>
      </c>
      <c r="AL32" s="47"/>
      <c r="AM32" s="507">
        <f>AM15-AM31</f>
        <v>-817</v>
      </c>
      <c r="AN32" s="507">
        <f>AN15-AN31</f>
        <v>0</v>
      </c>
      <c r="AO32" s="236">
        <f>AR32-AS32</f>
        <v>-675</v>
      </c>
      <c r="AP32" s="327" t="e">
        <f>IF(OR((AO32/AS32)&gt;3,(AO32/AS32)&lt;-3),"n.m.",(AO32/AS32))</f>
        <v>#DIV/0!</v>
      </c>
      <c r="AQ32" s="47"/>
      <c r="AR32" s="112">
        <f>AR15-AR31</f>
        <v>-675</v>
      </c>
      <c r="AS32" s="112"/>
      <c r="AT32" s="112"/>
      <c r="AU32" s="130"/>
      <c r="AV32" s="130"/>
      <c r="AW32" s="162"/>
      <c r="AX32" s="162"/>
      <c r="AY32" s="224"/>
      <c r="AZ32" s="224"/>
      <c r="BA32" s="228"/>
      <c r="BB32" s="483"/>
      <c r="BD32" s="137"/>
      <c r="BE32" s="137"/>
      <c r="BF32" s="137"/>
      <c r="BG32" s="137"/>
    </row>
    <row r="33" spans="1:59" s="137" customFormat="1" ht="12.75" hidden="1" customHeight="1" outlineLevel="1" thickTop="1" x14ac:dyDescent="0.2">
      <c r="A33" s="543"/>
      <c r="B33" s="547" t="s">
        <v>303</v>
      </c>
      <c r="C33" s="312"/>
      <c r="D33" s="537"/>
      <c r="E33" s="497"/>
      <c r="F33" s="319"/>
      <c r="G33" s="161"/>
      <c r="H33" s="161"/>
      <c r="I33" s="560">
        <v>4420</v>
      </c>
      <c r="J33" s="523">
        <v>5251</v>
      </c>
      <c r="K33" s="523">
        <v>5647</v>
      </c>
      <c r="L33" s="523">
        <v>6215</v>
      </c>
      <c r="M33" s="524">
        <v>6579</v>
      </c>
      <c r="N33" s="523"/>
      <c r="O33" s="523"/>
      <c r="P33" s="523"/>
      <c r="Q33" s="524"/>
      <c r="R33" s="161"/>
      <c r="S33" s="161"/>
      <c r="T33" s="161"/>
      <c r="U33" s="162"/>
      <c r="V33" s="161"/>
      <c r="W33" s="161"/>
      <c r="X33" s="161"/>
      <c r="Y33" s="162"/>
      <c r="Z33" s="541"/>
      <c r="AA33" s="538"/>
      <c r="AB33" s="538"/>
      <c r="AC33" s="539"/>
      <c r="AD33" s="538"/>
      <c r="AE33" s="500"/>
      <c r="AF33" s="501"/>
      <c r="AG33" s="500"/>
      <c r="AH33" s="500"/>
      <c r="AI33" s="500"/>
      <c r="AJ33" s="500"/>
      <c r="AK33" s="500"/>
      <c r="AL33" s="131"/>
      <c r="AM33" s="359"/>
      <c r="AN33" s="161"/>
      <c r="AO33" s="180"/>
      <c r="AP33" s="313"/>
      <c r="AQ33" s="169"/>
      <c r="AR33" s="189">
        <f>SUM(J33:M33)</f>
        <v>23692</v>
      </c>
      <c r="AS33" s="550"/>
      <c r="AT33" s="549"/>
      <c r="AU33" s="553"/>
      <c r="AV33" s="316"/>
      <c r="AW33" s="539"/>
      <c r="AX33" s="539"/>
      <c r="AY33" s="540"/>
      <c r="AZ33" s="540"/>
      <c r="BA33" s="180"/>
      <c r="BB33" s="328"/>
      <c r="BC33" s="328"/>
      <c r="BD33" s="328"/>
      <c r="BE33" s="328"/>
    </row>
    <row r="34" spans="1:59" s="137" customFormat="1" ht="12.75" hidden="1" customHeight="1" outlineLevel="1" x14ac:dyDescent="0.2">
      <c r="A34" s="543"/>
      <c r="B34" s="547" t="s">
        <v>304</v>
      </c>
      <c r="C34" s="459"/>
      <c r="D34" s="498"/>
      <c r="E34" s="497"/>
      <c r="F34" s="490"/>
      <c r="G34" s="500"/>
      <c r="H34" s="500"/>
      <c r="I34" s="524">
        <v>-223</v>
      </c>
      <c r="J34" s="523">
        <v>0</v>
      </c>
      <c r="K34" s="523">
        <v>0</v>
      </c>
      <c r="L34" s="523">
        <v>0</v>
      </c>
      <c r="M34" s="524">
        <v>0</v>
      </c>
      <c r="N34" s="523"/>
      <c r="O34" s="523"/>
      <c r="P34" s="523"/>
      <c r="Q34" s="524"/>
      <c r="R34" s="500"/>
      <c r="S34" s="500"/>
      <c r="T34" s="500"/>
      <c r="U34" s="501"/>
      <c r="V34" s="500"/>
      <c r="W34" s="500"/>
      <c r="X34" s="500"/>
      <c r="Y34" s="501"/>
      <c r="Z34" s="544"/>
      <c r="AA34" s="315"/>
      <c r="AB34" s="315"/>
      <c r="AC34" s="316"/>
      <c r="AD34" s="315"/>
      <c r="AE34" s="500"/>
      <c r="AF34" s="501"/>
      <c r="AG34" s="500"/>
      <c r="AH34" s="500"/>
      <c r="AI34" s="500"/>
      <c r="AJ34" s="500"/>
      <c r="AK34" s="500"/>
      <c r="AL34" s="131"/>
      <c r="AM34" s="359"/>
      <c r="AN34" s="500"/>
      <c r="AO34" s="180"/>
      <c r="AP34" s="498"/>
      <c r="AQ34" s="169"/>
      <c r="AR34" s="410">
        <f>SUM(J34:M34)</f>
        <v>0</v>
      </c>
      <c r="AS34" s="410"/>
      <c r="AT34" s="410"/>
      <c r="AU34" s="554"/>
      <c r="AV34" s="316"/>
      <c r="AW34" s="316"/>
      <c r="AX34" s="316"/>
      <c r="AY34" s="330"/>
      <c r="AZ34" s="330"/>
      <c r="BA34" s="180"/>
      <c r="BB34" s="328"/>
      <c r="BC34" s="328"/>
      <c r="BD34" s="328"/>
      <c r="BE34" s="328"/>
    </row>
    <row r="35" spans="1:59" s="137" customFormat="1" ht="12.75" hidden="1" customHeight="1" outlineLevel="1" x14ac:dyDescent="0.2">
      <c r="A35" s="543"/>
      <c r="B35" s="547" t="s">
        <v>305</v>
      </c>
      <c r="C35" s="459"/>
      <c r="D35" s="353"/>
      <c r="E35" s="497"/>
      <c r="F35" s="490"/>
      <c r="G35" s="500"/>
      <c r="H35" s="500"/>
      <c r="I35" s="524">
        <v>611</v>
      </c>
      <c r="J35" s="490">
        <v>1376</v>
      </c>
      <c r="K35" s="500">
        <v>1280</v>
      </c>
      <c r="L35" s="500">
        <v>1398</v>
      </c>
      <c r="M35" s="501">
        <v>1138</v>
      </c>
      <c r="N35" s="523"/>
      <c r="O35" s="523"/>
      <c r="P35" s="523"/>
      <c r="Q35" s="524"/>
      <c r="R35" s="500"/>
      <c r="S35" s="500"/>
      <c r="T35" s="500"/>
      <c r="U35" s="501"/>
      <c r="V35" s="500"/>
      <c r="W35" s="500"/>
      <c r="X35" s="500"/>
      <c r="Y35" s="501"/>
      <c r="Z35" s="544"/>
      <c r="AA35" s="315"/>
      <c r="AB35" s="315"/>
      <c r="AC35" s="316"/>
      <c r="AD35" s="315"/>
      <c r="AE35" s="500"/>
      <c r="AF35" s="501"/>
      <c r="AG35" s="500"/>
      <c r="AH35" s="500"/>
      <c r="AI35" s="500"/>
      <c r="AJ35" s="500"/>
      <c r="AK35" s="500"/>
      <c r="AL35" s="131"/>
      <c r="AM35" s="359"/>
      <c r="AN35" s="500"/>
      <c r="AO35" s="180"/>
      <c r="AP35" s="498"/>
      <c r="AQ35" s="169"/>
      <c r="AR35" s="189">
        <f>SUM(J35:M35)</f>
        <v>5192</v>
      </c>
      <c r="AS35" s="499"/>
      <c r="AT35" s="499"/>
      <c r="AU35" s="554"/>
      <c r="AV35" s="316"/>
      <c r="AW35" s="316"/>
      <c r="AX35" s="316"/>
      <c r="AY35" s="330"/>
      <c r="AZ35" s="330"/>
      <c r="BA35" s="180"/>
      <c r="BB35" s="328"/>
      <c r="BC35" s="328"/>
      <c r="BD35" s="328"/>
      <c r="BE35" s="328"/>
    </row>
    <row r="36" spans="1:59" s="137" customFormat="1" ht="12.75" hidden="1" customHeight="1" outlineLevel="1" x14ac:dyDescent="0.2">
      <c r="A36" s="543"/>
      <c r="B36" s="547" t="s">
        <v>306</v>
      </c>
      <c r="C36" s="459"/>
      <c r="D36" s="353"/>
      <c r="E36" s="497"/>
      <c r="F36" s="490"/>
      <c r="G36" s="500"/>
      <c r="H36" s="500"/>
      <c r="I36" s="524">
        <v>0</v>
      </c>
      <c r="J36" s="490">
        <v>1715</v>
      </c>
      <c r="K36" s="500">
        <v>1579</v>
      </c>
      <c r="L36" s="500">
        <v>1609</v>
      </c>
      <c r="M36" s="501">
        <v>1708</v>
      </c>
      <c r="N36" s="523"/>
      <c r="O36" s="523"/>
      <c r="P36" s="523"/>
      <c r="Q36" s="524"/>
      <c r="R36" s="500"/>
      <c r="S36" s="500"/>
      <c r="T36" s="500"/>
      <c r="U36" s="501"/>
      <c r="V36" s="500"/>
      <c r="W36" s="500"/>
      <c r="X36" s="500"/>
      <c r="Y36" s="501"/>
      <c r="Z36" s="544"/>
      <c r="AA36" s="315"/>
      <c r="AB36" s="315"/>
      <c r="AC36" s="316"/>
      <c r="AD36" s="315"/>
      <c r="AE36" s="500"/>
      <c r="AF36" s="501"/>
      <c r="AG36" s="500"/>
      <c r="AH36" s="500"/>
      <c r="AI36" s="500"/>
      <c r="AJ36" s="500"/>
      <c r="AK36" s="500"/>
      <c r="AL36" s="131"/>
      <c r="AM36" s="359"/>
      <c r="AN36" s="500"/>
      <c r="AO36" s="180"/>
      <c r="AP36" s="498"/>
      <c r="AQ36" s="169"/>
      <c r="AR36" s="279">
        <f>SUM(J36:M36)</f>
        <v>6611</v>
      </c>
      <c r="AS36" s="134"/>
      <c r="AT36" s="134"/>
      <c r="AU36" s="555"/>
      <c r="AV36" s="316"/>
      <c r="AW36" s="545"/>
      <c r="AX36" s="545"/>
      <c r="AY36" s="546"/>
      <c r="AZ36" s="546"/>
      <c r="BA36" s="180"/>
      <c r="BB36" s="328"/>
      <c r="BC36" s="328"/>
      <c r="BD36" s="328"/>
      <c r="BE36" s="328"/>
    </row>
    <row r="37" spans="1:59" s="53" customFormat="1" ht="15" hidden="1" customHeight="1" outlineLevel="1" x14ac:dyDescent="0.2">
      <c r="A37" s="570"/>
      <c r="B37" s="496" t="s">
        <v>286</v>
      </c>
      <c r="C37" s="110"/>
      <c r="D37" s="111"/>
      <c r="E37" s="497"/>
      <c r="F37" s="174"/>
      <c r="G37" s="174"/>
      <c r="H37" s="174"/>
      <c r="I37" s="561">
        <f>+I33+I34+I35+I36</f>
        <v>4808</v>
      </c>
      <c r="J37" s="174">
        <v>8342</v>
      </c>
      <c r="K37" s="174">
        <v>8506</v>
      </c>
      <c r="L37" s="174">
        <v>9222</v>
      </c>
      <c r="M37" s="175">
        <v>9425</v>
      </c>
      <c r="N37" s="174"/>
      <c r="O37" s="174"/>
      <c r="P37" s="174"/>
      <c r="Q37" s="175"/>
      <c r="R37" s="174">
        <v>9382</v>
      </c>
      <c r="S37" s="174">
        <v>8444</v>
      </c>
      <c r="T37" s="174">
        <v>9374</v>
      </c>
      <c r="U37" s="175">
        <v>9404</v>
      </c>
      <c r="V37" s="174">
        <v>9225</v>
      </c>
      <c r="W37" s="174">
        <v>9773</v>
      </c>
      <c r="X37" s="174">
        <v>8219</v>
      </c>
      <c r="Y37" s="175">
        <v>8565</v>
      </c>
      <c r="Z37" s="333" t="s">
        <v>166</v>
      </c>
      <c r="AA37" s="333" t="s">
        <v>166</v>
      </c>
      <c r="AB37" s="333" t="s">
        <v>166</v>
      </c>
      <c r="AC37" s="334" t="s">
        <v>166</v>
      </c>
      <c r="AD37" s="335" t="s">
        <v>166</v>
      </c>
      <c r="AE37" s="316" t="s">
        <v>166</v>
      </c>
      <c r="AF37" s="316" t="s">
        <v>166</v>
      </c>
      <c r="AG37" s="315" t="s">
        <v>166</v>
      </c>
      <c r="AH37" s="315" t="s">
        <v>166</v>
      </c>
      <c r="AI37" s="315" t="s">
        <v>166</v>
      </c>
      <c r="AJ37" s="315" t="s">
        <v>166</v>
      </c>
      <c r="AK37" s="315" t="s">
        <v>166</v>
      </c>
      <c r="AL37" s="321"/>
      <c r="AM37" s="236">
        <f>SUM(K37:M37)</f>
        <v>27153</v>
      </c>
      <c r="AN37" s="236">
        <f>SUM(O37:Q37)</f>
        <v>0</v>
      </c>
      <c r="AO37" s="236">
        <f>AR37-AS37</f>
        <v>35495</v>
      </c>
      <c r="AP37" s="111" t="e">
        <f>IF(OR((AO37/AS37)&gt;3,(AO37/AS37)&lt;-3),"n.m.",(AO37/AS37))</f>
        <v>#DIV/0!</v>
      </c>
      <c r="AQ37" s="321"/>
      <c r="AR37" s="130">
        <f>SUM(J37:M37)</f>
        <v>35495</v>
      </c>
      <c r="AS37" s="130"/>
      <c r="AT37" s="130"/>
      <c r="AU37" s="134"/>
      <c r="AV37" s="335"/>
      <c r="AW37" s="334"/>
      <c r="AX37" s="334"/>
      <c r="AY37" s="336"/>
      <c r="AZ37" s="336"/>
      <c r="BA37" s="8"/>
      <c r="BB37" s="483"/>
      <c r="BD37" s="137"/>
      <c r="BE37" s="137"/>
      <c r="BF37" s="137"/>
      <c r="BG37" s="137"/>
    </row>
    <row r="38" spans="1:59" s="53" customFormat="1" ht="15" customHeight="1" collapsed="1" thickTop="1" x14ac:dyDescent="0.2">
      <c r="A38" s="570"/>
      <c r="B38" s="496" t="s">
        <v>313</v>
      </c>
      <c r="C38" s="110"/>
      <c r="D38" s="111"/>
      <c r="E38" s="497"/>
      <c r="F38" s="161"/>
      <c r="G38" s="161"/>
      <c r="H38" s="161"/>
      <c r="I38" s="560"/>
      <c r="J38" s="161"/>
      <c r="K38" s="161"/>
      <c r="L38" s="161"/>
      <c r="M38" s="162"/>
      <c r="N38" s="161"/>
      <c r="O38" s="161"/>
      <c r="P38" s="161"/>
      <c r="Q38" s="162"/>
      <c r="R38" s="161"/>
      <c r="S38" s="161"/>
      <c r="T38" s="161"/>
      <c r="U38" s="162"/>
      <c r="V38" s="161"/>
      <c r="W38" s="161"/>
      <c r="X38" s="161"/>
      <c r="Y38" s="162"/>
      <c r="Z38" s="538"/>
      <c r="AA38" s="538"/>
      <c r="AB38" s="538"/>
      <c r="AC38" s="539"/>
      <c r="AD38" s="556"/>
      <c r="AE38" s="316"/>
      <c r="AF38" s="316"/>
      <c r="AG38" s="315"/>
      <c r="AH38" s="315"/>
      <c r="AI38" s="315"/>
      <c r="AJ38" s="315"/>
      <c r="AK38" s="315"/>
      <c r="AL38" s="321"/>
      <c r="AM38" s="454"/>
      <c r="AN38" s="454"/>
      <c r="AO38" s="454"/>
      <c r="AP38" s="313"/>
      <c r="AQ38" s="321"/>
      <c r="AR38" s="501">
        <f>+AR37</f>
        <v>35495</v>
      </c>
      <c r="AS38" s="501"/>
      <c r="AT38" s="501"/>
      <c r="AU38" s="501"/>
      <c r="AV38" s="316"/>
      <c r="AW38" s="539"/>
      <c r="AX38" s="539"/>
      <c r="AY38" s="540"/>
      <c r="AZ38" s="540"/>
      <c r="BA38" s="8"/>
      <c r="BB38" s="483"/>
      <c r="BD38" s="137"/>
      <c r="BE38" s="137"/>
      <c r="BF38" s="137"/>
      <c r="BG38" s="137"/>
    </row>
    <row r="39" spans="1:59" s="53" customFormat="1" ht="24.75" customHeight="1" thickBot="1" x14ac:dyDescent="0.25">
      <c r="A39" s="86" t="s">
        <v>69</v>
      </c>
      <c r="B39" s="408"/>
      <c r="C39" s="268"/>
      <c r="D39" s="120"/>
      <c r="E39" s="497"/>
      <c r="F39" s="178">
        <f t="shared" ref="F39:L39" si="9">+F32-F37</f>
        <v>0</v>
      </c>
      <c r="G39" s="178">
        <f t="shared" si="9"/>
        <v>0</v>
      </c>
      <c r="H39" s="178">
        <f t="shared" si="9"/>
        <v>0</v>
      </c>
      <c r="I39" s="179">
        <f t="shared" si="9"/>
        <v>-5384</v>
      </c>
      <c r="J39" s="178">
        <f t="shared" si="9"/>
        <v>-8200</v>
      </c>
      <c r="K39" s="178">
        <f t="shared" si="9"/>
        <v>-9500</v>
      </c>
      <c r="L39" s="178">
        <f t="shared" si="9"/>
        <v>-8922</v>
      </c>
      <c r="M39" s="179">
        <f>M32-M37</f>
        <v>-9548</v>
      </c>
      <c r="N39" s="178"/>
      <c r="O39" s="178"/>
      <c r="P39" s="178"/>
      <c r="Q39" s="179"/>
      <c r="R39" s="178">
        <f>R32-R37</f>
        <v>9122</v>
      </c>
      <c r="S39" s="178">
        <f>S32-S37</f>
        <v>8143</v>
      </c>
      <c r="T39" s="178">
        <f>T32-T37</f>
        <v>-3436</v>
      </c>
      <c r="U39" s="179">
        <f>U32-U37</f>
        <v>-1697</v>
      </c>
      <c r="V39" s="178">
        <v>-1070</v>
      </c>
      <c r="W39" s="178">
        <v>-87</v>
      </c>
      <c r="X39" s="178">
        <v>-3294</v>
      </c>
      <c r="Y39" s="179">
        <v>-3548</v>
      </c>
      <c r="Z39" s="317" t="s">
        <v>166</v>
      </c>
      <c r="AA39" s="317" t="s">
        <v>166</v>
      </c>
      <c r="AB39" s="317" t="s">
        <v>166</v>
      </c>
      <c r="AC39" s="318" t="s">
        <v>166</v>
      </c>
      <c r="AD39" s="331" t="s">
        <v>166</v>
      </c>
      <c r="AE39" s="316"/>
      <c r="AF39" s="316"/>
      <c r="AG39" s="315"/>
      <c r="AH39" s="315"/>
      <c r="AI39" s="315"/>
      <c r="AJ39" s="315"/>
      <c r="AK39" s="315"/>
      <c r="AL39" s="321"/>
      <c r="AM39" s="239">
        <f>AM32-AM37</f>
        <v>-27970</v>
      </c>
      <c r="AN39" s="239">
        <f>AN32-AN37</f>
        <v>0</v>
      </c>
      <c r="AO39" s="239">
        <f>AR39-AS39</f>
        <v>-36170</v>
      </c>
      <c r="AP39" s="120" t="e">
        <f>IF(OR((AO39/AS39)&gt;3,(AO39/AS39)&lt;-3),"n.m.",(AO39/AS39))</f>
        <v>#DIV/0!</v>
      </c>
      <c r="AQ39" s="321"/>
      <c r="AR39" s="179">
        <f>AR32-AR37</f>
        <v>-36170</v>
      </c>
      <c r="AS39" s="179"/>
      <c r="AT39" s="179"/>
      <c r="AU39" s="136"/>
      <c r="AV39" s="331"/>
      <c r="AW39" s="318"/>
      <c r="AX39" s="318"/>
      <c r="AY39" s="332"/>
      <c r="AZ39" s="332"/>
      <c r="BA39" s="8"/>
      <c r="BB39" s="483"/>
      <c r="BD39" s="137"/>
      <c r="BE39" s="137"/>
      <c r="BF39" s="137"/>
      <c r="BG39" s="137"/>
    </row>
    <row r="40" spans="1:59" ht="12.75" customHeight="1" thickTop="1" x14ac:dyDescent="0.2">
      <c r="A40" s="484"/>
      <c r="B40" s="484"/>
      <c r="C40" s="507"/>
      <c r="D40" s="508"/>
      <c r="E40" s="508"/>
      <c r="F40" s="508"/>
      <c r="G40" s="508"/>
      <c r="H40" s="508"/>
      <c r="I40" s="483"/>
      <c r="J40" s="508"/>
      <c r="K40" s="508"/>
      <c r="L40" s="508"/>
      <c r="M40" s="483"/>
      <c r="N40" s="508"/>
      <c r="O40" s="508"/>
      <c r="P40" s="508"/>
      <c r="Q40" s="483"/>
      <c r="R40" s="508"/>
      <c r="S40" s="508"/>
      <c r="T40" s="508"/>
      <c r="U40" s="483"/>
      <c r="V40" s="508"/>
      <c r="W40" s="508"/>
      <c r="X40" s="508"/>
      <c r="Y40" s="483"/>
      <c r="Z40" s="508"/>
      <c r="AA40" s="508"/>
      <c r="AB40" s="508"/>
      <c r="AC40" s="483"/>
      <c r="AD40" s="482"/>
      <c r="AE40" s="482"/>
      <c r="AF40" s="482"/>
      <c r="AG40" s="139"/>
      <c r="AH40" s="139"/>
      <c r="AI40" s="139"/>
      <c r="AJ40" s="139"/>
      <c r="AK40" s="139"/>
      <c r="AL40" s="483"/>
      <c r="AM40" s="483"/>
      <c r="AN40" s="483"/>
      <c r="AO40" s="507"/>
      <c r="AP40" s="508"/>
      <c r="AQ40" s="483"/>
      <c r="AR40" s="483"/>
      <c r="AS40" s="483"/>
      <c r="AT40" s="483"/>
      <c r="AU40" s="483"/>
      <c r="AV40" s="483"/>
      <c r="AW40" s="507"/>
      <c r="AX40" s="507"/>
      <c r="AY40" s="8"/>
      <c r="AZ40" s="8"/>
      <c r="BA40" s="8"/>
      <c r="BB40" s="483"/>
      <c r="BD40" s="481"/>
      <c r="BG40" s="481"/>
    </row>
    <row r="41" spans="1:59" ht="13.5" customHeight="1" x14ac:dyDescent="0.2">
      <c r="A41" s="89"/>
      <c r="B41" s="484"/>
      <c r="C41" s="154"/>
      <c r="D41" s="508"/>
      <c r="E41" s="508"/>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483"/>
      <c r="AM41" s="32"/>
      <c r="AN41" s="32"/>
      <c r="AO41" s="154"/>
      <c r="AP41" s="508"/>
      <c r="AQ41" s="483"/>
      <c r="AR41" s="32"/>
      <c r="AS41" s="32"/>
      <c r="AT41" s="32"/>
      <c r="AU41" s="32"/>
      <c r="AV41" s="32"/>
      <c r="AW41" s="32"/>
      <c r="AX41" s="32"/>
      <c r="AY41" s="229"/>
      <c r="AZ41" s="229"/>
      <c r="BA41" s="229"/>
      <c r="BB41" s="483"/>
      <c r="BD41" s="481"/>
      <c r="BG41" s="481"/>
    </row>
    <row r="42" spans="1:59" ht="13.5" hidden="1" customHeight="1" x14ac:dyDescent="0.2">
      <c r="A42" s="6"/>
      <c r="B42" s="484"/>
      <c r="C42" s="154"/>
      <c r="D42" s="508"/>
      <c r="E42" s="508"/>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483"/>
      <c r="AM42" s="32"/>
      <c r="AN42" s="32"/>
      <c r="AO42" s="154"/>
      <c r="AP42" s="508"/>
      <c r="AQ42" s="483"/>
      <c r="AR42" s="32"/>
      <c r="AS42" s="32"/>
      <c r="AT42" s="32"/>
      <c r="AU42" s="32"/>
      <c r="AV42" s="32"/>
      <c r="AW42" s="32"/>
      <c r="AX42" s="32"/>
      <c r="AY42" s="229"/>
      <c r="AZ42" s="229"/>
      <c r="BA42" s="229"/>
      <c r="BB42" s="483"/>
      <c r="BD42" s="481"/>
      <c r="BG42" s="481"/>
    </row>
    <row r="43" spans="1:59" ht="13.5" hidden="1" customHeight="1" x14ac:dyDescent="0.2">
      <c r="A43" s="6"/>
      <c r="B43" s="484"/>
      <c r="C43" s="154"/>
      <c r="D43" s="508"/>
      <c r="E43" s="508"/>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483"/>
      <c r="AM43" s="32"/>
      <c r="AN43" s="32"/>
      <c r="AO43" s="154"/>
      <c r="AP43" s="508"/>
      <c r="AQ43" s="483"/>
      <c r="AR43" s="32"/>
      <c r="AS43" s="32"/>
      <c r="AT43" s="32"/>
      <c r="AU43" s="32"/>
      <c r="AV43" s="32"/>
      <c r="AW43" s="32"/>
      <c r="AX43" s="32"/>
      <c r="AY43" s="229"/>
      <c r="AZ43" s="229"/>
      <c r="BA43" s="229"/>
      <c r="BB43" s="483"/>
      <c r="BD43" s="481"/>
      <c r="BG43" s="481"/>
    </row>
    <row r="44" spans="1:59" ht="12.75" hidden="1" customHeight="1" x14ac:dyDescent="0.2">
      <c r="A44" s="485"/>
      <c r="B44" s="484"/>
      <c r="C44" s="154"/>
      <c r="D44" s="508"/>
      <c r="E44" s="508"/>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483"/>
      <c r="AM44" s="32"/>
      <c r="AN44" s="32"/>
      <c r="AO44" s="154"/>
      <c r="AP44" s="508"/>
      <c r="AQ44" s="483"/>
      <c r="AR44" s="32"/>
      <c r="AS44" s="32"/>
      <c r="AT44" s="32"/>
      <c r="AU44" s="32"/>
      <c r="AV44" s="32"/>
      <c r="AW44" s="32"/>
      <c r="AX44" s="32"/>
      <c r="AY44" s="222"/>
      <c r="AZ44" s="222"/>
      <c r="BA44" s="222"/>
      <c r="BB44" s="483"/>
      <c r="BD44" s="481"/>
      <c r="BG44" s="481"/>
    </row>
    <row r="45" spans="1:59" ht="13.5" hidden="1" customHeight="1" x14ac:dyDescent="0.2">
      <c r="A45" s="485"/>
      <c r="B45" s="484"/>
      <c r="C45" s="154"/>
      <c r="D45" s="508"/>
      <c r="E45" s="508"/>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483"/>
      <c r="AM45" s="32"/>
      <c r="AN45" s="32"/>
      <c r="AO45" s="154"/>
      <c r="AP45" s="508"/>
      <c r="AQ45" s="483"/>
      <c r="AR45" s="32"/>
      <c r="AS45" s="32"/>
      <c r="AT45" s="32"/>
      <c r="AU45" s="32"/>
      <c r="AV45" s="32"/>
      <c r="AW45" s="32"/>
      <c r="AX45" s="32"/>
      <c r="AY45" s="222"/>
      <c r="AZ45" s="222"/>
      <c r="BA45" s="222"/>
      <c r="BB45" s="483"/>
      <c r="BD45" s="481"/>
      <c r="BG45" s="481"/>
    </row>
    <row r="46" spans="1:59" ht="12.75" hidden="1" customHeight="1" x14ac:dyDescent="0.2">
      <c r="A46" s="484"/>
      <c r="B46" s="484"/>
      <c r="C46" s="154"/>
      <c r="D46" s="508"/>
      <c r="E46" s="508"/>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483"/>
      <c r="AM46" s="32"/>
      <c r="AN46" s="32"/>
      <c r="AO46" s="154"/>
      <c r="AP46" s="508"/>
      <c r="AQ46" s="483"/>
      <c r="AR46" s="32"/>
      <c r="AS46" s="32"/>
      <c r="AT46" s="32"/>
      <c r="AU46" s="32"/>
      <c r="AV46" s="32"/>
      <c r="AW46" s="32"/>
      <c r="AX46" s="32"/>
      <c r="AY46" s="222"/>
      <c r="AZ46" s="222"/>
      <c r="BA46" s="222"/>
      <c r="BB46" s="483"/>
      <c r="BD46" s="481"/>
      <c r="BG46" s="481"/>
    </row>
    <row r="47" spans="1:59" ht="12.75" hidden="1" customHeight="1" x14ac:dyDescent="0.2">
      <c r="A47" s="484"/>
      <c r="B47" s="484"/>
      <c r="C47" s="154"/>
      <c r="D47" s="508"/>
      <c r="E47" s="508"/>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483"/>
      <c r="AM47" s="32"/>
      <c r="AN47" s="32"/>
      <c r="AO47" s="154"/>
      <c r="AP47" s="508"/>
      <c r="AQ47" s="483"/>
      <c r="AR47" s="32"/>
      <c r="AS47" s="32"/>
      <c r="AT47" s="32"/>
      <c r="AU47" s="32"/>
      <c r="AV47" s="32"/>
      <c r="AW47" s="32"/>
      <c r="AX47" s="32"/>
      <c r="AY47" s="222"/>
      <c r="AZ47" s="222"/>
      <c r="BA47" s="222"/>
      <c r="BB47" s="483"/>
      <c r="BD47" s="481"/>
      <c r="BG47" s="481"/>
    </row>
    <row r="48" spans="1:59" ht="12.75" hidden="1" customHeight="1" x14ac:dyDescent="0.2">
      <c r="A48" s="485"/>
      <c r="B48" s="484"/>
      <c r="C48" s="154"/>
      <c r="D48" s="508"/>
      <c r="E48" s="508"/>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483"/>
      <c r="AM48" s="32"/>
      <c r="AN48" s="32"/>
      <c r="AO48" s="154"/>
      <c r="AP48" s="508"/>
      <c r="AQ48" s="483"/>
      <c r="AR48" s="32"/>
      <c r="AS48" s="32"/>
      <c r="AT48" s="32"/>
      <c r="AU48" s="32"/>
      <c r="AV48" s="32"/>
      <c r="AW48" s="32"/>
      <c r="AX48" s="32"/>
      <c r="AY48" s="222"/>
      <c r="AZ48" s="222"/>
      <c r="BA48" s="222"/>
      <c r="BB48" s="483"/>
      <c r="BD48" s="481"/>
      <c r="BG48" s="481"/>
    </row>
    <row r="49" spans="1:59" ht="12.75" hidden="1" customHeight="1" x14ac:dyDescent="0.2">
      <c r="A49" s="485"/>
      <c r="B49" s="484"/>
      <c r="C49" s="154"/>
      <c r="D49" s="508"/>
      <c r="E49" s="508"/>
      <c r="F49" s="32"/>
      <c r="G49" s="32"/>
      <c r="H49" s="32"/>
      <c r="I49" s="32"/>
      <c r="J49" s="32"/>
      <c r="K49" s="32"/>
      <c r="L49" s="32"/>
      <c r="M49" s="32"/>
      <c r="N49" s="32"/>
      <c r="O49" s="32"/>
      <c r="P49" s="32"/>
      <c r="Q49" s="32"/>
      <c r="R49" s="32"/>
      <c r="S49" s="32"/>
      <c r="T49" s="32"/>
      <c r="U49" s="32"/>
      <c r="V49" s="32"/>
      <c r="W49" s="32"/>
      <c r="X49" s="32"/>
      <c r="Y49" s="508"/>
      <c r="Z49" s="508"/>
      <c r="AA49" s="508"/>
      <c r="AB49" s="508"/>
      <c r="AC49" s="508"/>
      <c r="AD49" s="508"/>
      <c r="AE49" s="508"/>
      <c r="AF49" s="508"/>
      <c r="AG49" s="508"/>
      <c r="AH49" s="508"/>
      <c r="AI49" s="508"/>
      <c r="AJ49" s="508"/>
      <c r="AK49" s="508"/>
      <c r="AL49" s="169"/>
      <c r="AM49" s="32"/>
      <c r="AN49" s="32"/>
      <c r="AO49" s="154"/>
      <c r="AP49" s="508"/>
      <c r="AQ49" s="169"/>
      <c r="AR49" s="32"/>
      <c r="AS49" s="32"/>
      <c r="AT49" s="32"/>
      <c r="AU49" s="508"/>
      <c r="AV49" s="508"/>
      <c r="AW49" s="508"/>
      <c r="AX49" s="508"/>
      <c r="AY49" s="508"/>
      <c r="AZ49" s="337"/>
      <c r="BA49" s="222"/>
      <c r="BB49" s="483"/>
      <c r="BD49" s="481"/>
      <c r="BG49" s="481"/>
    </row>
    <row r="50" spans="1:59" ht="12.75" hidden="1" customHeight="1" x14ac:dyDescent="0.2">
      <c r="A50" s="484"/>
      <c r="B50" s="484"/>
      <c r="C50" s="507"/>
      <c r="D50" s="508"/>
      <c r="E50" s="508"/>
      <c r="F50" s="508"/>
      <c r="G50" s="508"/>
      <c r="H50" s="508"/>
      <c r="I50" s="508"/>
      <c r="J50" s="508"/>
      <c r="K50" s="508"/>
      <c r="L50" s="508"/>
      <c r="M50" s="508"/>
      <c r="N50" s="508"/>
      <c r="O50" s="508"/>
      <c r="P50" s="508"/>
      <c r="Q50" s="508"/>
      <c r="R50" s="508"/>
      <c r="S50" s="508"/>
      <c r="T50" s="508"/>
      <c r="U50" s="508"/>
      <c r="V50" s="508"/>
      <c r="W50" s="508"/>
      <c r="X50" s="508"/>
      <c r="Y50" s="508"/>
      <c r="Z50" s="508"/>
      <c r="AA50" s="508"/>
      <c r="AB50" s="508"/>
      <c r="AC50" s="483"/>
      <c r="AD50" s="482"/>
      <c r="AE50" s="482"/>
      <c r="AF50" s="482"/>
      <c r="AG50" s="482"/>
      <c r="AH50" s="121"/>
      <c r="AI50" s="121"/>
      <c r="AJ50" s="121"/>
      <c r="AK50" s="121"/>
      <c r="AL50" s="483"/>
      <c r="AM50" s="483"/>
      <c r="AN50" s="483"/>
      <c r="AO50" s="507"/>
      <c r="AP50" s="508"/>
      <c r="AQ50" s="483"/>
      <c r="AR50" s="32"/>
      <c r="AS50" s="32"/>
      <c r="AT50" s="32"/>
      <c r="AU50" s="32"/>
      <c r="AV50" s="483"/>
      <c r="AW50" s="507"/>
      <c r="AX50" s="507"/>
      <c r="AY50" s="223"/>
      <c r="AZ50" s="223"/>
      <c r="BA50" s="223"/>
      <c r="BB50" s="483"/>
      <c r="BD50" s="481"/>
      <c r="BG50" s="481"/>
    </row>
    <row r="51" spans="1:59" ht="13.5" hidden="1" customHeight="1" x14ac:dyDescent="0.2">
      <c r="A51" s="6"/>
      <c r="B51" s="484"/>
      <c r="C51" s="507"/>
      <c r="D51" s="508"/>
      <c r="E51" s="508"/>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483"/>
      <c r="AM51" s="488"/>
      <c r="AN51" s="488"/>
      <c r="AO51" s="507"/>
      <c r="AP51" s="508"/>
      <c r="AQ51" s="483"/>
      <c r="AR51" s="507"/>
      <c r="AS51" s="507"/>
      <c r="AT51" s="507"/>
      <c r="AU51" s="507"/>
      <c r="AV51" s="507"/>
      <c r="AW51" s="507"/>
      <c r="AX51" s="507"/>
      <c r="AY51" s="223"/>
      <c r="AZ51" s="223"/>
      <c r="BA51" s="223"/>
      <c r="BB51" s="483"/>
      <c r="BD51" s="481"/>
      <c r="BG51" s="481"/>
    </row>
    <row r="52" spans="1:59" ht="13.5" hidden="1" customHeight="1" x14ac:dyDescent="0.2">
      <c r="A52" s="492"/>
      <c r="B52" s="89"/>
      <c r="C52" s="507"/>
      <c r="D52" s="508"/>
      <c r="E52" s="508"/>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483"/>
      <c r="AM52" s="488"/>
      <c r="AN52" s="488"/>
      <c r="AO52" s="507"/>
      <c r="AP52" s="508"/>
      <c r="AQ52" s="483"/>
      <c r="AR52" s="507"/>
      <c r="AS52" s="507"/>
      <c r="AT52" s="507"/>
      <c r="AU52" s="507"/>
      <c r="AV52" s="507"/>
      <c r="AW52" s="507"/>
      <c r="AX52" s="507"/>
      <c r="AY52" s="492"/>
      <c r="AZ52" s="492"/>
      <c r="BA52" s="492"/>
      <c r="BB52" s="483"/>
      <c r="BD52" s="481"/>
      <c r="BG52" s="481"/>
    </row>
    <row r="53" spans="1:59" ht="13.5" hidden="1" customHeight="1" x14ac:dyDescent="0.2">
      <c r="A53" s="492"/>
      <c r="B53" s="89"/>
      <c r="C53" s="507"/>
      <c r="D53" s="508"/>
      <c r="E53" s="515"/>
      <c r="F53" s="507"/>
      <c r="G53" s="507"/>
      <c r="H53" s="507"/>
      <c r="I53" s="507"/>
      <c r="J53" s="507"/>
      <c r="K53" s="507"/>
      <c r="L53" s="507"/>
      <c r="M53" s="507"/>
      <c r="N53" s="180"/>
      <c r="O53" s="180"/>
      <c r="P53" s="180"/>
      <c r="Q53" s="180"/>
      <c r="R53" s="180"/>
      <c r="S53" s="180"/>
      <c r="T53" s="180"/>
      <c r="U53" s="180"/>
      <c r="V53" s="507"/>
      <c r="W53" s="507"/>
      <c r="X53" s="507"/>
      <c r="Y53" s="507"/>
      <c r="Z53" s="507"/>
      <c r="AA53" s="507"/>
      <c r="AB53" s="507"/>
      <c r="AC53" s="507"/>
      <c r="AD53" s="507"/>
      <c r="AE53" s="507"/>
      <c r="AF53" s="507"/>
      <c r="AG53" s="507"/>
      <c r="AH53" s="507"/>
      <c r="AI53" s="507"/>
      <c r="AJ53" s="507"/>
      <c r="AK53" s="507"/>
      <c r="AL53" s="516"/>
      <c r="AM53" s="488"/>
      <c r="AN53" s="488"/>
      <c r="AO53" s="507"/>
      <c r="AP53" s="180"/>
      <c r="AQ53" s="516"/>
      <c r="AR53" s="507"/>
      <c r="AS53" s="180"/>
      <c r="AT53" s="180"/>
      <c r="AU53" s="180"/>
      <c r="AV53" s="180"/>
      <c r="AW53" s="180"/>
      <c r="AX53" s="507"/>
      <c r="AY53" s="484"/>
      <c r="AZ53" s="484"/>
      <c r="BA53" s="484"/>
      <c r="BB53" s="483"/>
      <c r="BD53" s="481"/>
      <c r="BG53" s="481"/>
    </row>
    <row r="54" spans="1:59" ht="12.75" hidden="1" customHeight="1" x14ac:dyDescent="0.2">
      <c r="A54" s="492"/>
      <c r="B54" s="89"/>
      <c r="C54" s="507"/>
      <c r="D54" s="508"/>
      <c r="E54" s="508"/>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483"/>
      <c r="AM54" s="488"/>
      <c r="AN54" s="488"/>
      <c r="AO54" s="507"/>
      <c r="AP54" s="508"/>
      <c r="AQ54" s="483"/>
      <c r="AR54" s="507"/>
      <c r="AS54" s="507"/>
      <c r="AT54" s="507"/>
      <c r="AU54" s="507"/>
      <c r="AV54" s="507"/>
      <c r="AW54" s="507"/>
      <c r="AX54" s="507"/>
      <c r="AY54" s="484"/>
      <c r="AZ54" s="484"/>
      <c r="BA54" s="484"/>
      <c r="BB54" s="483"/>
      <c r="BD54" s="481"/>
      <c r="BG54" s="481"/>
    </row>
    <row r="55" spans="1:59" ht="12.75" hidden="1" customHeight="1" x14ac:dyDescent="0.2">
      <c r="A55" s="492"/>
      <c r="B55" s="89"/>
      <c r="C55" s="507"/>
      <c r="D55" s="508"/>
      <c r="E55" s="508"/>
      <c r="F55" s="507"/>
      <c r="G55" s="507"/>
      <c r="H55" s="507"/>
      <c r="I55" s="507"/>
      <c r="J55" s="507"/>
      <c r="K55" s="507"/>
      <c r="L55" s="507"/>
      <c r="M55" s="507"/>
      <c r="N55" s="508"/>
      <c r="O55" s="508"/>
      <c r="P55" s="508"/>
      <c r="Q55" s="508"/>
      <c r="R55" s="508"/>
      <c r="S55" s="508"/>
      <c r="T55" s="508"/>
      <c r="U55" s="508"/>
      <c r="V55" s="507"/>
      <c r="W55" s="507"/>
      <c r="X55" s="507"/>
      <c r="Y55" s="507"/>
      <c r="Z55" s="507"/>
      <c r="AA55" s="507"/>
      <c r="AB55" s="507"/>
      <c r="AC55" s="507"/>
      <c r="AD55" s="507"/>
      <c r="AE55" s="507"/>
      <c r="AF55" s="507"/>
      <c r="AG55" s="507"/>
      <c r="AH55" s="507"/>
      <c r="AI55" s="507"/>
      <c r="AJ55" s="507"/>
      <c r="AK55" s="507"/>
      <c r="AL55" s="483"/>
      <c r="AM55" s="483"/>
      <c r="AN55" s="483"/>
      <c r="AO55" s="507"/>
      <c r="AP55" s="508"/>
      <c r="AQ55" s="483"/>
      <c r="AR55" s="508"/>
      <c r="AS55" s="508"/>
      <c r="AT55" s="508"/>
      <c r="AU55" s="508"/>
      <c r="AV55" s="508"/>
      <c r="AW55" s="508"/>
      <c r="AX55" s="507"/>
      <c r="AY55" s="484"/>
      <c r="AZ55" s="484"/>
      <c r="BA55" s="484"/>
      <c r="BB55" s="483"/>
      <c r="BD55" s="481"/>
      <c r="BG55" s="481"/>
    </row>
    <row r="56" spans="1:59" ht="12.75" hidden="1" customHeight="1" x14ac:dyDescent="0.2">
      <c r="A56" s="485"/>
      <c r="B56" s="89"/>
      <c r="C56" s="507"/>
      <c r="D56" s="508"/>
      <c r="E56" s="508"/>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c r="AJ56" s="507"/>
      <c r="AK56" s="507"/>
      <c r="AL56" s="483"/>
      <c r="AM56" s="488"/>
      <c r="AN56" s="488"/>
      <c r="AO56" s="507"/>
      <c r="AP56" s="508"/>
      <c r="AQ56" s="483"/>
      <c r="AR56" s="507"/>
      <c r="AS56" s="507"/>
      <c r="AT56" s="507"/>
      <c r="AU56" s="507"/>
      <c r="AV56" s="507"/>
      <c r="AW56" s="507"/>
      <c r="AX56" s="507"/>
      <c r="AY56" s="492"/>
      <c r="AZ56" s="492"/>
      <c r="BA56" s="492"/>
      <c r="BB56" s="483"/>
      <c r="BD56" s="481"/>
      <c r="BG56" s="481"/>
    </row>
    <row r="57" spans="1:59" ht="13.5" hidden="1" customHeight="1" x14ac:dyDescent="0.2">
      <c r="A57" s="489"/>
      <c r="B57" s="485"/>
      <c r="C57" s="507"/>
      <c r="D57" s="508"/>
      <c r="E57" s="508"/>
      <c r="F57" s="507"/>
      <c r="G57" s="507"/>
      <c r="H57" s="507"/>
      <c r="I57" s="507"/>
      <c r="J57" s="507"/>
      <c r="K57" s="507"/>
      <c r="L57" s="507"/>
      <c r="M57" s="507"/>
      <c r="N57" s="507"/>
      <c r="O57" s="507"/>
      <c r="P57" s="507"/>
      <c r="Q57" s="507"/>
      <c r="R57" s="507"/>
      <c r="S57" s="507"/>
      <c r="T57" s="507"/>
      <c r="U57" s="507"/>
      <c r="V57" s="507"/>
      <c r="W57" s="507"/>
      <c r="X57" s="507"/>
      <c r="Y57" s="507"/>
      <c r="Z57" s="507"/>
      <c r="AA57" s="507"/>
      <c r="AB57" s="507"/>
      <c r="AC57" s="507"/>
      <c r="AD57" s="507"/>
      <c r="AE57" s="507"/>
      <c r="AF57" s="507"/>
      <c r="AG57" s="507"/>
      <c r="AH57" s="507"/>
      <c r="AI57" s="507"/>
      <c r="AJ57" s="507"/>
      <c r="AK57" s="507"/>
      <c r="AL57" s="483"/>
      <c r="AM57" s="488"/>
      <c r="AN57" s="488"/>
      <c r="AO57" s="507"/>
      <c r="AP57" s="508"/>
      <c r="AQ57" s="483"/>
      <c r="AR57" s="507"/>
      <c r="AS57" s="507"/>
      <c r="AT57" s="507"/>
      <c r="AU57" s="507"/>
      <c r="AV57" s="507"/>
      <c r="AW57" s="507"/>
      <c r="AX57" s="507"/>
      <c r="AY57" s="492"/>
      <c r="AZ57" s="492"/>
      <c r="BA57" s="492"/>
      <c r="BB57" s="483"/>
      <c r="BD57" s="481"/>
      <c r="BG57" s="481"/>
    </row>
    <row r="58" spans="1:59" ht="12.75" hidden="1" customHeight="1" x14ac:dyDescent="0.2">
      <c r="A58" s="489"/>
      <c r="B58" s="485"/>
      <c r="C58" s="507"/>
      <c r="D58" s="508"/>
      <c r="E58" s="508"/>
      <c r="F58" s="507"/>
      <c r="G58" s="507"/>
      <c r="H58" s="507"/>
      <c r="I58" s="507"/>
      <c r="J58" s="507"/>
      <c r="K58" s="507"/>
      <c r="L58" s="507"/>
      <c r="M58" s="507"/>
      <c r="N58" s="180"/>
      <c r="O58" s="180"/>
      <c r="P58" s="180"/>
      <c r="Q58" s="180"/>
      <c r="R58" s="180"/>
      <c r="S58" s="180"/>
      <c r="T58" s="180"/>
      <c r="U58" s="180"/>
      <c r="V58" s="507"/>
      <c r="W58" s="507"/>
      <c r="X58" s="507"/>
      <c r="Y58" s="507"/>
      <c r="Z58" s="507"/>
      <c r="AA58" s="507"/>
      <c r="AB58" s="507"/>
      <c r="AC58" s="507"/>
      <c r="AD58" s="507"/>
      <c r="AE58" s="507"/>
      <c r="AF58" s="507"/>
      <c r="AG58" s="507"/>
      <c r="AH58" s="507"/>
      <c r="AI58" s="507"/>
      <c r="AJ58" s="507"/>
      <c r="AK58" s="507"/>
      <c r="AL58" s="516"/>
      <c r="AM58" s="488"/>
      <c r="AN58" s="488"/>
      <c r="AO58" s="507"/>
      <c r="AP58" s="508"/>
      <c r="AQ58" s="516"/>
      <c r="AR58" s="507"/>
      <c r="AS58" s="180"/>
      <c r="AT58" s="180"/>
      <c r="AU58" s="180"/>
      <c r="AV58" s="180"/>
      <c r="AW58" s="180"/>
      <c r="AX58" s="507"/>
      <c r="AY58" s="492"/>
      <c r="AZ58" s="492"/>
      <c r="BA58" s="492"/>
      <c r="BB58" s="483"/>
      <c r="BD58" s="481"/>
      <c r="BG58" s="481"/>
    </row>
    <row r="59" spans="1:59" ht="12.75" customHeight="1" x14ac:dyDescent="0.2">
      <c r="A59" s="6"/>
      <c r="B59" s="6"/>
      <c r="C59" s="483"/>
      <c r="D59" s="483"/>
      <c r="E59" s="483"/>
      <c r="F59" s="483"/>
      <c r="G59" s="483"/>
      <c r="H59" s="483"/>
      <c r="I59" s="6"/>
      <c r="J59" s="483"/>
      <c r="K59" s="483"/>
      <c r="L59" s="483"/>
      <c r="M59" s="6"/>
      <c r="N59" s="483"/>
      <c r="O59" s="483"/>
      <c r="P59" s="483"/>
      <c r="Q59" s="6"/>
      <c r="R59" s="483"/>
      <c r="S59" s="483"/>
      <c r="T59" s="483"/>
      <c r="U59" s="6"/>
      <c r="V59" s="483"/>
      <c r="W59" s="483"/>
      <c r="X59" s="483"/>
      <c r="Y59" s="6"/>
      <c r="Z59" s="483"/>
      <c r="AA59" s="483"/>
      <c r="AB59" s="483"/>
      <c r="AC59" s="6"/>
      <c r="AD59" s="483"/>
      <c r="AE59" s="483"/>
      <c r="AF59" s="483"/>
      <c r="AG59" s="483"/>
      <c r="AH59" s="483"/>
      <c r="AI59" s="483"/>
      <c r="AJ59" s="483"/>
      <c r="AK59" s="483"/>
      <c r="AL59" s="483"/>
      <c r="AM59" s="483"/>
      <c r="AN59" s="483"/>
      <c r="AO59" s="483"/>
      <c r="AP59" s="483"/>
      <c r="AQ59" s="483"/>
      <c r="AR59" s="483"/>
      <c r="AS59" s="483"/>
      <c r="AT59" s="483"/>
      <c r="AU59" s="483"/>
      <c r="AV59" s="483"/>
      <c r="AW59" s="483"/>
      <c r="AX59" s="483"/>
      <c r="AY59" s="484"/>
      <c r="AZ59" s="482"/>
      <c r="BA59" s="482"/>
      <c r="BB59" s="483"/>
      <c r="BD59" s="481"/>
      <c r="BG59" s="481"/>
    </row>
    <row r="60" spans="1:59" ht="18" customHeight="1" x14ac:dyDescent="0.2">
      <c r="A60" s="10" t="s">
        <v>231</v>
      </c>
      <c r="B60" s="6"/>
      <c r="C60" s="482"/>
      <c r="D60" s="482"/>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c r="AF60" s="482"/>
      <c r="AG60" s="482"/>
      <c r="AH60" s="482"/>
      <c r="AI60" s="482"/>
      <c r="AJ60" s="482"/>
      <c r="AK60" s="482"/>
      <c r="AL60" s="482"/>
      <c r="AM60" s="482"/>
      <c r="AN60" s="482"/>
      <c r="AO60" s="483"/>
      <c r="AP60" s="483"/>
      <c r="AQ60" s="482"/>
      <c r="AR60" s="482"/>
      <c r="AS60" s="482"/>
      <c r="AT60" s="482"/>
      <c r="AU60" s="482"/>
      <c r="AV60" s="482"/>
      <c r="AW60" s="482"/>
      <c r="AX60" s="482"/>
      <c r="AY60" s="484"/>
      <c r="AZ60" s="482"/>
      <c r="BA60" s="482"/>
      <c r="BB60" s="483"/>
      <c r="BD60" s="481"/>
      <c r="BG60" s="481"/>
    </row>
    <row r="61" spans="1:59" ht="12.75" customHeight="1" x14ac:dyDescent="0.2">
      <c r="A61" s="123"/>
      <c r="B61" s="6"/>
      <c r="C61" s="482"/>
      <c r="D61" s="482"/>
      <c r="E61" s="483"/>
      <c r="F61" s="265"/>
      <c r="G61" s="265"/>
      <c r="H61" s="265"/>
      <c r="I61" s="483"/>
      <c r="J61" s="265"/>
      <c r="K61" s="265"/>
      <c r="L61" s="265"/>
      <c r="M61" s="483"/>
      <c r="N61" s="265"/>
      <c r="O61" s="483"/>
      <c r="P61" s="265"/>
      <c r="Q61" s="483"/>
      <c r="R61" s="265"/>
      <c r="S61" s="483"/>
      <c r="T61" s="265"/>
      <c r="U61" s="483"/>
      <c r="V61" s="265"/>
      <c r="W61" s="483"/>
      <c r="X61" s="265"/>
      <c r="Y61" s="483"/>
      <c r="Z61" s="265"/>
      <c r="AA61" s="483"/>
      <c r="AB61" s="483"/>
      <c r="AC61" s="483"/>
      <c r="AD61" s="483"/>
      <c r="AE61" s="483"/>
      <c r="AF61" s="482"/>
      <c r="AG61" s="482"/>
      <c r="AH61" s="482"/>
      <c r="AI61" s="482"/>
      <c r="AJ61" s="482"/>
      <c r="AK61" s="482"/>
      <c r="AL61" s="482"/>
      <c r="AM61" s="482"/>
      <c r="AN61" s="482"/>
      <c r="AO61" s="483"/>
      <c r="AP61" s="483"/>
      <c r="AQ61" s="482"/>
      <c r="AR61" s="482"/>
      <c r="AS61" s="482"/>
      <c r="AT61" s="482"/>
      <c r="AU61" s="482"/>
      <c r="AV61" s="482"/>
      <c r="AW61" s="482"/>
      <c r="AX61" s="482"/>
      <c r="AY61" s="221"/>
      <c r="AZ61" s="221"/>
      <c r="BA61" s="221"/>
      <c r="BB61" s="483"/>
      <c r="BD61" s="481"/>
      <c r="BG61" s="481"/>
    </row>
    <row r="62" spans="1:59" ht="12.75" customHeight="1" x14ac:dyDescent="0.2">
      <c r="A62" s="5"/>
      <c r="B62" s="6"/>
      <c r="C62" s="2431"/>
      <c r="D62" s="2432"/>
      <c r="E62" s="184"/>
      <c r="F62" s="273"/>
      <c r="G62" s="273"/>
      <c r="H62" s="273"/>
      <c r="I62" s="17"/>
      <c r="J62" s="273"/>
      <c r="K62" s="273"/>
      <c r="L62" s="273"/>
      <c r="M62" s="17"/>
      <c r="N62" s="15"/>
      <c r="O62" s="16"/>
      <c r="P62" s="273"/>
      <c r="Q62" s="17"/>
      <c r="R62" s="15"/>
      <c r="S62" s="16"/>
      <c r="T62" s="273"/>
      <c r="U62" s="17"/>
      <c r="W62" s="16"/>
      <c r="X62" s="2"/>
      <c r="Y62" s="17"/>
      <c r="Z62" s="16"/>
      <c r="AB62" s="273"/>
      <c r="AC62" s="17"/>
      <c r="AD62" s="16"/>
      <c r="AE62" s="16"/>
      <c r="AF62" s="16"/>
      <c r="AG62" s="16"/>
      <c r="AH62" s="20"/>
      <c r="AI62" s="17"/>
      <c r="AJ62" s="17"/>
      <c r="AK62" s="17"/>
      <c r="AL62" s="22"/>
      <c r="AM62" s="445" t="s">
        <v>281</v>
      </c>
      <c r="AN62" s="433"/>
      <c r="AO62" s="433" t="s">
        <v>266</v>
      </c>
      <c r="AP62" s="434"/>
      <c r="AQ62" s="13"/>
      <c r="AR62" s="46"/>
      <c r="AS62" s="46"/>
      <c r="AT62" s="46"/>
      <c r="AU62" s="46"/>
      <c r="AV62" s="46"/>
      <c r="AW62" s="126"/>
      <c r="AX62" s="124"/>
      <c r="AY62" s="46"/>
      <c r="AZ62" s="46"/>
      <c r="BA62" s="46"/>
      <c r="BB62" s="105"/>
      <c r="BD62" s="481"/>
      <c r="BG62" s="481"/>
    </row>
    <row r="63" spans="1:59" ht="12.75" customHeight="1" x14ac:dyDescent="0.2">
      <c r="A63" s="5" t="s">
        <v>91</v>
      </c>
      <c r="B63" s="6"/>
      <c r="C63" s="2433"/>
      <c r="D63" s="2434"/>
      <c r="E63" s="355"/>
      <c r="F63" s="19" t="s">
        <v>296</v>
      </c>
      <c r="G63" s="19" t="s">
        <v>295</v>
      </c>
      <c r="H63" s="19" t="s">
        <v>294</v>
      </c>
      <c r="I63" s="12" t="s">
        <v>292</v>
      </c>
      <c r="J63" s="19" t="s">
        <v>252</v>
      </c>
      <c r="K63" s="19" t="s">
        <v>253</v>
      </c>
      <c r="L63" s="19" t="s">
        <v>254</v>
      </c>
      <c r="M63" s="12" t="s">
        <v>255</v>
      </c>
      <c r="N63" s="18" t="s">
        <v>202</v>
      </c>
      <c r="O63" s="19" t="s">
        <v>203</v>
      </c>
      <c r="P63" s="19" t="s">
        <v>204</v>
      </c>
      <c r="Q63" s="12" t="s">
        <v>201</v>
      </c>
      <c r="R63" s="18" t="s">
        <v>173</v>
      </c>
      <c r="S63" s="19" t="s">
        <v>174</v>
      </c>
      <c r="T63" s="19" t="s">
        <v>175</v>
      </c>
      <c r="U63" s="12" t="s">
        <v>176</v>
      </c>
      <c r="V63" s="19" t="s">
        <v>109</v>
      </c>
      <c r="W63" s="19" t="s">
        <v>108</v>
      </c>
      <c r="X63" s="19" t="s">
        <v>107</v>
      </c>
      <c r="Y63" s="12" t="s">
        <v>106</v>
      </c>
      <c r="Z63" s="19" t="s">
        <v>78</v>
      </c>
      <c r="AA63" s="19" t="s">
        <v>79</v>
      </c>
      <c r="AB63" s="19" t="s">
        <v>80</v>
      </c>
      <c r="AC63" s="12" t="s">
        <v>26</v>
      </c>
      <c r="AD63" s="19" t="s">
        <v>27</v>
      </c>
      <c r="AE63" s="19" t="s">
        <v>28</v>
      </c>
      <c r="AF63" s="19" t="s">
        <v>29</v>
      </c>
      <c r="AG63" s="19" t="s">
        <v>30</v>
      </c>
      <c r="AH63" s="21" t="s">
        <v>31</v>
      </c>
      <c r="AI63" s="12" t="s">
        <v>32</v>
      </c>
      <c r="AJ63" s="12" t="s">
        <v>33</v>
      </c>
      <c r="AK63" s="12" t="s">
        <v>34</v>
      </c>
      <c r="AL63" s="184"/>
      <c r="AM63" s="19" t="s">
        <v>253</v>
      </c>
      <c r="AN63" s="19" t="s">
        <v>203</v>
      </c>
      <c r="AO63" s="2435" t="s">
        <v>35</v>
      </c>
      <c r="AP63" s="2434"/>
      <c r="AQ63" s="127"/>
      <c r="AR63" s="18" t="s">
        <v>257</v>
      </c>
      <c r="AS63" s="18" t="s">
        <v>206</v>
      </c>
      <c r="AT63" s="18"/>
      <c r="AU63" s="18"/>
      <c r="AV63" s="18"/>
      <c r="AW63" s="18"/>
      <c r="AX63" s="21"/>
      <c r="AY63" s="21"/>
      <c r="AZ63" s="21"/>
      <c r="BA63" s="21"/>
      <c r="BB63" s="105"/>
      <c r="BD63" s="481"/>
      <c r="BG63" s="481"/>
    </row>
    <row r="64" spans="1:59" ht="12.75" customHeight="1" x14ac:dyDescent="0.2">
      <c r="A64" s="90"/>
      <c r="B64" s="483" t="s">
        <v>4</v>
      </c>
      <c r="C64" s="262"/>
      <c r="D64" s="498"/>
      <c r="E64" s="47"/>
      <c r="F64" s="494"/>
      <c r="G64" s="494"/>
      <c r="H64" s="494"/>
      <c r="I64" s="495">
        <f>+I15</f>
        <v>755</v>
      </c>
      <c r="J64" s="494">
        <f>+J15</f>
        <v>1298</v>
      </c>
      <c r="K64" s="494">
        <f>+K15</f>
        <v>178</v>
      </c>
      <c r="L64" s="494">
        <f>+L15</f>
        <v>1153</v>
      </c>
      <c r="M64" s="495">
        <f>+M15</f>
        <v>844</v>
      </c>
      <c r="N64" s="494">
        <f t="shared" ref="N64:U64" si="10">N15</f>
        <v>0</v>
      </c>
      <c r="O64" s="494">
        <f t="shared" si="10"/>
        <v>0</v>
      </c>
      <c r="P64" s="494">
        <f t="shared" si="10"/>
        <v>0</v>
      </c>
      <c r="Q64" s="495">
        <f t="shared" si="10"/>
        <v>0</v>
      </c>
      <c r="R64" s="494">
        <f t="shared" si="10"/>
        <v>72704</v>
      </c>
      <c r="S64" s="494">
        <f t="shared" si="10"/>
        <v>68599</v>
      </c>
      <c r="T64" s="494">
        <f t="shared" si="10"/>
        <v>44539</v>
      </c>
      <c r="U64" s="495">
        <f t="shared" si="10"/>
        <v>47207</v>
      </c>
      <c r="V64" s="494">
        <v>54990</v>
      </c>
      <c r="W64" s="494">
        <v>51733</v>
      </c>
      <c r="X64" s="494">
        <v>40138</v>
      </c>
      <c r="Y64" s="495">
        <v>40185</v>
      </c>
      <c r="Z64" s="245">
        <v>37255</v>
      </c>
      <c r="AA64" s="494">
        <v>33532</v>
      </c>
      <c r="AB64" s="494">
        <v>43844</v>
      </c>
      <c r="AC64" s="495">
        <v>57853</v>
      </c>
      <c r="AD64" s="114">
        <v>54463</v>
      </c>
      <c r="AE64" s="139">
        <v>61166</v>
      </c>
      <c r="AF64" s="139">
        <v>57415</v>
      </c>
      <c r="AG64" s="143">
        <v>76083</v>
      </c>
      <c r="AH64" s="153">
        <v>75876</v>
      </c>
      <c r="AI64" s="143">
        <v>68831</v>
      </c>
      <c r="AJ64" s="143">
        <v>55626</v>
      </c>
      <c r="AK64" s="152">
        <v>72286</v>
      </c>
      <c r="AL64" s="47"/>
      <c r="AM64" s="494">
        <f>SUM(K64:M64)</f>
        <v>2175</v>
      </c>
      <c r="AN64" s="494">
        <f>SUM(O64:Q64)</f>
        <v>0</v>
      </c>
      <c r="AO64" s="507">
        <f>AR64-AS64</f>
        <v>3473</v>
      </c>
      <c r="AP64" s="348" t="e">
        <f>IF(OR((AO64/AS64)&gt;3,(AO64/AS64)&lt;-3),"n.m.",(AO64/AS64))</f>
        <v>#DIV/0!</v>
      </c>
      <c r="AQ64" s="482"/>
      <c r="AR64" s="499">
        <f>SUM(J64:M64)</f>
        <v>3473</v>
      </c>
      <c r="AS64" s="487">
        <f>SUM(N64:Q64)</f>
        <v>0</v>
      </c>
      <c r="AT64" s="487"/>
      <c r="AU64" s="487"/>
      <c r="AV64" s="487"/>
      <c r="AW64" s="151"/>
      <c r="AX64" s="153"/>
      <c r="AY64" s="153"/>
      <c r="AZ64" s="153"/>
      <c r="BA64" s="153"/>
      <c r="BB64" s="105"/>
      <c r="BD64" s="481"/>
      <c r="BG64" s="481"/>
    </row>
    <row r="65" spans="1:59" ht="12.75" customHeight="1" x14ac:dyDescent="0.2">
      <c r="A65" s="482"/>
      <c r="B65" s="483" t="s">
        <v>77</v>
      </c>
      <c r="C65" s="45"/>
      <c r="D65" s="39"/>
      <c r="E65" s="356"/>
      <c r="F65" s="264"/>
      <c r="G65" s="264"/>
      <c r="H65" s="264"/>
      <c r="I65" s="495">
        <f>+I31</f>
        <v>1331</v>
      </c>
      <c r="J65" s="264">
        <f>+J31-J28-J29</f>
        <v>1156</v>
      </c>
      <c r="K65" s="264">
        <f>+K31-K28-K29</f>
        <v>1172</v>
      </c>
      <c r="L65" s="264">
        <f>+L31-L28</f>
        <v>853</v>
      </c>
      <c r="M65" s="495">
        <f>+M31</f>
        <v>967</v>
      </c>
      <c r="N65" s="264">
        <f>N31-N28-N29</f>
        <v>0</v>
      </c>
      <c r="O65" s="264">
        <f>O31</f>
        <v>0</v>
      </c>
      <c r="P65" s="264">
        <f>P31</f>
        <v>0</v>
      </c>
      <c r="Q65" s="495">
        <f>Q31-Q30-Q28</f>
        <v>0</v>
      </c>
      <c r="R65" s="264">
        <f>R31-R30-R28</f>
        <v>54200</v>
      </c>
      <c r="S65" s="264">
        <f>S31-S30-S28</f>
        <v>52012</v>
      </c>
      <c r="T65" s="264">
        <f>T31-T30-T28</f>
        <v>38601</v>
      </c>
      <c r="U65" s="495">
        <f>U31-U30-U28</f>
        <v>39500</v>
      </c>
      <c r="V65" s="264">
        <v>46835</v>
      </c>
      <c r="W65" s="264">
        <v>42047</v>
      </c>
      <c r="X65" s="264">
        <v>35213</v>
      </c>
      <c r="Y65" s="495">
        <v>35168</v>
      </c>
      <c r="Z65" s="264">
        <v>28967</v>
      </c>
      <c r="AA65" s="264">
        <v>34689</v>
      </c>
      <c r="AB65" s="264">
        <v>35911</v>
      </c>
      <c r="AC65" s="495">
        <v>44683</v>
      </c>
      <c r="AD65" s="114">
        <v>43703</v>
      </c>
      <c r="AE65" s="139">
        <v>48132</v>
      </c>
      <c r="AF65" s="139">
        <v>44039</v>
      </c>
      <c r="AG65" s="143">
        <v>57148</v>
      </c>
      <c r="AH65" s="486">
        <v>55349</v>
      </c>
      <c r="AI65" s="143">
        <v>50178</v>
      </c>
      <c r="AJ65" s="143">
        <v>41346</v>
      </c>
      <c r="AK65" s="143">
        <v>55217</v>
      </c>
      <c r="AL65" s="47"/>
      <c r="AM65" s="494">
        <f>SUM(K65:M65)</f>
        <v>2992</v>
      </c>
      <c r="AN65" s="494">
        <f>SUM(O65:Q65)</f>
        <v>0</v>
      </c>
      <c r="AO65" s="507">
        <f>AR65-AS65</f>
        <v>4148</v>
      </c>
      <c r="AP65" s="39" t="e">
        <f>IF(OR((AO65/AS65)&gt;3,(AO65/AS65)&lt;-3),"n.m.",(AO65/AS65))</f>
        <v>#DIV/0!</v>
      </c>
      <c r="AQ65" s="482"/>
      <c r="AR65" s="487">
        <f>SUM(J65:M65)</f>
        <v>4148</v>
      </c>
      <c r="AS65" s="487">
        <f>SUM(N65:Q65)</f>
        <v>0</v>
      </c>
      <c r="AT65" s="487"/>
      <c r="AU65" s="487"/>
      <c r="AV65" s="487"/>
      <c r="AW65" s="114"/>
      <c r="AX65" s="486"/>
      <c r="AY65" s="486"/>
      <c r="AZ65" s="486"/>
      <c r="BA65" s="486"/>
      <c r="BB65" s="105"/>
      <c r="BD65" s="481"/>
      <c r="BG65" s="481"/>
    </row>
    <row r="66" spans="1:59" ht="24" x14ac:dyDescent="0.2">
      <c r="A66" s="482"/>
      <c r="B66" s="496" t="s">
        <v>168</v>
      </c>
      <c r="C66" s="45"/>
      <c r="D66" s="39"/>
      <c r="E66" s="356"/>
      <c r="F66" s="264"/>
      <c r="G66" s="264"/>
      <c r="H66" s="264"/>
      <c r="I66" s="495">
        <f>+I64-I65</f>
        <v>-576</v>
      </c>
      <c r="J66" s="264">
        <f>+J64-J65</f>
        <v>142</v>
      </c>
      <c r="K66" s="264">
        <f>+K64-K65</f>
        <v>-994</v>
      </c>
      <c r="L66" s="264">
        <f>+L64-L65</f>
        <v>300</v>
      </c>
      <c r="M66" s="495">
        <f>+M64-M65</f>
        <v>-123</v>
      </c>
      <c r="N66" s="264">
        <f t="shared" ref="N66:U66" si="11">N64-N65</f>
        <v>0</v>
      </c>
      <c r="O66" s="264">
        <f t="shared" si="11"/>
        <v>0</v>
      </c>
      <c r="P66" s="264">
        <f t="shared" si="11"/>
        <v>0</v>
      </c>
      <c r="Q66" s="495">
        <f t="shared" si="11"/>
        <v>0</v>
      </c>
      <c r="R66" s="264">
        <f t="shared" si="11"/>
        <v>18504</v>
      </c>
      <c r="S66" s="264">
        <f t="shared" si="11"/>
        <v>16587</v>
      </c>
      <c r="T66" s="264">
        <f t="shared" si="11"/>
        <v>5938</v>
      </c>
      <c r="U66" s="495">
        <f t="shared" si="11"/>
        <v>7707</v>
      </c>
      <c r="V66" s="264">
        <v>8155</v>
      </c>
      <c r="W66" s="264">
        <v>9686</v>
      </c>
      <c r="X66" s="264">
        <v>4925</v>
      </c>
      <c r="Y66" s="495">
        <v>5017</v>
      </c>
      <c r="Z66" s="264">
        <v>8288</v>
      </c>
      <c r="AA66" s="264">
        <v>-1157</v>
      </c>
      <c r="AB66" s="264">
        <v>7933</v>
      </c>
      <c r="AC66" s="495">
        <v>13170</v>
      </c>
      <c r="AD66" s="114">
        <v>10760</v>
      </c>
      <c r="AE66" s="139">
        <v>13034</v>
      </c>
      <c r="AF66" s="139">
        <v>13376</v>
      </c>
      <c r="AG66" s="143">
        <v>18935</v>
      </c>
      <c r="AH66" s="486">
        <v>20527</v>
      </c>
      <c r="AI66" s="143">
        <v>18653</v>
      </c>
      <c r="AJ66" s="143">
        <v>14280</v>
      </c>
      <c r="AK66" s="143">
        <v>17069</v>
      </c>
      <c r="AL66" s="47"/>
      <c r="AM66" s="494">
        <f>+AM64-AM65</f>
        <v>-817</v>
      </c>
      <c r="AN66" s="494">
        <f>+AN64-AN65</f>
        <v>0</v>
      </c>
      <c r="AO66" s="507">
        <f>AR66-AS66</f>
        <v>-675</v>
      </c>
      <c r="AP66" s="39" t="e">
        <f>IF(OR((AO66/AS66)&gt;3,(AO66/AS66)&lt;-3),"n.m.",(AO66/AS66))</f>
        <v>#DIV/0!</v>
      </c>
      <c r="AQ66" s="482"/>
      <c r="AR66" s="487">
        <f>SUM(J66:M66)</f>
        <v>-675</v>
      </c>
      <c r="AS66" s="487">
        <f>AS64-AS65</f>
        <v>0</v>
      </c>
      <c r="AT66" s="487"/>
      <c r="AU66" s="487"/>
      <c r="AV66" s="487"/>
      <c r="AW66" s="114"/>
      <c r="AX66" s="486"/>
      <c r="AY66" s="486"/>
      <c r="AZ66" s="486"/>
      <c r="BA66" s="486"/>
      <c r="BB66" s="105"/>
      <c r="BD66" s="481"/>
      <c r="BG66" s="481"/>
    </row>
    <row r="67" spans="1:59" x14ac:dyDescent="0.2">
      <c r="A67" s="482"/>
      <c r="B67" s="496" t="s">
        <v>69</v>
      </c>
      <c r="C67" s="97"/>
      <c r="D67" s="322"/>
      <c r="E67" s="356"/>
      <c r="F67" s="270"/>
      <c r="G67" s="270"/>
      <c r="H67" s="270"/>
      <c r="I67" s="253">
        <f>+I66</f>
        <v>-576</v>
      </c>
      <c r="J67" s="270">
        <f>+J66</f>
        <v>142</v>
      </c>
      <c r="K67" s="270">
        <f>+K66</f>
        <v>-994</v>
      </c>
      <c r="L67" s="270">
        <f>+L66</f>
        <v>300</v>
      </c>
      <c r="M67" s="253">
        <f>+M66</f>
        <v>-123</v>
      </c>
      <c r="N67" s="270">
        <f t="shared" ref="N67:S67" si="12">+N66-N37</f>
        <v>0</v>
      </c>
      <c r="O67" s="270">
        <f t="shared" si="12"/>
        <v>0</v>
      </c>
      <c r="P67" s="270">
        <f t="shared" si="12"/>
        <v>0</v>
      </c>
      <c r="Q67" s="253">
        <f t="shared" si="12"/>
        <v>0</v>
      </c>
      <c r="R67" s="270">
        <f t="shared" si="12"/>
        <v>9122</v>
      </c>
      <c r="S67" s="270">
        <f t="shared" si="12"/>
        <v>8143</v>
      </c>
      <c r="T67" s="270"/>
      <c r="U67" s="253"/>
      <c r="V67" s="270"/>
      <c r="W67" s="270"/>
      <c r="X67" s="270"/>
      <c r="Y67" s="253"/>
      <c r="Z67" s="270"/>
      <c r="AA67" s="270"/>
      <c r="AB67" s="270"/>
      <c r="AC67" s="253"/>
      <c r="AD67" s="138"/>
      <c r="AE67" s="145"/>
      <c r="AF67" s="145"/>
      <c r="AG67" s="146"/>
      <c r="AH67" s="133"/>
      <c r="AI67" s="146"/>
      <c r="AJ67" s="146"/>
      <c r="AK67" s="146"/>
      <c r="AL67" s="47"/>
      <c r="AM67" s="270">
        <f>+AM66-AM37</f>
        <v>-27970</v>
      </c>
      <c r="AN67" s="270">
        <f>+AN66-AN37</f>
        <v>0</v>
      </c>
      <c r="AO67" s="270">
        <f>AR67-AS67</f>
        <v>-675</v>
      </c>
      <c r="AP67" s="322" t="e">
        <f>IF(OR((AO67/AS67)&gt;3,(AO67/AS67)&lt;-3),"n.m.",(AO67/AS67))</f>
        <v>#DIV/0!</v>
      </c>
      <c r="AQ67" s="482"/>
      <c r="AR67" s="128">
        <f>SUM(J67:M67)</f>
        <v>-675</v>
      </c>
      <c r="AS67" s="128">
        <f>+AS66-AS37</f>
        <v>0</v>
      </c>
      <c r="AT67" s="128"/>
      <c r="AU67" s="128"/>
      <c r="AV67" s="128"/>
      <c r="AW67" s="138"/>
      <c r="AX67" s="133"/>
      <c r="AY67" s="133"/>
      <c r="AZ67" s="133"/>
      <c r="BA67" s="133"/>
      <c r="BB67" s="105"/>
      <c r="BD67" s="481"/>
      <c r="BG67" s="481"/>
    </row>
    <row r="68" spans="1:59" ht="12.75" customHeight="1" x14ac:dyDescent="0.2">
      <c r="A68" s="482"/>
      <c r="B68" s="483"/>
      <c r="C68" s="96"/>
      <c r="D68" s="9"/>
      <c r="E68" s="9"/>
      <c r="F68" s="9"/>
      <c r="G68" s="9"/>
      <c r="H68" s="9"/>
      <c r="I68" s="483"/>
      <c r="J68" s="9"/>
      <c r="K68" s="9"/>
      <c r="L68" s="9"/>
      <c r="M68" s="483"/>
      <c r="N68" s="280"/>
      <c r="O68" s="9"/>
      <c r="P68" s="9"/>
      <c r="Q68" s="483"/>
      <c r="R68" s="9"/>
      <c r="S68" s="9"/>
      <c r="T68" s="9"/>
      <c r="U68" s="483"/>
      <c r="V68" s="9"/>
      <c r="W68" s="9"/>
      <c r="X68" s="9"/>
      <c r="Y68" s="483"/>
      <c r="Z68" s="9"/>
      <c r="AA68" s="9"/>
      <c r="AB68" s="9"/>
      <c r="AC68" s="483"/>
      <c r="AD68" s="482"/>
      <c r="AE68" s="482"/>
      <c r="AF68" s="482"/>
      <c r="AG68" s="482"/>
      <c r="AH68" s="482"/>
      <c r="AI68" s="482"/>
      <c r="AJ68" s="482"/>
      <c r="AK68" s="482"/>
      <c r="AL68" s="483"/>
      <c r="AM68" s="483"/>
      <c r="AN68" s="483"/>
      <c r="AO68" s="96"/>
      <c r="AP68" s="9"/>
      <c r="AQ68" s="483"/>
      <c r="AR68" s="483"/>
      <c r="AS68" s="483"/>
      <c r="AT68" s="483"/>
      <c r="AU68" s="483"/>
      <c r="AV68" s="483"/>
      <c r="AW68" s="482"/>
      <c r="AX68" s="482"/>
      <c r="AY68" s="507"/>
      <c r="AZ68" s="507"/>
      <c r="BA68" s="507"/>
      <c r="BB68" s="483"/>
      <c r="BD68" s="481"/>
      <c r="BG68" s="481"/>
    </row>
    <row r="69" spans="1:59" ht="12.75" customHeight="1" x14ac:dyDescent="0.2">
      <c r="A69" s="482"/>
      <c r="B69" s="485" t="s">
        <v>72</v>
      </c>
      <c r="C69" s="154"/>
      <c r="D69" s="9"/>
      <c r="E69" s="9"/>
      <c r="F69" s="9"/>
      <c r="G69" s="9"/>
      <c r="H69" s="9"/>
      <c r="I69" s="9">
        <f>+(I65-I19-I20)/I15</f>
        <v>0.85298013245033111</v>
      </c>
      <c r="J69" s="9">
        <f>+(J65-J19-J20)/J15</f>
        <v>0.27041602465331277</v>
      </c>
      <c r="K69" s="9">
        <f>+(K65-K19-K20)/K15</f>
        <v>1.848314606741573</v>
      </c>
      <c r="L69" s="9">
        <f>+(L65-L19-L20)/L15</f>
        <v>0.45186470078057239</v>
      </c>
      <c r="M69" s="9">
        <f t="shared" ref="M69:U69" si="13">(M21+M22+M23+M24+M25+M26+M27)/M64</f>
        <v>0.46919431279620855</v>
      </c>
      <c r="N69" s="9" t="e">
        <f t="shared" si="13"/>
        <v>#DIV/0!</v>
      </c>
      <c r="O69" s="9" t="e">
        <f t="shared" si="13"/>
        <v>#DIV/0!</v>
      </c>
      <c r="P69" s="9" t="e">
        <f t="shared" si="13"/>
        <v>#DIV/0!</v>
      </c>
      <c r="Q69" s="9" t="e">
        <f t="shared" si="13"/>
        <v>#DIV/0!</v>
      </c>
      <c r="R69" s="9">
        <f t="shared" si="13"/>
        <v>0.18037522007042253</v>
      </c>
      <c r="S69" s="9">
        <f t="shared" si="13"/>
        <v>0.18236417440487471</v>
      </c>
      <c r="T69" s="9">
        <f t="shared" si="13"/>
        <v>0.27443364242573925</v>
      </c>
      <c r="U69" s="9">
        <f t="shared" si="13"/>
        <v>0.26133836083631667</v>
      </c>
      <c r="V69" s="9">
        <v>0.27384979087106748</v>
      </c>
      <c r="W69" s="9">
        <v>0.26397077300755806</v>
      </c>
      <c r="X69" s="9">
        <v>0.28613782450545616</v>
      </c>
      <c r="Y69" s="9">
        <v>0.3055617767823815</v>
      </c>
      <c r="Z69" s="9">
        <v>0.30438867266138775</v>
      </c>
      <c r="AA69" s="9">
        <v>0.52001073601336034</v>
      </c>
      <c r="AB69" s="9">
        <v>0.28095064318949003</v>
      </c>
      <c r="AC69" s="9">
        <v>0.24116294747031269</v>
      </c>
      <c r="AD69" s="32">
        <v>0.27273561867689994</v>
      </c>
      <c r="AE69" s="32">
        <v>0.26800000000000002</v>
      </c>
      <c r="AF69" s="32">
        <v>0.26400000000000001</v>
      </c>
      <c r="AG69" s="32">
        <v>0.20299999999999996</v>
      </c>
      <c r="AH69" s="32">
        <v>0.19</v>
      </c>
      <c r="AI69" s="32">
        <v>0.22199999999999998</v>
      </c>
      <c r="AJ69" s="32">
        <v>0.24399999999999999</v>
      </c>
      <c r="AK69" s="32">
        <v>0.255</v>
      </c>
      <c r="AL69" s="483"/>
      <c r="AM69" s="9">
        <f>+(AM65-AM19-AM20)/AM15</f>
        <v>0.57287356321839078</v>
      </c>
      <c r="AN69" s="9" t="e">
        <f>(AN21+AN22+AN23+AN24+AN25+AN26+AN27)/AN64</f>
        <v>#DIV/0!</v>
      </c>
      <c r="AO69" s="154" t="e">
        <f>(AR69-AS69)*100</f>
        <v>#DIV/0!</v>
      </c>
      <c r="AP69" s="9"/>
      <c r="AQ69" s="483"/>
      <c r="AR69" s="9">
        <f>(AR21+AR22+AR23+AR24+AR25+AR26+AR27)/AR64</f>
        <v>0.45983299740858047</v>
      </c>
      <c r="AS69" s="9" t="e">
        <f>(AS21+AS22+AS23+AS24+AS25+AS26+AS27)/AS64</f>
        <v>#DIV/0!</v>
      </c>
      <c r="AT69" s="9"/>
      <c r="AU69" s="32"/>
      <c r="AV69" s="32"/>
      <c r="AW69" s="32"/>
      <c r="AX69" s="32"/>
      <c r="AY69" s="222"/>
      <c r="AZ69" s="222"/>
      <c r="BA69" s="222"/>
      <c r="BB69" s="483"/>
      <c r="BD69" s="481"/>
      <c r="BG69" s="481"/>
    </row>
    <row r="70" spans="1:59" ht="12.75" customHeight="1" x14ac:dyDescent="0.2">
      <c r="A70" s="482"/>
      <c r="B70" s="485" t="s">
        <v>73</v>
      </c>
      <c r="C70" s="154"/>
      <c r="D70" s="9"/>
      <c r="E70" s="9"/>
      <c r="F70" s="9"/>
      <c r="G70" s="9"/>
      <c r="H70" s="9"/>
      <c r="I70" s="9">
        <f>I65/I64</f>
        <v>1.7629139072847682</v>
      </c>
      <c r="J70" s="9">
        <f>J65/J64</f>
        <v>0.89060092449922956</v>
      </c>
      <c r="K70" s="9">
        <f>K65/K64</f>
        <v>6.584269662921348</v>
      </c>
      <c r="L70" s="9">
        <f>L65/L64</f>
        <v>0.7398091934084996</v>
      </c>
      <c r="M70" s="9">
        <f t="shared" ref="M70:U70" si="14">M65/M64</f>
        <v>1.1457345971563981</v>
      </c>
      <c r="N70" s="9" t="e">
        <f t="shared" si="14"/>
        <v>#DIV/0!</v>
      </c>
      <c r="O70" s="9" t="e">
        <f t="shared" si="14"/>
        <v>#DIV/0!</v>
      </c>
      <c r="P70" s="9" t="e">
        <f t="shared" si="14"/>
        <v>#DIV/0!</v>
      </c>
      <c r="Q70" s="9" t="e">
        <f t="shared" si="14"/>
        <v>#DIV/0!</v>
      </c>
      <c r="R70" s="9">
        <f t="shared" si="14"/>
        <v>0.74548855633802813</v>
      </c>
      <c r="S70" s="9">
        <f t="shared" si="14"/>
        <v>0.75820347235382435</v>
      </c>
      <c r="T70" s="9">
        <f t="shared" si="14"/>
        <v>0.86667864119086646</v>
      </c>
      <c r="U70" s="9">
        <f t="shared" si="14"/>
        <v>0.83674031393649251</v>
      </c>
      <c r="V70" s="9">
        <v>0.8517003091471177</v>
      </c>
      <c r="W70" s="9">
        <v>0.81276941217404752</v>
      </c>
      <c r="X70" s="9">
        <v>0.8772983207932632</v>
      </c>
      <c r="Y70" s="9">
        <v>0.87515242005723526</v>
      </c>
      <c r="Z70" s="9">
        <v>0.77753321701784994</v>
      </c>
      <c r="AA70" s="9">
        <v>1.0345043540498629</v>
      </c>
      <c r="AB70" s="9">
        <v>0.81906304169327615</v>
      </c>
      <c r="AC70" s="9">
        <v>0.77235406979759047</v>
      </c>
      <c r="AD70" s="32">
        <v>0.8024346804252428</v>
      </c>
      <c r="AE70" s="32">
        <v>0.78700000000000003</v>
      </c>
      <c r="AF70" s="32">
        <v>0.76700000000000002</v>
      </c>
      <c r="AG70" s="32">
        <v>0.751</v>
      </c>
      <c r="AH70" s="32">
        <v>0.72899999999999998</v>
      </c>
      <c r="AI70" s="32">
        <v>0.72899999999999998</v>
      </c>
      <c r="AJ70" s="32">
        <v>0.74299999999999999</v>
      </c>
      <c r="AK70" s="32">
        <v>0.76400000000000001</v>
      </c>
      <c r="AL70" s="483"/>
      <c r="AM70" s="9">
        <f>AM65/AM64</f>
        <v>1.3756321839080459</v>
      </c>
      <c r="AN70" s="9" t="e">
        <f>AN65/AN64</f>
        <v>#DIV/0!</v>
      </c>
      <c r="AO70" s="154" t="e">
        <f>(AR70-AS70)*100</f>
        <v>#DIV/0!</v>
      </c>
      <c r="AP70" s="9"/>
      <c r="AQ70" s="483"/>
      <c r="AR70" s="9">
        <f>AR65/AR64</f>
        <v>1.1943564641520299</v>
      </c>
      <c r="AS70" s="9" t="e">
        <f>AS65/AS64</f>
        <v>#DIV/0!</v>
      </c>
      <c r="AT70" s="9"/>
      <c r="AU70" s="32"/>
      <c r="AV70" s="32"/>
      <c r="AW70" s="32"/>
      <c r="AX70" s="32"/>
      <c r="AY70" s="222"/>
      <c r="AZ70" s="222"/>
      <c r="BA70" s="222"/>
      <c r="BB70" s="483"/>
      <c r="BD70" s="481"/>
      <c r="BG70" s="481"/>
    </row>
    <row r="71" spans="1:59" ht="12.75" customHeight="1" x14ac:dyDescent="0.2">
      <c r="A71" s="482"/>
      <c r="B71" s="485" t="s">
        <v>167</v>
      </c>
      <c r="C71" s="154"/>
      <c r="D71" s="9"/>
      <c r="E71" s="9"/>
      <c r="F71" s="9"/>
      <c r="G71" s="9"/>
      <c r="H71" s="9"/>
      <c r="I71" s="9">
        <f t="shared" ref="I71:U71" si="15">I66/I64</f>
        <v>-0.76291390728476827</v>
      </c>
      <c r="J71" s="9">
        <f t="shared" si="15"/>
        <v>0.10939907550077041</v>
      </c>
      <c r="K71" s="9">
        <f t="shared" si="15"/>
        <v>-5.584269662921348</v>
      </c>
      <c r="L71" s="9">
        <f>L66/L64</f>
        <v>0.26019080659150046</v>
      </c>
      <c r="M71" s="9">
        <f>M66/M64</f>
        <v>-0.14573459715639811</v>
      </c>
      <c r="N71" s="9" t="e">
        <f t="shared" si="15"/>
        <v>#DIV/0!</v>
      </c>
      <c r="O71" s="9" t="e">
        <f>O66/O64</f>
        <v>#DIV/0!</v>
      </c>
      <c r="P71" s="9" t="e">
        <f t="shared" si="15"/>
        <v>#DIV/0!</v>
      </c>
      <c r="Q71" s="9" t="e">
        <f t="shared" si="15"/>
        <v>#DIV/0!</v>
      </c>
      <c r="R71" s="9">
        <f t="shared" si="15"/>
        <v>0.25451144366197181</v>
      </c>
      <c r="S71" s="9">
        <f t="shared" si="15"/>
        <v>0.2417965276461756</v>
      </c>
      <c r="T71" s="9">
        <f t="shared" si="15"/>
        <v>0.13332135880913357</v>
      </c>
      <c r="U71" s="9">
        <f t="shared" si="15"/>
        <v>0.16325968606350752</v>
      </c>
      <c r="V71" s="9">
        <v>0.14829969085288233</v>
      </c>
      <c r="W71" s="9">
        <v>0.18723058782595248</v>
      </c>
      <c r="X71" s="9">
        <v>0.12270167920673676</v>
      </c>
      <c r="Y71" s="9">
        <v>0.12484757994276471</v>
      </c>
      <c r="Z71" s="9">
        <v>0.22246678298215006</v>
      </c>
      <c r="AA71" s="9">
        <v>-3.4504354049862816E-2</v>
      </c>
      <c r="AB71" s="9">
        <v>0.18093695830672385</v>
      </c>
      <c r="AC71" s="9">
        <v>0.22764593020240956</v>
      </c>
      <c r="AD71" s="32">
        <v>0.19756531957475718</v>
      </c>
      <c r="AE71" s="32">
        <v>0.21299999999999997</v>
      </c>
      <c r="AF71" s="32">
        <v>0.23299999999999998</v>
      </c>
      <c r="AG71" s="32">
        <v>0.249</v>
      </c>
      <c r="AH71" s="32">
        <v>0.27100000000000002</v>
      </c>
      <c r="AI71" s="32">
        <v>0.27100000000000002</v>
      </c>
      <c r="AJ71" s="32">
        <v>0.25700000000000001</v>
      </c>
      <c r="AK71" s="32">
        <v>0.23599999999999999</v>
      </c>
      <c r="AL71" s="483"/>
      <c r="AM71" s="9">
        <f>AM66/AM64</f>
        <v>-0.37563218390804598</v>
      </c>
      <c r="AN71" s="9" t="e">
        <f>AN66/AN64</f>
        <v>#DIV/0!</v>
      </c>
      <c r="AO71" s="154" t="e">
        <f>(AR71-AS71)*100</f>
        <v>#DIV/0!</v>
      </c>
      <c r="AP71" s="9"/>
      <c r="AQ71" s="483"/>
      <c r="AR71" s="9">
        <f>AR66/AR64</f>
        <v>-0.19435646415202995</v>
      </c>
      <c r="AS71" s="9" t="e">
        <f>AS66/AS64</f>
        <v>#DIV/0!</v>
      </c>
      <c r="AT71" s="9"/>
      <c r="AU71" s="32"/>
      <c r="AV71" s="32"/>
      <c r="AW71" s="32"/>
      <c r="AX71" s="32"/>
      <c r="AY71" s="222"/>
      <c r="AZ71" s="222"/>
      <c r="BA71" s="222"/>
      <c r="BB71" s="483"/>
      <c r="BD71" s="481"/>
    </row>
    <row r="72" spans="1:59" ht="12.75" customHeight="1" x14ac:dyDescent="0.2">
      <c r="A72" s="482"/>
      <c r="B72" s="485"/>
      <c r="C72" s="154"/>
      <c r="D72" s="9"/>
      <c r="E72" s="9"/>
      <c r="F72" s="9"/>
      <c r="G72" s="9"/>
      <c r="H72" s="9"/>
      <c r="I72" s="9"/>
      <c r="J72" s="9"/>
      <c r="K72" s="9"/>
      <c r="L72" s="9"/>
      <c r="M72" s="9"/>
      <c r="P72" s="9"/>
      <c r="Q72" s="9"/>
      <c r="R72" s="9"/>
      <c r="S72" s="9"/>
      <c r="T72" s="9"/>
      <c r="U72" s="9"/>
      <c r="V72" s="9"/>
      <c r="W72" s="9"/>
      <c r="X72" s="9"/>
      <c r="Y72" s="9"/>
      <c r="Z72" s="9"/>
      <c r="AA72" s="9"/>
      <c r="AB72" s="9"/>
      <c r="AC72" s="9"/>
      <c r="AD72" s="32"/>
      <c r="AE72" s="32"/>
      <c r="AF72" s="32"/>
      <c r="AG72" s="32"/>
      <c r="AH72" s="32"/>
      <c r="AI72" s="32"/>
      <c r="AJ72" s="32"/>
      <c r="AK72" s="32"/>
      <c r="AL72" s="483"/>
      <c r="AM72" s="483"/>
      <c r="AN72" s="483"/>
      <c r="AO72" s="154"/>
      <c r="AP72" s="9"/>
      <c r="AQ72" s="483"/>
      <c r="AR72" s="32"/>
      <c r="AS72" s="32"/>
      <c r="AT72" s="32"/>
      <c r="AU72" s="32"/>
      <c r="AV72" s="32"/>
      <c r="AW72" s="32"/>
      <c r="AX72" s="32"/>
      <c r="AY72" s="222"/>
      <c r="AZ72" s="222"/>
      <c r="BA72" s="222"/>
      <c r="BB72" s="483"/>
      <c r="BD72" s="481"/>
    </row>
    <row r="73" spans="1:59" ht="12.75" customHeight="1" x14ac:dyDescent="0.2">
      <c r="A73" s="10" t="s">
        <v>177</v>
      </c>
      <c r="B73" s="485"/>
      <c r="C73" s="483"/>
      <c r="D73" s="483"/>
      <c r="E73" s="483"/>
      <c r="F73" s="483"/>
      <c r="G73" s="483"/>
      <c r="H73" s="483"/>
      <c r="I73" s="483"/>
      <c r="J73" s="483"/>
      <c r="K73" s="483"/>
      <c r="L73" s="483"/>
      <c r="M73" s="483"/>
      <c r="N73" s="483"/>
      <c r="O73" s="483"/>
      <c r="P73" s="483"/>
      <c r="Q73" s="483"/>
      <c r="R73" s="483"/>
      <c r="S73" s="483"/>
      <c r="T73" s="483"/>
      <c r="U73" s="483"/>
      <c r="V73" s="483"/>
      <c r="W73" s="483"/>
      <c r="X73" s="483"/>
      <c r="Y73" s="483"/>
      <c r="Z73" s="483"/>
      <c r="AA73" s="483"/>
      <c r="AB73" s="483"/>
      <c r="AC73" s="483"/>
      <c r="AD73" s="483"/>
      <c r="AE73" s="483"/>
      <c r="AF73" s="483"/>
      <c r="AG73" s="6"/>
      <c r="AH73" s="483"/>
      <c r="AI73" s="6"/>
      <c r="AJ73" s="6"/>
      <c r="AK73" s="483"/>
      <c r="AL73" s="483"/>
      <c r="AM73" s="483"/>
      <c r="AN73" s="483"/>
      <c r="AO73" s="483"/>
      <c r="AP73" s="483"/>
      <c r="AQ73" s="483"/>
      <c r="AR73" s="483"/>
      <c r="AS73" s="483"/>
      <c r="AT73" s="483"/>
      <c r="AU73" s="483"/>
      <c r="AV73" s="483"/>
      <c r="AW73" s="483"/>
      <c r="AX73" s="483"/>
      <c r="AY73" s="507"/>
      <c r="AZ73" s="222"/>
      <c r="BA73" s="222"/>
      <c r="BB73" s="483"/>
      <c r="BD73" s="481"/>
    </row>
    <row r="74" spans="1:59" ht="12.75" customHeight="1" x14ac:dyDescent="0.2">
      <c r="C74" s="2431"/>
      <c r="D74" s="2432"/>
      <c r="E74" s="184"/>
      <c r="F74" s="273"/>
      <c r="G74" s="273"/>
      <c r="H74" s="273"/>
      <c r="I74" s="17"/>
      <c r="J74" s="273"/>
      <c r="K74" s="273"/>
      <c r="L74" s="273"/>
      <c r="M74" s="17"/>
      <c r="N74" s="15"/>
      <c r="O74" s="16"/>
      <c r="P74" s="273"/>
      <c r="Q74" s="17"/>
      <c r="R74" s="15"/>
      <c r="S74" s="16"/>
      <c r="T74" s="273"/>
      <c r="U74" s="17"/>
      <c r="W74" s="16"/>
      <c r="X74" s="2"/>
      <c r="Y74" s="17"/>
      <c r="Z74" s="16"/>
      <c r="AB74" s="273"/>
      <c r="AC74" s="17"/>
      <c r="AD74" s="16"/>
      <c r="AE74" s="16"/>
      <c r="AF74" s="16"/>
      <c r="AG74" s="16"/>
      <c r="AH74" s="20"/>
      <c r="AI74" s="17"/>
      <c r="AJ74" s="17"/>
      <c r="AK74" s="17"/>
      <c r="AL74" s="22"/>
      <c r="AM74" s="445" t="s">
        <v>281</v>
      </c>
      <c r="AN74" s="433"/>
      <c r="AO74" s="433" t="s">
        <v>266</v>
      </c>
      <c r="AP74" s="434"/>
      <c r="AQ74" s="483"/>
      <c r="AR74" s="46"/>
      <c r="AS74" s="46"/>
      <c r="AT74" s="46"/>
      <c r="AU74" s="46"/>
      <c r="AV74" s="46"/>
      <c r="AW74" s="126"/>
      <c r="AX74" s="124"/>
      <c r="AY74" s="46"/>
      <c r="AZ74" s="222"/>
      <c r="BA74" s="222"/>
      <c r="BB74" s="105"/>
      <c r="BD74" s="481"/>
    </row>
    <row r="75" spans="1:59" ht="12.75" customHeight="1" x14ac:dyDescent="0.2">
      <c r="C75" s="2433"/>
      <c r="D75" s="2434"/>
      <c r="E75" s="355"/>
      <c r="F75" s="19" t="s">
        <v>296</v>
      </c>
      <c r="G75" s="19" t="s">
        <v>295</v>
      </c>
      <c r="H75" s="19" t="s">
        <v>294</v>
      </c>
      <c r="I75" s="12" t="s">
        <v>292</v>
      </c>
      <c r="J75" s="19" t="s">
        <v>252</v>
      </c>
      <c r="K75" s="19" t="s">
        <v>253</v>
      </c>
      <c r="L75" s="19" t="s">
        <v>254</v>
      </c>
      <c r="M75" s="12" t="s">
        <v>255</v>
      </c>
      <c r="N75" s="18" t="s">
        <v>202</v>
      </c>
      <c r="O75" s="19" t="s">
        <v>203</v>
      </c>
      <c r="P75" s="19" t="s">
        <v>204</v>
      </c>
      <c r="Q75" s="12" t="s">
        <v>201</v>
      </c>
      <c r="R75" s="18" t="s">
        <v>173</v>
      </c>
      <c r="S75" s="19" t="s">
        <v>174</v>
      </c>
      <c r="T75" s="19" t="s">
        <v>175</v>
      </c>
      <c r="U75" s="12" t="s">
        <v>176</v>
      </c>
      <c r="V75" s="19" t="s">
        <v>109</v>
      </c>
      <c r="W75" s="19" t="s">
        <v>108</v>
      </c>
      <c r="X75" s="19" t="s">
        <v>107</v>
      </c>
      <c r="Y75" s="12" t="s">
        <v>106</v>
      </c>
      <c r="Z75" s="19" t="s">
        <v>78</v>
      </c>
      <c r="AA75" s="19" t="s">
        <v>79</v>
      </c>
      <c r="AB75" s="19" t="s">
        <v>80</v>
      </c>
      <c r="AC75" s="12" t="s">
        <v>26</v>
      </c>
      <c r="AD75" s="19" t="s">
        <v>27</v>
      </c>
      <c r="AE75" s="19" t="s">
        <v>28</v>
      </c>
      <c r="AF75" s="19" t="s">
        <v>29</v>
      </c>
      <c r="AG75" s="19" t="s">
        <v>30</v>
      </c>
      <c r="AH75" s="21" t="s">
        <v>31</v>
      </c>
      <c r="AI75" s="12" t="s">
        <v>32</v>
      </c>
      <c r="AJ75" s="12" t="s">
        <v>33</v>
      </c>
      <c r="AK75" s="12" t="s">
        <v>34</v>
      </c>
      <c r="AL75" s="184"/>
      <c r="AM75" s="19" t="s">
        <v>253</v>
      </c>
      <c r="AN75" s="19" t="s">
        <v>203</v>
      </c>
      <c r="AO75" s="2435" t="s">
        <v>35</v>
      </c>
      <c r="AP75" s="2434"/>
      <c r="AQ75" s="483"/>
      <c r="AR75" s="18" t="s">
        <v>257</v>
      </c>
      <c r="AS75" s="18" t="s">
        <v>206</v>
      </c>
      <c r="AT75" s="18"/>
      <c r="AU75" s="18"/>
      <c r="AV75" s="18"/>
      <c r="AW75" s="18"/>
      <c r="AX75" s="21"/>
      <c r="AY75" s="21"/>
      <c r="AZ75" s="222"/>
      <c r="BA75" s="222"/>
      <c r="BB75" s="105"/>
      <c r="BD75" s="481"/>
    </row>
    <row r="76" spans="1:59" ht="12.75" customHeight="1" x14ac:dyDescent="0.2">
      <c r="A76" s="482"/>
      <c r="B76" s="6" t="s">
        <v>282</v>
      </c>
      <c r="C76" s="45"/>
      <c r="D76" s="39"/>
      <c r="E76" s="47"/>
      <c r="F76" s="264"/>
      <c r="G76" s="264"/>
      <c r="H76" s="264"/>
      <c r="I76" s="412">
        <v>628</v>
      </c>
      <c r="J76" s="264">
        <v>802</v>
      </c>
      <c r="K76" s="264">
        <v>73</v>
      </c>
      <c r="L76" s="264">
        <v>929</v>
      </c>
      <c r="M76" s="412">
        <v>776</v>
      </c>
      <c r="N76" s="264"/>
      <c r="O76" s="264"/>
      <c r="P76" s="264"/>
      <c r="Q76" s="412"/>
      <c r="R76" s="264">
        <v>46851</v>
      </c>
      <c r="S76" s="264">
        <v>45775</v>
      </c>
      <c r="T76" s="264">
        <v>32880</v>
      </c>
      <c r="U76" s="412">
        <v>34953</v>
      </c>
      <c r="V76" s="264">
        <v>38197</v>
      </c>
      <c r="W76" s="264">
        <v>34040</v>
      </c>
      <c r="X76" s="264">
        <v>30370</v>
      </c>
      <c r="Y76" s="412">
        <v>29756</v>
      </c>
      <c r="Z76" s="157">
        <v>24593</v>
      </c>
      <c r="AA76" s="282">
        <v>27916</v>
      </c>
      <c r="AB76" s="361">
        <v>32886</v>
      </c>
      <c r="AC76" s="412">
        <v>42504</v>
      </c>
      <c r="AD76" s="495">
        <v>29584</v>
      </c>
      <c r="AE76" s="483"/>
      <c r="AF76" s="483"/>
      <c r="AG76" s="6"/>
      <c r="AH76" s="483"/>
      <c r="AI76" s="6"/>
      <c r="AJ76" s="6"/>
      <c r="AK76" s="483"/>
      <c r="AL76" s="47"/>
      <c r="AM76" s="494">
        <f t="shared" ref="AM76:AM81" si="16">SUM(K76:M76)</f>
        <v>1778</v>
      </c>
      <c r="AN76" s="494">
        <f t="shared" ref="AN76:AN81" si="17">SUM(O76:Q76)</f>
        <v>0</v>
      </c>
      <c r="AO76" s="280">
        <f t="shared" ref="AO76:AO82" si="18">AR76-AS76</f>
        <v>2580</v>
      </c>
      <c r="AP76" s="39" t="e">
        <f t="shared" ref="AP76:AP82" si="19">IF(OR((AO76/AS76)&gt;3,(AO76/AS76)&lt;-3),"n.m.",(AO76/AS76))</f>
        <v>#DIV/0!</v>
      </c>
      <c r="AQ76" s="483"/>
      <c r="AR76" s="487">
        <f t="shared" ref="AR76:AR81" si="20">SUM(J76:M76)</f>
        <v>2580</v>
      </c>
      <c r="AS76" s="487">
        <f t="shared" ref="AS76:AS81" si="21">SUM(N76:Q76)</f>
        <v>0</v>
      </c>
      <c r="AT76" s="487"/>
      <c r="AU76" s="487"/>
      <c r="AV76" s="487"/>
      <c r="AW76" s="151"/>
      <c r="AX76" s="153"/>
      <c r="AY76" s="224"/>
      <c r="AZ76" s="222"/>
      <c r="BA76" s="222"/>
      <c r="BB76" s="105"/>
      <c r="BD76" s="481"/>
    </row>
    <row r="77" spans="1:59" ht="12.75" customHeight="1" x14ac:dyDescent="0.2">
      <c r="A77" s="482"/>
      <c r="B77" s="6" t="s">
        <v>57</v>
      </c>
      <c r="C77" s="45"/>
      <c r="D77" s="39"/>
      <c r="E77" s="47"/>
      <c r="F77" s="264"/>
      <c r="G77" s="264"/>
      <c r="H77" s="264"/>
      <c r="I77" s="412">
        <v>-50</v>
      </c>
      <c r="J77" s="264">
        <v>330</v>
      </c>
      <c r="K77" s="264">
        <v>-22</v>
      </c>
      <c r="L77" s="264">
        <v>136</v>
      </c>
      <c r="M77" s="412">
        <v>-23</v>
      </c>
      <c r="N77" s="264"/>
      <c r="O77" s="264"/>
      <c r="P77" s="264"/>
      <c r="Q77" s="412"/>
      <c r="R77" s="264">
        <v>19176</v>
      </c>
      <c r="S77" s="264">
        <v>18914</v>
      </c>
      <c r="T77" s="264">
        <v>8124</v>
      </c>
      <c r="U77" s="412">
        <v>9445</v>
      </c>
      <c r="V77" s="264">
        <v>10808</v>
      </c>
      <c r="W77" s="264">
        <v>10384</v>
      </c>
      <c r="X77" s="264">
        <v>6254</v>
      </c>
      <c r="Y77" s="412">
        <v>5954</v>
      </c>
      <c r="Z77" s="157">
        <v>5426</v>
      </c>
      <c r="AA77" s="264">
        <v>1798</v>
      </c>
      <c r="AB77" s="412">
        <v>5110</v>
      </c>
      <c r="AC77" s="412">
        <v>8533</v>
      </c>
      <c r="AD77" s="495">
        <v>68274</v>
      </c>
      <c r="AE77" s="483"/>
      <c r="AF77" s="483"/>
      <c r="AG77" s="6"/>
      <c r="AH77" s="483"/>
      <c r="AI77" s="6"/>
      <c r="AJ77" s="6"/>
      <c r="AK77" s="483"/>
      <c r="AL77" s="47"/>
      <c r="AM77" s="494">
        <f t="shared" si="16"/>
        <v>91</v>
      </c>
      <c r="AN77" s="494">
        <f t="shared" si="17"/>
        <v>0</v>
      </c>
      <c r="AO77" s="359">
        <f t="shared" si="18"/>
        <v>421</v>
      </c>
      <c r="AP77" s="39" t="e">
        <f t="shared" si="19"/>
        <v>#DIV/0!</v>
      </c>
      <c r="AQ77" s="483"/>
      <c r="AR77" s="487">
        <f t="shared" si="20"/>
        <v>421</v>
      </c>
      <c r="AS77" s="487">
        <f t="shared" si="21"/>
        <v>0</v>
      </c>
      <c r="AT77" s="487"/>
      <c r="AU77" s="487"/>
      <c r="AV77" s="487"/>
      <c r="AW77" s="114"/>
      <c r="AX77" s="486"/>
      <c r="AY77" s="37"/>
      <c r="AZ77" s="222"/>
      <c r="BA77" s="222"/>
      <c r="BB77" s="105"/>
      <c r="BD77" s="481"/>
    </row>
    <row r="78" spans="1:59" ht="12.75" customHeight="1" x14ac:dyDescent="0.2">
      <c r="A78" s="482"/>
      <c r="B78" s="6" t="s">
        <v>188</v>
      </c>
      <c r="C78" s="45"/>
      <c r="D78" s="39"/>
      <c r="E78" s="47"/>
      <c r="F78" s="264"/>
      <c r="G78" s="264"/>
      <c r="H78" s="264"/>
      <c r="I78" s="109">
        <v>0</v>
      </c>
      <c r="J78" s="264">
        <v>0</v>
      </c>
      <c r="K78" s="264">
        <v>0</v>
      </c>
      <c r="L78" s="264">
        <v>0</v>
      </c>
      <c r="M78" s="109">
        <v>0</v>
      </c>
      <c r="N78" s="488"/>
      <c r="O78" s="488"/>
      <c r="P78" s="264"/>
      <c r="Q78" s="109"/>
      <c r="R78" s="488">
        <v>0</v>
      </c>
      <c r="S78" s="488">
        <v>50</v>
      </c>
      <c r="T78" s="264">
        <v>250</v>
      </c>
      <c r="U78" s="109">
        <v>70</v>
      </c>
      <c r="V78" s="488">
        <v>0</v>
      </c>
      <c r="W78" s="488">
        <v>0</v>
      </c>
      <c r="X78" s="488">
        <v>0</v>
      </c>
      <c r="Y78" s="109">
        <v>0</v>
      </c>
      <c r="Z78" s="488">
        <v>0</v>
      </c>
      <c r="AA78" s="488">
        <v>0</v>
      </c>
      <c r="AB78" s="109">
        <v>0</v>
      </c>
      <c r="AC78" s="109">
        <v>0</v>
      </c>
      <c r="AD78" s="488">
        <v>0</v>
      </c>
      <c r="AE78" s="488"/>
      <c r="AF78" s="488"/>
      <c r="AG78" s="488"/>
      <c r="AH78" s="488"/>
      <c r="AI78" s="488"/>
      <c r="AJ78" s="488"/>
      <c r="AK78" s="488"/>
      <c r="AL78" s="409"/>
      <c r="AM78" s="494">
        <f t="shared" si="16"/>
        <v>0</v>
      </c>
      <c r="AN78" s="494">
        <f t="shared" si="17"/>
        <v>0</v>
      </c>
      <c r="AO78" s="359">
        <f t="shared" si="18"/>
        <v>0</v>
      </c>
      <c r="AP78" s="324" t="e">
        <f t="shared" si="19"/>
        <v>#DIV/0!</v>
      </c>
      <c r="AQ78" s="488"/>
      <c r="AR78" s="487">
        <f t="shared" si="20"/>
        <v>0</v>
      </c>
      <c r="AS78" s="409">
        <f t="shared" si="21"/>
        <v>0</v>
      </c>
      <c r="AT78" s="409"/>
      <c r="AU78" s="409"/>
      <c r="AV78" s="488"/>
      <c r="AW78" s="409"/>
      <c r="AX78" s="409"/>
      <c r="AY78" s="409"/>
      <c r="AZ78" s="222"/>
      <c r="BA78" s="222"/>
      <c r="BB78" s="105"/>
      <c r="BD78" s="481"/>
    </row>
    <row r="79" spans="1:59" ht="12.75" customHeight="1" x14ac:dyDescent="0.2">
      <c r="A79" s="482"/>
      <c r="B79" s="6" t="s">
        <v>58</v>
      </c>
      <c r="C79" s="45"/>
      <c r="D79" s="324"/>
      <c r="E79" s="47"/>
      <c r="F79" s="264"/>
      <c r="G79" s="264"/>
      <c r="H79" s="264"/>
      <c r="I79" s="412">
        <v>0</v>
      </c>
      <c r="J79" s="264">
        <v>0</v>
      </c>
      <c r="K79" s="264">
        <v>0</v>
      </c>
      <c r="L79" s="264">
        <v>0</v>
      </c>
      <c r="M79" s="412">
        <v>0</v>
      </c>
      <c r="N79" s="264"/>
      <c r="O79" s="264"/>
      <c r="P79" s="264"/>
      <c r="Q79" s="412"/>
      <c r="R79" s="264">
        <v>714</v>
      </c>
      <c r="S79" s="264">
        <v>526</v>
      </c>
      <c r="T79" s="264">
        <v>321</v>
      </c>
      <c r="U79" s="412">
        <v>104</v>
      </c>
      <c r="V79" s="264">
        <v>408</v>
      </c>
      <c r="W79" s="264">
        <v>4280</v>
      </c>
      <c r="X79" s="264">
        <v>850</v>
      </c>
      <c r="Y79" s="412">
        <v>1696</v>
      </c>
      <c r="Z79" s="157">
        <v>198</v>
      </c>
      <c r="AA79" s="264">
        <v>-649</v>
      </c>
      <c r="AB79" s="412">
        <v>-226</v>
      </c>
      <c r="AC79" s="412">
        <v>548</v>
      </c>
      <c r="AD79" s="495">
        <v>5363</v>
      </c>
      <c r="AE79" s="483"/>
      <c r="AF79" s="483"/>
      <c r="AG79" s="6"/>
      <c r="AH79" s="483"/>
      <c r="AI79" s="6"/>
      <c r="AJ79" s="6"/>
      <c r="AK79" s="483"/>
      <c r="AL79" s="47"/>
      <c r="AM79" s="494">
        <f t="shared" si="16"/>
        <v>0</v>
      </c>
      <c r="AN79" s="494">
        <f t="shared" si="17"/>
        <v>0</v>
      </c>
      <c r="AO79" s="359">
        <f t="shared" si="18"/>
        <v>0</v>
      </c>
      <c r="AP79" s="324" t="e">
        <f t="shared" si="19"/>
        <v>#DIV/0!</v>
      </c>
      <c r="AQ79" s="483"/>
      <c r="AR79" s="487">
        <f t="shared" si="20"/>
        <v>0</v>
      </c>
      <c r="AS79" s="487">
        <f t="shared" si="21"/>
        <v>0</v>
      </c>
      <c r="AT79" s="487"/>
      <c r="AU79" s="487"/>
      <c r="AV79" s="487"/>
      <c r="AW79" s="114"/>
      <c r="AX79" s="486"/>
      <c r="AY79" s="37"/>
      <c r="AZ79" s="222"/>
      <c r="BA79" s="222"/>
      <c r="BB79" s="105"/>
      <c r="BD79" s="481"/>
    </row>
    <row r="80" spans="1:59" ht="12.75" customHeight="1" x14ac:dyDescent="0.2">
      <c r="A80" s="482"/>
      <c r="B80" s="6" t="s">
        <v>59</v>
      </c>
      <c r="C80" s="45"/>
      <c r="D80" s="39"/>
      <c r="E80" s="47"/>
      <c r="F80" s="264"/>
      <c r="G80" s="264"/>
      <c r="H80" s="264"/>
      <c r="I80" s="412">
        <v>177</v>
      </c>
      <c r="J80" s="264">
        <v>166</v>
      </c>
      <c r="K80" s="264">
        <v>127</v>
      </c>
      <c r="L80" s="264">
        <v>76</v>
      </c>
      <c r="M80" s="412">
        <v>86</v>
      </c>
      <c r="N80" s="264"/>
      <c r="O80" s="264"/>
      <c r="P80" s="264"/>
      <c r="Q80" s="412"/>
      <c r="R80" s="264">
        <v>3221</v>
      </c>
      <c r="S80" s="264">
        <v>2965</v>
      </c>
      <c r="T80" s="264">
        <v>2556</v>
      </c>
      <c r="U80" s="412">
        <v>2302</v>
      </c>
      <c r="V80" s="264">
        <v>2191</v>
      </c>
      <c r="W80" s="264">
        <v>2171</v>
      </c>
      <c r="X80" s="264">
        <v>2224</v>
      </c>
      <c r="Y80" s="412">
        <v>2325</v>
      </c>
      <c r="Z80" s="157">
        <v>6358</v>
      </c>
      <c r="AA80" s="264">
        <v>4010</v>
      </c>
      <c r="AB80" s="412">
        <v>5644</v>
      </c>
      <c r="AC80" s="412">
        <v>5891</v>
      </c>
      <c r="AD80" s="495">
        <v>1512</v>
      </c>
      <c r="AE80" s="483"/>
      <c r="AF80" s="483"/>
      <c r="AG80" s="6"/>
      <c r="AH80" s="483"/>
      <c r="AI80" s="6"/>
      <c r="AJ80" s="6"/>
      <c r="AK80" s="483"/>
      <c r="AL80" s="47"/>
      <c r="AM80" s="494">
        <f t="shared" si="16"/>
        <v>289</v>
      </c>
      <c r="AN80" s="494">
        <f t="shared" si="17"/>
        <v>0</v>
      </c>
      <c r="AO80" s="359">
        <f t="shared" si="18"/>
        <v>455</v>
      </c>
      <c r="AP80" s="39" t="e">
        <f t="shared" si="19"/>
        <v>#DIV/0!</v>
      </c>
      <c r="AQ80" s="483"/>
      <c r="AR80" s="487">
        <f>SUM(J80:M80)</f>
        <v>455</v>
      </c>
      <c r="AS80" s="487">
        <f t="shared" si="21"/>
        <v>0</v>
      </c>
      <c r="AT80" s="487"/>
      <c r="AU80" s="487"/>
      <c r="AV80" s="487"/>
      <c r="AW80" s="114"/>
      <c r="AX80" s="486"/>
      <c r="AY80" s="37"/>
      <c r="AZ80" s="222"/>
      <c r="BA80" s="222"/>
      <c r="BB80" s="105"/>
      <c r="BD80" s="481"/>
    </row>
    <row r="81" spans="1:56" ht="12.75" customHeight="1" x14ac:dyDescent="0.2">
      <c r="A81" s="123"/>
      <c r="B81" s="6" t="s">
        <v>60</v>
      </c>
      <c r="C81" s="45"/>
      <c r="D81" s="39"/>
      <c r="E81" s="357"/>
      <c r="F81" s="270"/>
      <c r="G81" s="270"/>
      <c r="H81" s="270"/>
      <c r="I81" s="254">
        <v>0</v>
      </c>
      <c r="J81" s="270">
        <v>0</v>
      </c>
      <c r="K81" s="270">
        <v>0</v>
      </c>
      <c r="L81" s="270">
        <v>12</v>
      </c>
      <c r="M81" s="254">
        <v>5</v>
      </c>
      <c r="N81" s="264"/>
      <c r="O81" s="264"/>
      <c r="P81" s="270"/>
      <c r="Q81" s="254"/>
      <c r="R81" s="264">
        <v>2742</v>
      </c>
      <c r="S81" s="264">
        <v>369</v>
      </c>
      <c r="T81" s="270">
        <v>408</v>
      </c>
      <c r="U81" s="254">
        <v>333</v>
      </c>
      <c r="V81" s="264">
        <v>3386</v>
      </c>
      <c r="W81" s="264">
        <v>858</v>
      </c>
      <c r="X81" s="270">
        <v>440</v>
      </c>
      <c r="Y81" s="254">
        <v>454</v>
      </c>
      <c r="Z81" s="157">
        <v>680</v>
      </c>
      <c r="AA81" s="270">
        <v>457</v>
      </c>
      <c r="AB81" s="254">
        <v>430</v>
      </c>
      <c r="AC81" s="254">
        <v>377</v>
      </c>
      <c r="AD81" s="253">
        <v>60</v>
      </c>
      <c r="AE81" s="13"/>
      <c r="AF81" s="13"/>
      <c r="AG81" s="13"/>
      <c r="AH81" s="13"/>
      <c r="AI81" s="13"/>
      <c r="AJ81" s="13"/>
      <c r="AK81" s="13"/>
      <c r="AL81" s="47"/>
      <c r="AM81" s="494">
        <f t="shared" si="16"/>
        <v>17</v>
      </c>
      <c r="AN81" s="494">
        <f t="shared" si="17"/>
        <v>0</v>
      </c>
      <c r="AO81" s="360">
        <f t="shared" si="18"/>
        <v>17</v>
      </c>
      <c r="AP81" s="98" t="e">
        <f t="shared" si="19"/>
        <v>#DIV/0!</v>
      </c>
      <c r="AQ81" s="482"/>
      <c r="AR81" s="487">
        <f t="shared" si="20"/>
        <v>17</v>
      </c>
      <c r="AS81" s="128">
        <f t="shared" si="21"/>
        <v>0</v>
      </c>
      <c r="AT81" s="128"/>
      <c r="AU81" s="128"/>
      <c r="AV81" s="128"/>
      <c r="AW81" s="138"/>
      <c r="AX81" s="133"/>
      <c r="AY81" s="102"/>
      <c r="AZ81" s="222"/>
      <c r="BA81" s="222"/>
      <c r="BB81" s="105"/>
      <c r="BD81" s="481"/>
    </row>
    <row r="82" spans="1:56" ht="12.75" customHeight="1" x14ac:dyDescent="0.2">
      <c r="A82" s="123"/>
      <c r="B82" s="6"/>
      <c r="C82" s="338"/>
      <c r="D82" s="339"/>
      <c r="E82" s="22"/>
      <c r="F82" s="238">
        <f t="shared" ref="F82:Q82" si="22">SUM(F76:F81)</f>
        <v>0</v>
      </c>
      <c r="G82" s="238">
        <f t="shared" si="22"/>
        <v>0</v>
      </c>
      <c r="H82" s="238">
        <f t="shared" si="22"/>
        <v>0</v>
      </c>
      <c r="I82" s="341">
        <f t="shared" si="22"/>
        <v>755</v>
      </c>
      <c r="J82" s="238">
        <f t="shared" si="22"/>
        <v>1298</v>
      </c>
      <c r="K82" s="238">
        <f t="shared" si="22"/>
        <v>178</v>
      </c>
      <c r="L82" s="238">
        <f t="shared" si="22"/>
        <v>1153</v>
      </c>
      <c r="M82" s="341">
        <f t="shared" si="22"/>
        <v>844</v>
      </c>
      <c r="N82" s="238">
        <f t="shared" si="22"/>
        <v>0</v>
      </c>
      <c r="O82" s="238">
        <f t="shared" si="22"/>
        <v>0</v>
      </c>
      <c r="P82" s="238">
        <f t="shared" si="22"/>
        <v>0</v>
      </c>
      <c r="Q82" s="341">
        <f t="shared" si="22"/>
        <v>0</v>
      </c>
      <c r="R82" s="238">
        <v>72704</v>
      </c>
      <c r="S82" s="238">
        <v>68599</v>
      </c>
      <c r="T82" s="238">
        <v>44539</v>
      </c>
      <c r="U82" s="341">
        <v>47207</v>
      </c>
      <c r="V82" s="238">
        <v>54990</v>
      </c>
      <c r="W82" s="238">
        <v>51733</v>
      </c>
      <c r="X82" s="238">
        <v>40138</v>
      </c>
      <c r="Y82" s="341">
        <v>40185</v>
      </c>
      <c r="Z82" s="237">
        <v>37255</v>
      </c>
      <c r="AA82" s="238">
        <v>33532</v>
      </c>
      <c r="AB82" s="341">
        <v>43844</v>
      </c>
      <c r="AC82" s="341">
        <v>57853</v>
      </c>
      <c r="AD82" s="341">
        <v>104793</v>
      </c>
      <c r="AE82" s="2"/>
      <c r="AF82" s="2"/>
      <c r="AG82" s="2"/>
      <c r="AH82" s="2"/>
      <c r="AI82" s="2"/>
      <c r="AJ82" s="2"/>
      <c r="AK82" s="2"/>
      <c r="AL82" s="22"/>
      <c r="AM82" s="238">
        <f>SUM(AM76:AM81)</f>
        <v>2175</v>
      </c>
      <c r="AN82" s="238">
        <f>SUM(AN76:AN81)</f>
        <v>0</v>
      </c>
      <c r="AO82" s="365">
        <f t="shared" si="18"/>
        <v>3473</v>
      </c>
      <c r="AP82" s="339" t="e">
        <f t="shared" si="19"/>
        <v>#DIV/0!</v>
      </c>
      <c r="AR82" s="237">
        <f>SUM(AR76:AR81)</f>
        <v>3473</v>
      </c>
      <c r="AS82" s="237">
        <f>SUM(AS76:AS81)</f>
        <v>0</v>
      </c>
      <c r="AT82" s="237"/>
      <c r="AU82" s="237"/>
      <c r="AV82" s="340"/>
      <c r="AW82" s="238"/>
      <c r="AX82" s="340"/>
      <c r="AY82" s="113"/>
      <c r="AZ82" s="222"/>
      <c r="BA82" s="222"/>
      <c r="BB82" s="105"/>
      <c r="BD82" s="481"/>
    </row>
    <row r="83" spans="1:56" ht="12.75" customHeight="1" x14ac:dyDescent="0.2">
      <c r="A83" s="6" t="s">
        <v>280</v>
      </c>
      <c r="B83" s="11"/>
      <c r="C83" s="11"/>
      <c r="D83" s="11"/>
      <c r="E83" s="11"/>
      <c r="F83" s="11"/>
      <c r="G83" s="11"/>
      <c r="H83" s="11"/>
      <c r="I83" s="13"/>
      <c r="J83" s="11"/>
      <c r="K83" s="11"/>
      <c r="L83" s="11"/>
      <c r="M83" s="13"/>
      <c r="N83" s="11"/>
      <c r="O83" s="11"/>
      <c r="P83" s="11"/>
      <c r="Q83" s="13"/>
      <c r="R83" s="11"/>
      <c r="S83" s="11"/>
      <c r="T83" s="11"/>
      <c r="U83" s="13"/>
      <c r="V83" s="11"/>
      <c r="W83" s="11"/>
      <c r="X83" s="11"/>
      <c r="Y83" s="13"/>
      <c r="Z83" s="11"/>
      <c r="AA83" s="11"/>
      <c r="AB83" s="11"/>
      <c r="AC83" s="13"/>
      <c r="AD83" s="13"/>
      <c r="AE83" s="13"/>
      <c r="AF83" s="13"/>
      <c r="AG83" s="13"/>
      <c r="AH83" s="13"/>
      <c r="AI83" s="13"/>
      <c r="AJ83" s="13"/>
      <c r="AK83" s="13"/>
      <c r="AL83" s="481"/>
      <c r="AM83" s="481"/>
      <c r="AN83" s="481"/>
      <c r="AO83" s="482"/>
      <c r="AP83" s="482"/>
      <c r="AW83" s="2"/>
      <c r="AX83" s="2"/>
      <c r="BA83" s="481"/>
      <c r="BB83" s="481"/>
      <c r="BD83" s="481"/>
    </row>
    <row r="84" spans="1:56" x14ac:dyDescent="0.2">
      <c r="A84" s="481"/>
      <c r="B84" s="481"/>
      <c r="C84" s="481"/>
      <c r="D84" s="481"/>
      <c r="F84" s="507"/>
      <c r="G84" s="507"/>
      <c r="H84" s="507"/>
      <c r="I84" s="507"/>
      <c r="J84" s="507"/>
      <c r="K84" s="507"/>
      <c r="L84" s="507"/>
      <c r="M84" s="507"/>
      <c r="N84" s="507"/>
      <c r="O84" s="507"/>
      <c r="P84" s="507"/>
      <c r="Q84" s="507"/>
      <c r="R84" s="507"/>
      <c r="S84" s="507"/>
      <c r="T84" s="507"/>
      <c r="U84" s="507"/>
      <c r="V84" s="507"/>
      <c r="W84" s="507"/>
      <c r="X84" s="507"/>
      <c r="Y84" s="507"/>
      <c r="Z84" s="507"/>
      <c r="AA84" s="507"/>
      <c r="AB84" s="507"/>
      <c r="AC84" s="507"/>
      <c r="AD84" s="507"/>
      <c r="AE84" s="507"/>
      <c r="AF84" s="507"/>
      <c r="AG84" s="507"/>
      <c r="AH84" s="507"/>
      <c r="AI84" s="507"/>
      <c r="AJ84" s="507"/>
      <c r="AK84" s="507"/>
      <c r="AL84" s="507"/>
      <c r="AM84" s="507"/>
      <c r="AN84" s="507"/>
      <c r="AO84" s="507"/>
      <c r="AP84" s="507"/>
      <c r="AQ84" s="507"/>
      <c r="AR84" s="507"/>
      <c r="AS84" s="507"/>
      <c r="AT84" s="507"/>
      <c r="AU84" s="507"/>
      <c r="AV84" s="507"/>
      <c r="AW84" s="507"/>
      <c r="AX84" s="507"/>
      <c r="AY84" s="507"/>
      <c r="AZ84" s="482"/>
      <c r="BA84" s="481"/>
      <c r="BB84" s="481"/>
      <c r="BD84" s="481"/>
    </row>
    <row r="85" spans="1:56" x14ac:dyDescent="0.2">
      <c r="I85" s="507"/>
      <c r="M85" s="507"/>
      <c r="Q85" s="507"/>
      <c r="U85" s="507"/>
      <c r="Y85" s="507"/>
      <c r="AC85" s="507"/>
      <c r="AK85" s="507"/>
      <c r="AL85" s="481"/>
      <c r="AM85" s="481"/>
      <c r="AN85" s="481"/>
      <c r="AW85" s="507"/>
      <c r="AX85" s="507"/>
      <c r="AY85" s="63"/>
      <c r="AZ85" s="63"/>
      <c r="BA85" s="481"/>
      <c r="BB85" s="481"/>
      <c r="BD85" s="481"/>
    </row>
    <row r="86" spans="1:56" x14ac:dyDescent="0.2">
      <c r="I86" s="507"/>
      <c r="M86" s="507"/>
      <c r="Q86" s="507"/>
      <c r="U86" s="507"/>
      <c r="Y86" s="507"/>
      <c r="AC86" s="507"/>
      <c r="AK86" s="507"/>
      <c r="AL86" s="481"/>
      <c r="AM86" s="481"/>
      <c r="AN86" s="481"/>
      <c r="AW86" s="507"/>
      <c r="AX86" s="507"/>
      <c r="AY86" s="63"/>
      <c r="AZ86" s="63"/>
      <c r="BA86" s="481"/>
      <c r="BB86" s="481"/>
      <c r="BD86" s="481"/>
    </row>
    <row r="87" spans="1:56" x14ac:dyDescent="0.2">
      <c r="I87" s="507"/>
      <c r="M87" s="507"/>
      <c r="Q87" s="507"/>
      <c r="U87" s="507"/>
      <c r="Y87" s="507"/>
      <c r="AC87" s="507"/>
      <c r="AK87" s="507"/>
      <c r="AL87" s="481"/>
      <c r="AM87" s="481"/>
      <c r="AN87" s="481"/>
      <c r="AW87" s="507"/>
      <c r="AX87" s="507"/>
      <c r="AZ87" s="63"/>
    </row>
    <row r="88" spans="1:56" x14ac:dyDescent="0.2">
      <c r="I88" s="507"/>
      <c r="M88" s="507"/>
      <c r="Q88" s="507"/>
      <c r="U88" s="507"/>
      <c r="Y88" s="507"/>
      <c r="AC88" s="507"/>
      <c r="AK88" s="507"/>
      <c r="AL88" s="481"/>
      <c r="AM88" s="481"/>
      <c r="AN88" s="481"/>
      <c r="AW88" s="2"/>
      <c r="AX88" s="2"/>
      <c r="AZ88" s="63"/>
    </row>
    <row r="89" spans="1:56" x14ac:dyDescent="0.2">
      <c r="I89" s="2"/>
      <c r="M89" s="2"/>
      <c r="Q89" s="2"/>
      <c r="U89" s="2"/>
      <c r="Y89" s="2"/>
      <c r="AC89" s="2"/>
      <c r="AK89" s="93"/>
      <c r="AL89" s="481"/>
      <c r="AM89" s="481"/>
      <c r="AN89" s="481"/>
      <c r="AW89" s="2"/>
      <c r="AX89" s="2"/>
      <c r="AZ89" s="63"/>
    </row>
    <row r="90" spans="1:56" x14ac:dyDescent="0.2">
      <c r="I90" s="2"/>
      <c r="M90" s="2"/>
      <c r="Q90" s="2"/>
      <c r="U90" s="2"/>
      <c r="Y90" s="2"/>
      <c r="AC90" s="2"/>
      <c r="AK90" s="94"/>
      <c r="AL90" s="481"/>
      <c r="AM90" s="481"/>
      <c r="AN90" s="481"/>
      <c r="AW90" s="2"/>
      <c r="AX90" s="2"/>
    </row>
    <row r="91" spans="1:56" x14ac:dyDescent="0.2">
      <c r="I91" s="2"/>
      <c r="M91" s="2"/>
      <c r="Q91" s="2"/>
      <c r="U91" s="2"/>
      <c r="Y91" s="2"/>
      <c r="AC91" s="2"/>
      <c r="AK91" s="94"/>
      <c r="AL91" s="481"/>
      <c r="AM91" s="481"/>
      <c r="AN91" s="481"/>
      <c r="AW91" s="29"/>
      <c r="AX91" s="29"/>
    </row>
    <row r="92" spans="1:56" x14ac:dyDescent="0.2">
      <c r="E92" s="480"/>
      <c r="F92" s="480"/>
      <c r="G92" s="480"/>
      <c r="H92" s="480"/>
      <c r="J92" s="480"/>
      <c r="K92" s="480"/>
      <c r="L92" s="480"/>
      <c r="AC92" s="9"/>
      <c r="AD92" s="32"/>
      <c r="AE92" s="32"/>
      <c r="AF92" s="32"/>
      <c r="AG92" s="32"/>
      <c r="AH92" s="32"/>
      <c r="AI92" s="32"/>
      <c r="AJ92" s="32"/>
      <c r="AK92" s="40"/>
      <c r="AL92" s="481"/>
      <c r="AM92" s="481"/>
      <c r="AN92" s="481"/>
      <c r="AW92" s="32"/>
      <c r="AX92" s="32"/>
    </row>
    <row r="93" spans="1:56" x14ac:dyDescent="0.2">
      <c r="E93" s="480"/>
      <c r="F93" s="480"/>
      <c r="G93" s="480"/>
      <c r="H93" s="480"/>
      <c r="J93" s="480"/>
      <c r="K93" s="480"/>
      <c r="L93" s="480"/>
      <c r="AC93" s="9"/>
      <c r="AD93" s="32"/>
      <c r="AE93" s="32"/>
      <c r="AF93" s="32"/>
      <c r="AG93" s="32"/>
      <c r="AH93" s="32"/>
      <c r="AI93" s="32"/>
      <c r="AJ93" s="32"/>
      <c r="AK93" s="508"/>
      <c r="AL93" s="481"/>
      <c r="AM93" s="481"/>
      <c r="AN93" s="481"/>
      <c r="AW93" s="32"/>
      <c r="AX93" s="32"/>
    </row>
    <row r="94" spans="1:56" x14ac:dyDescent="0.2">
      <c r="E94" s="480"/>
      <c r="F94" s="480"/>
      <c r="G94" s="480"/>
      <c r="H94" s="480"/>
      <c r="J94" s="480"/>
      <c r="K94" s="480"/>
      <c r="L94" s="480"/>
      <c r="AC94" s="32"/>
      <c r="AD94" s="32"/>
      <c r="AE94" s="32"/>
      <c r="AF94" s="32"/>
      <c r="AG94" s="32"/>
      <c r="AH94" s="32"/>
      <c r="AI94" s="32"/>
      <c r="AJ94" s="32"/>
      <c r="AK94" s="32"/>
      <c r="AL94" s="481"/>
      <c r="AM94" s="481"/>
      <c r="AN94" s="481"/>
      <c r="AW94" s="33"/>
      <c r="AX94" s="33"/>
    </row>
    <row r="95" spans="1:56" x14ac:dyDescent="0.2">
      <c r="E95" s="480"/>
      <c r="F95" s="480"/>
      <c r="G95" s="480"/>
      <c r="H95" s="480"/>
      <c r="J95" s="480"/>
      <c r="K95" s="480"/>
      <c r="L95" s="480"/>
      <c r="AC95" s="33"/>
      <c r="AD95" s="33"/>
      <c r="AE95" s="33"/>
      <c r="AF95" s="33"/>
      <c r="AG95" s="33"/>
      <c r="AH95" s="33"/>
      <c r="AI95" s="33"/>
      <c r="AJ95" s="33"/>
      <c r="AK95" s="33"/>
      <c r="AL95" s="481"/>
      <c r="AM95" s="481"/>
      <c r="AN95" s="481"/>
      <c r="AW95" s="33"/>
      <c r="AX95" s="33"/>
    </row>
    <row r="96" spans="1:56" x14ac:dyDescent="0.2">
      <c r="E96" s="480"/>
      <c r="F96" s="480"/>
      <c r="G96" s="480"/>
      <c r="H96" s="480"/>
      <c r="J96" s="480"/>
      <c r="K96" s="480"/>
      <c r="L96" s="480"/>
      <c r="AC96" s="33"/>
      <c r="AD96" s="33"/>
      <c r="AE96" s="33"/>
      <c r="AF96" s="33"/>
      <c r="AG96" s="33"/>
      <c r="AH96" s="33"/>
      <c r="AI96" s="33"/>
      <c r="AJ96" s="33"/>
      <c r="AK96" s="33"/>
      <c r="AL96" s="481"/>
      <c r="AM96" s="481"/>
      <c r="AN96" s="481"/>
      <c r="AW96" s="481"/>
      <c r="AX96" s="481"/>
    </row>
    <row r="97" spans="5:50" x14ac:dyDescent="0.2">
      <c r="E97" s="480"/>
      <c r="F97" s="480"/>
      <c r="G97" s="480"/>
      <c r="H97" s="480"/>
      <c r="J97" s="480"/>
      <c r="K97" s="480"/>
      <c r="L97" s="480"/>
      <c r="AC97" s="481"/>
      <c r="AD97" s="481"/>
      <c r="AE97" s="481"/>
      <c r="AF97" s="481"/>
      <c r="AG97" s="481"/>
      <c r="AH97" s="481"/>
      <c r="AI97" s="481"/>
      <c r="AJ97" s="481"/>
      <c r="AK97" s="481"/>
      <c r="AL97" s="481"/>
      <c r="AM97" s="481"/>
      <c r="AN97" s="481"/>
      <c r="AW97" s="481"/>
      <c r="AX97" s="481"/>
    </row>
    <row r="98" spans="5:50" x14ac:dyDescent="0.2">
      <c r="E98" s="480"/>
      <c r="F98" s="480"/>
      <c r="G98" s="480"/>
      <c r="H98" s="480"/>
      <c r="J98" s="480"/>
      <c r="K98" s="480"/>
      <c r="L98" s="480"/>
      <c r="AC98" s="481"/>
      <c r="AD98" s="481"/>
      <c r="AE98" s="481"/>
      <c r="AF98" s="481"/>
      <c r="AG98" s="481"/>
      <c r="AH98" s="481"/>
      <c r="AI98" s="481"/>
      <c r="AJ98" s="481"/>
      <c r="AK98" s="481"/>
      <c r="AL98" s="481"/>
      <c r="AM98" s="481"/>
      <c r="AN98" s="481"/>
      <c r="AW98" s="481"/>
      <c r="AX98" s="481"/>
    </row>
    <row r="99" spans="5:50" x14ac:dyDescent="0.2">
      <c r="E99" s="480"/>
      <c r="F99" s="480"/>
      <c r="G99" s="480"/>
      <c r="H99" s="480"/>
      <c r="J99" s="480"/>
      <c r="K99" s="480"/>
      <c r="L99" s="480"/>
      <c r="AC99" s="481"/>
      <c r="AD99" s="481"/>
      <c r="AE99" s="481"/>
      <c r="AF99" s="481"/>
      <c r="AG99" s="481"/>
      <c r="AH99" s="481"/>
      <c r="AI99" s="481"/>
      <c r="AJ99" s="481"/>
      <c r="AK99" s="481"/>
      <c r="AL99" s="481"/>
      <c r="AM99" s="481"/>
      <c r="AN99" s="481"/>
      <c r="AW99" s="481"/>
      <c r="AX99" s="481"/>
    </row>
    <row r="100" spans="5:50" x14ac:dyDescent="0.2">
      <c r="E100" s="480"/>
      <c r="F100" s="480"/>
      <c r="G100" s="480"/>
      <c r="H100" s="480"/>
      <c r="J100" s="480"/>
      <c r="K100" s="480"/>
      <c r="L100" s="480"/>
      <c r="AC100" s="481"/>
      <c r="AD100" s="481"/>
      <c r="AE100" s="481"/>
      <c r="AF100" s="481"/>
      <c r="AG100" s="481"/>
      <c r="AH100" s="481"/>
      <c r="AI100" s="481"/>
      <c r="AJ100" s="481"/>
      <c r="AK100" s="481"/>
      <c r="AL100" s="481"/>
      <c r="AM100" s="481"/>
      <c r="AN100" s="481"/>
      <c r="AW100" s="481"/>
      <c r="AX100" s="481"/>
    </row>
    <row r="101" spans="5:50" x14ac:dyDescent="0.2">
      <c r="E101" s="480"/>
      <c r="F101" s="480"/>
      <c r="G101" s="480"/>
      <c r="H101" s="480"/>
      <c r="J101" s="480"/>
      <c r="K101" s="480"/>
      <c r="L101" s="480"/>
      <c r="AC101" s="481"/>
      <c r="AD101" s="481"/>
      <c r="AE101" s="481"/>
      <c r="AF101" s="481"/>
      <c r="AG101" s="481"/>
      <c r="AH101" s="481"/>
      <c r="AI101" s="481"/>
      <c r="AJ101" s="481"/>
      <c r="AK101" s="481"/>
      <c r="AL101" s="481"/>
      <c r="AM101" s="481"/>
      <c r="AN101" s="481"/>
    </row>
  </sheetData>
  <mergeCells count="10">
    <mergeCell ref="C75:D75"/>
    <mergeCell ref="AO75:AP75"/>
    <mergeCell ref="C10:D10"/>
    <mergeCell ref="C11:D11"/>
    <mergeCell ref="AO11:AP11"/>
    <mergeCell ref="A32:B32"/>
    <mergeCell ref="C62:D62"/>
    <mergeCell ref="C63:D63"/>
    <mergeCell ref="AO63:AP63"/>
    <mergeCell ref="C74:D74"/>
  </mergeCells>
  <conditionalFormatting sqref="A73 AD69:AK72 A81:A82 AU69:AX72 AS72:AT72 A60:A61 AV49:AZ49 AV41:AX48 A44:A47 A50 AS41:AU50 A40 B40:B55 AS55:AW55 N55:U55 AM41:AN49 J41:AK49 AR42:AR49 F42:I49">
    <cfRule type="cellIs" dxfId="49" priority="3" stopIfTrue="1" operator="equal">
      <formula>0</formula>
    </cfRule>
  </conditionalFormatting>
  <conditionalFormatting sqref="AR72 AR41 AR55 AR50">
    <cfRule type="cellIs" dxfId="48" priority="2" stopIfTrue="1" operator="equal">
      <formula>0</formula>
    </cfRule>
  </conditionalFormatting>
  <conditionalFormatting sqref="F41:I41">
    <cfRule type="cellIs" dxfId="47" priority="1" stopIfTrue="1" operator="equal">
      <formula>0</formula>
    </cfRule>
  </conditionalFormatting>
  <printOptions horizontalCentered="1"/>
  <pageMargins left="0.3" right="0.3" top="0.4" bottom="0.6" header="0" footer="0.3"/>
  <pageSetup scale="65" orientation="landscape" r:id="rId1"/>
  <headerFooter alignWithMargins="0">
    <oddFooter>&amp;L&amp;F&amp;CPage 4</oddFooter>
  </headerFooter>
  <colBreaks count="1" manualBreakCount="1">
    <brk id="51" max="7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pageSetUpPr fitToPage="1"/>
  </sheetPr>
  <dimension ref="A1:Z94"/>
  <sheetViews>
    <sheetView topLeftCell="A40" zoomScale="110" zoomScaleNormal="110" workbookViewId="0">
      <selection activeCell="J10" sqref="J10"/>
    </sheetView>
  </sheetViews>
  <sheetFormatPr defaultColWidth="9.140625" defaultRowHeight="12.75" x14ac:dyDescent="0.2"/>
  <cols>
    <col min="1" max="1" width="2.7109375" style="1108" customWidth="1"/>
    <col min="2" max="2" width="52.85546875" style="1108" customWidth="1"/>
    <col min="3" max="3" width="11.7109375" style="1108" customWidth="1"/>
    <col min="4" max="4" width="10.28515625" style="1108" customWidth="1"/>
    <col min="5" max="5" width="1.5703125" style="1075" customWidth="1"/>
    <col min="6" max="6" width="8.5703125" style="1075" customWidth="1"/>
    <col min="7" max="7" width="10.42578125" style="1109" customWidth="1"/>
    <col min="8" max="9" width="9.140625" style="1109" customWidth="1"/>
    <col min="10" max="10" width="8.5703125" style="1109" customWidth="1"/>
    <col min="11" max="11" width="8.5703125" style="940" customWidth="1"/>
    <col min="12" max="12" width="8.5703125" style="1109" customWidth="1"/>
    <col min="13" max="13" width="9.28515625" style="1109" customWidth="1"/>
    <col min="14" max="14" width="8.5703125" style="1109" customWidth="1"/>
    <col min="15" max="15" width="1.5703125" style="1108" customWidth="1"/>
    <col min="16" max="17" width="10" style="1108" hidden="1" customWidth="1"/>
    <col min="18" max="18" width="10" style="1108" customWidth="1"/>
    <col min="19" max="19" width="9.7109375" style="1108" customWidth="1"/>
    <col min="20" max="20" width="1.5703125" style="1108" customWidth="1"/>
    <col min="21" max="21" width="12" style="1108" bestFit="1" customWidth="1"/>
    <col min="22" max="25" width="9.5703125" style="1108" customWidth="1"/>
    <col min="26" max="26" width="1.5703125" style="1074" customWidth="1"/>
    <col min="27" max="16384" width="9.140625" style="1104"/>
  </cols>
  <sheetData>
    <row r="1" spans="1:26" ht="9" customHeight="1" x14ac:dyDescent="0.2"/>
    <row r="3" spans="1:26" x14ac:dyDescent="0.2">
      <c r="V3" s="1219"/>
      <c r="W3" s="1219"/>
      <c r="X3" s="1219"/>
      <c r="Y3" s="1219"/>
    </row>
    <row r="4" spans="1:26" x14ac:dyDescent="0.2">
      <c r="V4" s="1219"/>
      <c r="W4" s="1219"/>
      <c r="X4" s="1219"/>
      <c r="Y4" s="1219"/>
    </row>
    <row r="5" spans="1:26" ht="7.5" customHeight="1" x14ac:dyDescent="0.2">
      <c r="A5" s="1109"/>
      <c r="B5" s="1109"/>
      <c r="C5" s="1109"/>
      <c r="D5" s="1109"/>
      <c r="P5" s="1219"/>
    </row>
    <row r="6" spans="1:26" ht="18" customHeight="1" x14ac:dyDescent="0.2">
      <c r="A6" s="1110" t="s">
        <v>320</v>
      </c>
      <c r="B6" s="1109"/>
      <c r="C6" s="1109"/>
      <c r="D6" s="1109"/>
      <c r="F6" s="1227"/>
      <c r="J6" s="1609"/>
      <c r="K6" s="2215"/>
      <c r="N6" s="1609"/>
      <c r="P6" s="1219"/>
    </row>
    <row r="7" spans="1:26" ht="18" customHeight="1" x14ac:dyDescent="0.2">
      <c r="A7" s="1111" t="s">
        <v>264</v>
      </c>
      <c r="B7" s="942"/>
      <c r="C7" s="942"/>
      <c r="D7" s="942"/>
      <c r="E7" s="898"/>
      <c r="F7" s="898"/>
      <c r="G7" s="942"/>
      <c r="H7" s="942"/>
      <c r="I7" s="942"/>
      <c r="J7" s="942"/>
      <c r="K7" s="942"/>
      <c r="L7" s="942"/>
      <c r="M7" s="942"/>
      <c r="N7" s="942"/>
      <c r="P7" s="1579"/>
    </row>
    <row r="8" spans="1:26" ht="15" x14ac:dyDescent="0.2">
      <c r="A8" s="943"/>
      <c r="B8" s="942"/>
      <c r="C8" s="942"/>
      <c r="D8" s="942"/>
      <c r="E8" s="898"/>
      <c r="F8" s="898"/>
      <c r="G8" s="942"/>
      <c r="H8" s="942"/>
      <c r="I8" s="973"/>
      <c r="J8" s="942"/>
      <c r="K8" s="1254"/>
      <c r="L8" s="942"/>
      <c r="M8" s="973"/>
      <c r="N8" s="942"/>
    </row>
    <row r="9" spans="1:26" ht="9.75" customHeight="1" x14ac:dyDescent="0.2">
      <c r="A9" s="940"/>
      <c r="B9" s="940"/>
      <c r="C9" s="940"/>
      <c r="D9" s="940"/>
      <c r="E9" s="896"/>
      <c r="F9" s="896"/>
      <c r="G9" s="940"/>
      <c r="H9" s="940"/>
      <c r="I9" s="940"/>
      <c r="J9" s="940"/>
      <c r="L9" s="940"/>
      <c r="M9" s="940"/>
      <c r="N9" s="940"/>
      <c r="O9" s="939"/>
      <c r="P9" s="939"/>
      <c r="Q9" s="939"/>
      <c r="R9" s="969"/>
      <c r="S9" s="969"/>
      <c r="T9" s="939"/>
      <c r="U9" s="939"/>
      <c r="V9" s="939"/>
      <c r="W9" s="939"/>
      <c r="X9" s="939"/>
    </row>
    <row r="10" spans="1:26" x14ac:dyDescent="0.2">
      <c r="A10" s="944" t="s">
        <v>1</v>
      </c>
      <c r="B10" s="945"/>
      <c r="C10" s="2306" t="s">
        <v>667</v>
      </c>
      <c r="D10" s="2307"/>
      <c r="E10" s="900"/>
      <c r="F10" s="902"/>
      <c r="G10" s="975"/>
      <c r="H10" s="975"/>
      <c r="I10" s="976"/>
      <c r="J10" s="975"/>
      <c r="K10" s="975"/>
      <c r="L10" s="975"/>
      <c r="M10" s="976"/>
      <c r="N10" s="975"/>
      <c r="O10" s="979"/>
      <c r="P10" s="980" t="s">
        <v>668</v>
      </c>
      <c r="Q10" s="981"/>
      <c r="R10" s="981" t="s">
        <v>551</v>
      </c>
      <c r="S10" s="982"/>
      <c r="T10" s="983"/>
      <c r="U10" s="984"/>
      <c r="V10" s="984"/>
      <c r="W10" s="984"/>
      <c r="X10" s="984"/>
      <c r="Y10" s="984"/>
      <c r="Z10" s="1079"/>
    </row>
    <row r="11" spans="1:26" ht="13.5" x14ac:dyDescent="0.2">
      <c r="A11" s="944" t="s">
        <v>2</v>
      </c>
      <c r="B11" s="945"/>
      <c r="C11" s="2408" t="s">
        <v>35</v>
      </c>
      <c r="D11" s="2409"/>
      <c r="E11" s="1559"/>
      <c r="F11" s="906" t="s">
        <v>546</v>
      </c>
      <c r="G11" s="985" t="s">
        <v>547</v>
      </c>
      <c r="H11" s="985" t="s">
        <v>548</v>
      </c>
      <c r="I11" s="986" t="s">
        <v>549</v>
      </c>
      <c r="J11" s="985" t="s">
        <v>497</v>
      </c>
      <c r="K11" s="985" t="s">
        <v>496</v>
      </c>
      <c r="L11" s="985" t="s">
        <v>495</v>
      </c>
      <c r="M11" s="986" t="s">
        <v>494</v>
      </c>
      <c r="N11" s="985" t="s">
        <v>363</v>
      </c>
      <c r="O11" s="989"/>
      <c r="P11" s="985" t="s">
        <v>546</v>
      </c>
      <c r="Q11" s="985" t="s">
        <v>497</v>
      </c>
      <c r="R11" s="2310" t="s">
        <v>35</v>
      </c>
      <c r="S11" s="2311"/>
      <c r="T11" s="2265"/>
      <c r="U11" s="987" t="s">
        <v>550</v>
      </c>
      <c r="V11" s="987" t="s">
        <v>498</v>
      </c>
      <c r="W11" s="987" t="s">
        <v>490</v>
      </c>
      <c r="X11" s="987" t="s">
        <v>360</v>
      </c>
      <c r="Y11" s="987" t="s">
        <v>342</v>
      </c>
      <c r="Z11" s="1079"/>
    </row>
    <row r="12" spans="1:26" x14ac:dyDescent="0.2">
      <c r="A12" s="944"/>
      <c r="B12" s="945"/>
      <c r="C12" s="2224"/>
      <c r="D12" s="1561"/>
      <c r="E12" s="2223"/>
      <c r="F12" s="1080"/>
      <c r="G12" s="1148"/>
      <c r="H12" s="1148"/>
      <c r="I12" s="1149"/>
      <c r="J12" s="1148"/>
      <c r="K12" s="1148"/>
      <c r="L12" s="1148"/>
      <c r="M12" s="1149"/>
      <c r="N12" s="1148"/>
      <c r="O12" s="989"/>
      <c r="P12" s="1150"/>
      <c r="Q12" s="1148"/>
      <c r="R12" s="975"/>
      <c r="S12" s="976"/>
      <c r="T12" s="2265"/>
      <c r="U12" s="1150"/>
      <c r="V12" s="1150"/>
      <c r="W12" s="1150"/>
      <c r="X12" s="1150"/>
      <c r="Y12" s="1151"/>
      <c r="Z12" s="1079"/>
    </row>
    <row r="13" spans="1:26" x14ac:dyDescent="0.2">
      <c r="A13" s="946" t="s">
        <v>56</v>
      </c>
      <c r="B13" s="947"/>
      <c r="C13" s="1889"/>
      <c r="D13" s="1036"/>
      <c r="E13" s="1947"/>
      <c r="F13" s="899"/>
      <c r="G13" s="945"/>
      <c r="H13" s="945"/>
      <c r="I13" s="1036"/>
      <c r="J13" s="945"/>
      <c r="K13" s="945"/>
      <c r="L13" s="945"/>
      <c r="M13" s="1036"/>
      <c r="N13" s="945"/>
      <c r="O13" s="1016"/>
      <c r="P13" s="945"/>
      <c r="Q13" s="945"/>
      <c r="R13" s="945"/>
      <c r="S13" s="1036"/>
      <c r="T13" s="945"/>
      <c r="U13" s="1016"/>
      <c r="V13" s="1016"/>
      <c r="W13" s="1016"/>
      <c r="X13" s="1016"/>
      <c r="Y13" s="1016"/>
      <c r="Z13" s="1079"/>
    </row>
    <row r="14" spans="1:26" ht="12.75" customHeight="1" x14ac:dyDescent="0.2">
      <c r="A14" s="945"/>
      <c r="B14" s="953" t="s">
        <v>81</v>
      </c>
      <c r="C14" s="955">
        <v>2462</v>
      </c>
      <c r="D14" s="1017">
        <v>4.8718709805085587E-2</v>
      </c>
      <c r="E14" s="919"/>
      <c r="F14" s="1083">
        <v>52997</v>
      </c>
      <c r="G14" s="1153">
        <v>53663.48</v>
      </c>
      <c r="H14" s="1153">
        <v>51613</v>
      </c>
      <c r="I14" s="1154">
        <v>46147</v>
      </c>
      <c r="J14" s="1153">
        <v>50535</v>
      </c>
      <c r="K14" s="1153">
        <v>47647</v>
      </c>
      <c r="L14" s="1153">
        <v>31458</v>
      </c>
      <c r="M14" s="1154">
        <v>36251</v>
      </c>
      <c r="N14" s="1153">
        <v>39429</v>
      </c>
      <c r="O14" s="1016"/>
      <c r="P14" s="999">
        <v>204420.48000000001</v>
      </c>
      <c r="Q14" s="999">
        <v>165891</v>
      </c>
      <c r="R14" s="998">
        <v>38529.48000000001</v>
      </c>
      <c r="S14" s="1207">
        <v>0.23225780783767661</v>
      </c>
      <c r="T14" s="1126"/>
      <c r="U14" s="1706">
        <v>204420.48000000001</v>
      </c>
      <c r="V14" s="1706">
        <v>165891</v>
      </c>
      <c r="W14" s="1706">
        <v>129361</v>
      </c>
      <c r="X14" s="1706">
        <v>106654</v>
      </c>
      <c r="Y14" s="1945">
        <v>123972</v>
      </c>
      <c r="Z14" s="1082"/>
    </row>
    <row r="15" spans="1:26" ht="12.75" customHeight="1" x14ac:dyDescent="0.2">
      <c r="A15" s="945"/>
      <c r="B15" s="953" t="s">
        <v>183</v>
      </c>
      <c r="C15" s="955">
        <v>-281</v>
      </c>
      <c r="D15" s="1017">
        <v>-0.30543478260869567</v>
      </c>
      <c r="E15" s="919"/>
      <c r="F15" s="1083">
        <v>639</v>
      </c>
      <c r="G15" s="1153">
        <v>538.52</v>
      </c>
      <c r="H15" s="1153">
        <v>586</v>
      </c>
      <c r="I15" s="1154">
        <v>642</v>
      </c>
      <c r="J15" s="1153">
        <v>920</v>
      </c>
      <c r="K15" s="1153">
        <v>781</v>
      </c>
      <c r="L15" s="1153">
        <v>623</v>
      </c>
      <c r="M15" s="1154">
        <v>667</v>
      </c>
      <c r="N15" s="1153">
        <v>839</v>
      </c>
      <c r="O15" s="1016"/>
      <c r="P15" s="999">
        <v>2405.52</v>
      </c>
      <c r="Q15" s="999">
        <v>2991</v>
      </c>
      <c r="R15" s="998">
        <v>-585.48</v>
      </c>
      <c r="S15" s="1207">
        <v>-0.19574724172517552</v>
      </c>
      <c r="T15" s="1126"/>
      <c r="U15" s="1706">
        <v>2405.52</v>
      </c>
      <c r="V15" s="1706">
        <v>2991</v>
      </c>
      <c r="W15" s="1706">
        <v>2931</v>
      </c>
      <c r="X15" s="1706">
        <v>1554</v>
      </c>
      <c r="Y15" s="1945">
        <v>1367</v>
      </c>
      <c r="Z15" s="1082"/>
    </row>
    <row r="16" spans="1:26" ht="12.75" customHeight="1" x14ac:dyDescent="0.2">
      <c r="A16" s="947"/>
      <c r="B16" s="945"/>
      <c r="C16" s="1114">
        <v>2181</v>
      </c>
      <c r="D16" s="1115">
        <v>4.2386551355553394E-2</v>
      </c>
      <c r="E16" s="917"/>
      <c r="F16" s="1085">
        <v>53636</v>
      </c>
      <c r="G16" s="1160">
        <v>54202</v>
      </c>
      <c r="H16" s="1160">
        <v>52199</v>
      </c>
      <c r="I16" s="1162">
        <v>46789</v>
      </c>
      <c r="J16" s="1160">
        <v>51455</v>
      </c>
      <c r="K16" s="1160">
        <v>48428</v>
      </c>
      <c r="L16" s="1160">
        <v>32081</v>
      </c>
      <c r="M16" s="1162">
        <v>36918</v>
      </c>
      <c r="N16" s="1160">
        <v>40268</v>
      </c>
      <c r="O16" s="1016"/>
      <c r="P16" s="1580">
        <v>206826</v>
      </c>
      <c r="Q16" s="1580">
        <v>168882</v>
      </c>
      <c r="R16" s="1269">
        <v>37944</v>
      </c>
      <c r="S16" s="1115">
        <v>0.22467758553309411</v>
      </c>
      <c r="T16" s="1126"/>
      <c r="U16" s="1949">
        <v>206826</v>
      </c>
      <c r="V16" s="1646">
        <v>168882</v>
      </c>
      <c r="W16" s="1646">
        <v>132292</v>
      </c>
      <c r="X16" s="1646">
        <v>108208</v>
      </c>
      <c r="Y16" s="1264">
        <v>125339</v>
      </c>
      <c r="Z16" s="1082"/>
    </row>
    <row r="17" spans="1:26" ht="12.75" customHeight="1" x14ac:dyDescent="0.2">
      <c r="A17" s="946" t="s">
        <v>5</v>
      </c>
      <c r="B17" s="945"/>
      <c r="C17" s="955"/>
      <c r="D17" s="1017"/>
      <c r="E17" s="917"/>
      <c r="F17" s="2259"/>
      <c r="G17" s="2260"/>
      <c r="H17" s="2260"/>
      <c r="I17" s="1261"/>
      <c r="J17" s="1153"/>
      <c r="K17" s="1153"/>
      <c r="L17" s="1153"/>
      <c r="M17" s="1154"/>
      <c r="N17" s="1153"/>
      <c r="O17" s="1016"/>
      <c r="P17" s="999"/>
      <c r="Q17" s="999">
        <v>0</v>
      </c>
      <c r="R17" s="998"/>
      <c r="S17" s="1017"/>
      <c r="T17" s="1126"/>
      <c r="U17" s="2255"/>
      <c r="V17" s="1284"/>
      <c r="W17" s="1284"/>
      <c r="X17" s="1284"/>
      <c r="Y17" s="1284"/>
      <c r="Z17" s="1082"/>
    </row>
    <row r="18" spans="1:26" ht="12.75" customHeight="1" x14ac:dyDescent="0.2">
      <c r="A18" s="947"/>
      <c r="B18" s="1126" t="s">
        <v>640</v>
      </c>
      <c r="C18" s="955">
        <v>-343</v>
      </c>
      <c r="D18" s="1017">
        <v>-1.2857517711886644E-2</v>
      </c>
      <c r="E18" s="917"/>
      <c r="F18" s="1083">
        <v>26334</v>
      </c>
      <c r="G18" s="1153">
        <v>27907</v>
      </c>
      <c r="H18" s="1153">
        <v>27147</v>
      </c>
      <c r="I18" s="1175">
        <v>23380</v>
      </c>
      <c r="J18" s="1153">
        <v>26677</v>
      </c>
      <c r="K18" s="1153">
        <v>25068</v>
      </c>
      <c r="L18" s="1153">
        <v>16361</v>
      </c>
      <c r="M18" s="1175">
        <v>18276</v>
      </c>
      <c r="N18" s="1153">
        <v>21773</v>
      </c>
      <c r="O18" s="1016"/>
      <c r="P18" s="999">
        <v>104768</v>
      </c>
      <c r="Q18" s="999">
        <v>86382</v>
      </c>
      <c r="R18" s="998">
        <v>18386</v>
      </c>
      <c r="S18" s="1017">
        <v>0.2128452686902364</v>
      </c>
      <c r="T18" s="1126"/>
      <c r="U18" s="1706">
        <v>104768</v>
      </c>
      <c r="V18" s="1134">
        <v>86382</v>
      </c>
      <c r="W18" s="1134">
        <v>66733</v>
      </c>
      <c r="X18" s="1134">
        <v>51707</v>
      </c>
      <c r="Y18" s="1256">
        <v>62813</v>
      </c>
      <c r="Z18" s="1082"/>
    </row>
    <row r="19" spans="1:26" ht="12.75" customHeight="1" x14ac:dyDescent="0.2">
      <c r="A19" s="947"/>
      <c r="B19" s="953" t="s">
        <v>61</v>
      </c>
      <c r="C19" s="955">
        <v>912</v>
      </c>
      <c r="D19" s="1017">
        <v>0.26643295354951796</v>
      </c>
      <c r="E19" s="917"/>
      <c r="F19" s="1083">
        <v>4335</v>
      </c>
      <c r="G19" s="1153">
        <v>3513</v>
      </c>
      <c r="H19" s="1153">
        <v>3017</v>
      </c>
      <c r="I19" s="1154">
        <v>3227</v>
      </c>
      <c r="J19" s="1153">
        <v>3423</v>
      </c>
      <c r="K19" s="1153">
        <v>2586</v>
      </c>
      <c r="L19" s="1153">
        <v>2511</v>
      </c>
      <c r="M19" s="1154">
        <v>2795</v>
      </c>
      <c r="N19" s="1153">
        <v>3034</v>
      </c>
      <c r="O19" s="1016"/>
      <c r="P19" s="999">
        <v>14092</v>
      </c>
      <c r="Q19" s="999">
        <v>11315</v>
      </c>
      <c r="R19" s="998">
        <v>2777</v>
      </c>
      <c r="S19" s="1017">
        <v>0.24542642509942555</v>
      </c>
      <c r="T19" s="1126"/>
      <c r="U19" s="1706">
        <v>14092</v>
      </c>
      <c r="V19" s="1706">
        <v>11315</v>
      </c>
      <c r="W19" s="1706">
        <v>11335</v>
      </c>
      <c r="X19" s="1706">
        <v>11652</v>
      </c>
      <c r="Y19" s="1945">
        <v>12188</v>
      </c>
      <c r="Z19" s="1082"/>
    </row>
    <row r="20" spans="1:26" ht="12.75" customHeight="1" x14ac:dyDescent="0.2">
      <c r="A20" s="947"/>
      <c r="B20" s="953" t="s">
        <v>88</v>
      </c>
      <c r="C20" s="955">
        <v>531</v>
      </c>
      <c r="D20" s="1017">
        <v>0.16120218579234974</v>
      </c>
      <c r="E20" s="917"/>
      <c r="F20" s="1083">
        <v>3825</v>
      </c>
      <c r="G20" s="1153">
        <v>3517</v>
      </c>
      <c r="H20" s="1153">
        <v>3142</v>
      </c>
      <c r="I20" s="1154">
        <v>2793</v>
      </c>
      <c r="J20" s="1153">
        <v>3294</v>
      </c>
      <c r="K20" s="1153">
        <v>3362</v>
      </c>
      <c r="L20" s="1153">
        <v>2425</v>
      </c>
      <c r="M20" s="1154">
        <v>3446</v>
      </c>
      <c r="N20" s="1153">
        <v>3840</v>
      </c>
      <c r="O20" s="1016"/>
      <c r="P20" s="999">
        <v>13277</v>
      </c>
      <c r="Q20" s="999">
        <v>12527</v>
      </c>
      <c r="R20" s="998">
        <v>750</v>
      </c>
      <c r="S20" s="1017">
        <v>5.9870679332641494E-2</v>
      </c>
      <c r="T20" s="1126"/>
      <c r="U20" s="1706">
        <v>13277</v>
      </c>
      <c r="V20" s="1706">
        <v>12527</v>
      </c>
      <c r="W20" s="1706">
        <v>13469</v>
      </c>
      <c r="X20" s="1706">
        <v>11151</v>
      </c>
      <c r="Y20" s="1945">
        <v>12500</v>
      </c>
      <c r="Z20" s="1082"/>
    </row>
    <row r="21" spans="1:26" ht="12.75" customHeight="1" x14ac:dyDescent="0.2">
      <c r="A21" s="947"/>
      <c r="B21" s="953" t="s">
        <v>63</v>
      </c>
      <c r="C21" s="955">
        <v>-136</v>
      </c>
      <c r="D21" s="1017">
        <v>-0.13178294573643412</v>
      </c>
      <c r="E21" s="917"/>
      <c r="F21" s="1083">
        <v>896</v>
      </c>
      <c r="G21" s="1153">
        <v>988</v>
      </c>
      <c r="H21" s="1153">
        <v>960</v>
      </c>
      <c r="I21" s="1154">
        <v>970</v>
      </c>
      <c r="J21" s="1153">
        <v>1032</v>
      </c>
      <c r="K21" s="1153">
        <v>1554</v>
      </c>
      <c r="L21" s="1153">
        <v>1031</v>
      </c>
      <c r="M21" s="1154">
        <v>1325</v>
      </c>
      <c r="N21" s="1153">
        <v>1405</v>
      </c>
      <c r="O21" s="1016"/>
      <c r="P21" s="999">
        <v>3814</v>
      </c>
      <c r="Q21" s="999">
        <v>4942</v>
      </c>
      <c r="R21" s="998">
        <v>-1128</v>
      </c>
      <c r="S21" s="1017">
        <v>-0.22824767300687981</v>
      </c>
      <c r="T21" s="1126"/>
      <c r="U21" s="1706">
        <v>3814</v>
      </c>
      <c r="V21" s="1706">
        <v>4942</v>
      </c>
      <c r="W21" s="1706">
        <v>5515</v>
      </c>
      <c r="X21" s="1706">
        <v>4646</v>
      </c>
      <c r="Y21" s="1945">
        <v>5600</v>
      </c>
      <c r="Z21" s="1082"/>
    </row>
    <row r="22" spans="1:26" ht="12.75" customHeight="1" x14ac:dyDescent="0.2">
      <c r="A22" s="947"/>
      <c r="B22" s="953" t="s">
        <v>64</v>
      </c>
      <c r="C22" s="955">
        <v>570</v>
      </c>
      <c r="D22" s="1017">
        <v>0.57057057057057059</v>
      </c>
      <c r="E22" s="917"/>
      <c r="F22" s="1083">
        <v>1569</v>
      </c>
      <c r="G22" s="1153">
        <v>1340</v>
      </c>
      <c r="H22" s="1153">
        <v>1402</v>
      </c>
      <c r="I22" s="1154">
        <v>992</v>
      </c>
      <c r="J22" s="1153">
        <v>999</v>
      </c>
      <c r="K22" s="1153">
        <v>958</v>
      </c>
      <c r="L22" s="1153">
        <v>1536</v>
      </c>
      <c r="M22" s="1154">
        <v>656</v>
      </c>
      <c r="N22" s="1153">
        <v>1053</v>
      </c>
      <c r="O22" s="1016"/>
      <c r="P22" s="999">
        <v>5303</v>
      </c>
      <c r="Q22" s="999">
        <v>4149</v>
      </c>
      <c r="R22" s="998">
        <v>1154</v>
      </c>
      <c r="S22" s="1017">
        <v>0.27813931067727166</v>
      </c>
      <c r="T22" s="1126"/>
      <c r="U22" s="1706">
        <v>5303</v>
      </c>
      <c r="V22" s="1706">
        <v>4149</v>
      </c>
      <c r="W22" s="1706">
        <v>4094</v>
      </c>
      <c r="X22" s="1706">
        <v>4673</v>
      </c>
      <c r="Y22" s="1945">
        <v>4880</v>
      </c>
      <c r="Z22" s="1082"/>
    </row>
    <row r="23" spans="1:26" ht="12.75" customHeight="1" x14ac:dyDescent="0.2">
      <c r="A23" s="947"/>
      <c r="B23" s="953" t="s">
        <v>59</v>
      </c>
      <c r="C23" s="955">
        <v>-334</v>
      </c>
      <c r="D23" s="1017">
        <v>-0.57785467128027679</v>
      </c>
      <c r="E23" s="917"/>
      <c r="F23" s="1083">
        <v>244</v>
      </c>
      <c r="G23" s="1153">
        <v>247</v>
      </c>
      <c r="H23" s="1153">
        <v>769</v>
      </c>
      <c r="I23" s="1154">
        <v>750</v>
      </c>
      <c r="J23" s="1153">
        <v>578</v>
      </c>
      <c r="K23" s="1153">
        <v>366</v>
      </c>
      <c r="L23" s="1153">
        <v>60</v>
      </c>
      <c r="M23" s="1154">
        <v>48</v>
      </c>
      <c r="N23" s="1153">
        <v>31</v>
      </c>
      <c r="O23" s="1016"/>
      <c r="P23" s="999">
        <v>2010</v>
      </c>
      <c r="Q23" s="999">
        <v>1052</v>
      </c>
      <c r="R23" s="998">
        <v>958</v>
      </c>
      <c r="S23" s="1017">
        <v>0.91064638783269958</v>
      </c>
      <c r="T23" s="1126"/>
      <c r="U23" s="1706">
        <v>2010</v>
      </c>
      <c r="V23" s="1706">
        <v>1052</v>
      </c>
      <c r="W23" s="1706">
        <v>117</v>
      </c>
      <c r="X23" s="1706">
        <v>114</v>
      </c>
      <c r="Y23" s="1945">
        <v>132</v>
      </c>
      <c r="Z23" s="1082"/>
    </row>
    <row r="24" spans="1:26" ht="12.75" customHeight="1" x14ac:dyDescent="0.2">
      <c r="A24" s="947"/>
      <c r="B24" s="953" t="s">
        <v>65</v>
      </c>
      <c r="C24" s="955">
        <v>2098</v>
      </c>
      <c r="D24" s="1017">
        <v>0.71653005464480879</v>
      </c>
      <c r="E24" s="917"/>
      <c r="F24" s="1083">
        <v>5026</v>
      </c>
      <c r="G24" s="1153">
        <v>2597</v>
      </c>
      <c r="H24" s="1153">
        <v>2523</v>
      </c>
      <c r="I24" s="1154">
        <v>4265</v>
      </c>
      <c r="J24" s="1153">
        <v>2928</v>
      </c>
      <c r="K24" s="1153">
        <v>2100</v>
      </c>
      <c r="L24" s="1153">
        <v>1824</v>
      </c>
      <c r="M24" s="1154">
        <v>1530</v>
      </c>
      <c r="N24" s="1153">
        <v>2277</v>
      </c>
      <c r="O24" s="1016"/>
      <c r="P24" s="999">
        <v>14411</v>
      </c>
      <c r="Q24" s="999">
        <v>8382</v>
      </c>
      <c r="R24" s="998">
        <v>6029</v>
      </c>
      <c r="S24" s="1017">
        <v>0.71927940825578618</v>
      </c>
      <c r="T24" s="1126"/>
      <c r="U24" s="1706">
        <v>14411</v>
      </c>
      <c r="V24" s="1706">
        <v>8382</v>
      </c>
      <c r="W24" s="1706">
        <v>8957</v>
      </c>
      <c r="X24" s="1706">
        <v>8388</v>
      </c>
      <c r="Y24" s="1945">
        <v>10728</v>
      </c>
      <c r="Z24" s="1082"/>
    </row>
    <row r="25" spans="1:26" ht="12.75" customHeight="1" x14ac:dyDescent="0.2">
      <c r="A25" s="947"/>
      <c r="B25" s="953" t="s">
        <v>66</v>
      </c>
      <c r="C25" s="955">
        <v>-231</v>
      </c>
      <c r="D25" s="1017">
        <v>-0.58481012658227849</v>
      </c>
      <c r="E25" s="1091"/>
      <c r="F25" s="1083">
        <v>164</v>
      </c>
      <c r="G25" s="1153">
        <v>181</v>
      </c>
      <c r="H25" s="1153">
        <v>331</v>
      </c>
      <c r="I25" s="1154">
        <v>381</v>
      </c>
      <c r="J25" s="1153">
        <v>395</v>
      </c>
      <c r="K25" s="1153">
        <v>503</v>
      </c>
      <c r="L25" s="1153">
        <v>382</v>
      </c>
      <c r="M25" s="1154">
        <v>315</v>
      </c>
      <c r="N25" s="1153">
        <v>275</v>
      </c>
      <c r="O25" s="1016"/>
      <c r="P25" s="999">
        <v>1057</v>
      </c>
      <c r="Q25" s="999">
        <v>1595</v>
      </c>
      <c r="R25" s="998">
        <v>-538</v>
      </c>
      <c r="S25" s="1017">
        <v>-0.33730407523510969</v>
      </c>
      <c r="T25" s="1126"/>
      <c r="U25" s="1706">
        <v>1057</v>
      </c>
      <c r="V25" s="1706">
        <v>1595</v>
      </c>
      <c r="W25" s="1706">
        <v>1069</v>
      </c>
      <c r="X25" s="1706">
        <v>1098</v>
      </c>
      <c r="Y25" s="1945">
        <v>2395</v>
      </c>
      <c r="Z25" s="1082"/>
    </row>
    <row r="26" spans="1:26" ht="12.75" customHeight="1" x14ac:dyDescent="0.2">
      <c r="A26" s="945"/>
      <c r="B26" s="953" t="s">
        <v>67</v>
      </c>
      <c r="C26" s="955">
        <v>1245</v>
      </c>
      <c r="D26" s="1017">
        <v>1.5164433617539586</v>
      </c>
      <c r="E26" s="917"/>
      <c r="F26" s="1083">
        <v>2066</v>
      </c>
      <c r="G26" s="1153">
        <v>2326</v>
      </c>
      <c r="H26" s="1153">
        <v>1874</v>
      </c>
      <c r="I26" s="1154">
        <v>1830</v>
      </c>
      <c r="J26" s="1153">
        <v>821</v>
      </c>
      <c r="K26" s="1153">
        <v>1088</v>
      </c>
      <c r="L26" s="1153">
        <v>1101</v>
      </c>
      <c r="M26" s="1154">
        <v>1138</v>
      </c>
      <c r="N26" s="1153">
        <v>1145</v>
      </c>
      <c r="O26" s="1016"/>
      <c r="P26" s="999">
        <v>8096</v>
      </c>
      <c r="Q26" s="999">
        <v>4148</v>
      </c>
      <c r="R26" s="998">
        <v>3948</v>
      </c>
      <c r="S26" s="1017">
        <v>0.95178399228543875</v>
      </c>
      <c r="T26" s="1126"/>
      <c r="U26" s="1706">
        <v>8096</v>
      </c>
      <c r="V26" s="1706">
        <v>4148</v>
      </c>
      <c r="W26" s="1706">
        <v>3535</v>
      </c>
      <c r="X26" s="1706">
        <v>2605</v>
      </c>
      <c r="Y26" s="1945">
        <v>3722</v>
      </c>
      <c r="Z26" s="1082"/>
    </row>
    <row r="27" spans="1:26" ht="12.75" customHeight="1" x14ac:dyDescent="0.2">
      <c r="A27" s="945"/>
      <c r="B27" s="945" t="s">
        <v>149</v>
      </c>
      <c r="C27" s="955">
        <v>0</v>
      </c>
      <c r="D27" s="1017">
        <v>0</v>
      </c>
      <c r="E27" s="917"/>
      <c r="F27" s="1654">
        <v>0</v>
      </c>
      <c r="G27" s="999">
        <v>0</v>
      </c>
      <c r="H27" s="999">
        <v>0</v>
      </c>
      <c r="I27" s="1177">
        <v>0</v>
      </c>
      <c r="J27" s="999">
        <v>0</v>
      </c>
      <c r="K27" s="999">
        <v>0</v>
      </c>
      <c r="L27" s="999">
        <v>0</v>
      </c>
      <c r="M27" s="1177">
        <v>0</v>
      </c>
      <c r="N27" s="999">
        <v>0</v>
      </c>
      <c r="O27" s="1016"/>
      <c r="P27" s="999">
        <v>0</v>
      </c>
      <c r="Q27" s="999">
        <v>0</v>
      </c>
      <c r="R27" s="998">
        <v>0</v>
      </c>
      <c r="S27" s="1017">
        <v>0</v>
      </c>
      <c r="T27" s="1126"/>
      <c r="U27" s="1706">
        <v>0</v>
      </c>
      <c r="V27" s="1706">
        <v>0</v>
      </c>
      <c r="W27" s="1706">
        <v>0</v>
      </c>
      <c r="X27" s="1706">
        <v>165</v>
      </c>
      <c r="Y27" s="1945">
        <v>0</v>
      </c>
      <c r="Z27" s="1082"/>
    </row>
    <row r="28" spans="1:26" ht="12.75" customHeight="1" x14ac:dyDescent="0.2">
      <c r="A28" s="945"/>
      <c r="B28" s="1126" t="s">
        <v>625</v>
      </c>
      <c r="C28" s="955">
        <v>-668</v>
      </c>
      <c r="D28" s="1017">
        <v>-1</v>
      </c>
      <c r="E28" s="917"/>
      <c r="F28" s="1654">
        <v>0</v>
      </c>
      <c r="G28" s="999">
        <v>0</v>
      </c>
      <c r="H28" s="999">
        <v>0</v>
      </c>
      <c r="I28" s="1177">
        <v>0</v>
      </c>
      <c r="J28" s="999">
        <v>668</v>
      </c>
      <c r="K28" s="999"/>
      <c r="L28" s="999"/>
      <c r="M28" s="1177"/>
      <c r="N28" s="999"/>
      <c r="O28" s="1016"/>
      <c r="P28" s="999">
        <v>0</v>
      </c>
      <c r="Q28" s="999">
        <v>668</v>
      </c>
      <c r="R28" s="998">
        <v>-668</v>
      </c>
      <c r="S28" s="1017">
        <v>0</v>
      </c>
      <c r="T28" s="1126"/>
      <c r="U28" s="1706">
        <v>0</v>
      </c>
      <c r="V28" s="1706">
        <v>668</v>
      </c>
      <c r="W28" s="1706">
        <v>0</v>
      </c>
      <c r="X28" s="1706">
        <v>0</v>
      </c>
      <c r="Y28" s="1945">
        <v>0</v>
      </c>
      <c r="Z28" s="1082"/>
    </row>
    <row r="29" spans="1:26" ht="12.75" customHeight="1" x14ac:dyDescent="0.2">
      <c r="A29" s="947"/>
      <c r="B29" s="939"/>
      <c r="C29" s="1114">
        <v>3644</v>
      </c>
      <c r="D29" s="1115">
        <v>8.9280901629302953E-2</v>
      </c>
      <c r="E29" s="917"/>
      <c r="F29" s="1085">
        <v>44459</v>
      </c>
      <c r="G29" s="1160">
        <v>42616</v>
      </c>
      <c r="H29" s="1160">
        <v>41165</v>
      </c>
      <c r="I29" s="1161">
        <v>38588</v>
      </c>
      <c r="J29" s="1160">
        <v>40815</v>
      </c>
      <c r="K29" s="1160">
        <v>37585</v>
      </c>
      <c r="L29" s="1160">
        <v>27231</v>
      </c>
      <c r="M29" s="1161">
        <v>29529</v>
      </c>
      <c r="N29" s="1160">
        <v>34833</v>
      </c>
      <c r="O29" s="1016"/>
      <c r="P29" s="1580">
        <v>166828</v>
      </c>
      <c r="Q29" s="1580">
        <v>135160</v>
      </c>
      <c r="R29" s="1263">
        <v>31668</v>
      </c>
      <c r="S29" s="1583">
        <v>0.23430008878366382</v>
      </c>
      <c r="T29" s="1889"/>
      <c r="U29" s="1949">
        <v>166828</v>
      </c>
      <c r="V29" s="1646">
        <v>135160</v>
      </c>
      <c r="W29" s="1646">
        <v>114824</v>
      </c>
      <c r="X29" s="1646">
        <v>96199</v>
      </c>
      <c r="Y29" s="1164">
        <v>114958</v>
      </c>
      <c r="Z29" s="1082"/>
    </row>
    <row r="30" spans="1:26" s="1772" customFormat="1" ht="24.75" customHeight="1" x14ac:dyDescent="0.2">
      <c r="A30" s="2427" t="s">
        <v>193</v>
      </c>
      <c r="B30" s="2428"/>
      <c r="C30" s="1114">
        <v>-1463</v>
      </c>
      <c r="D30" s="1115">
        <v>-0.13750000000000001</v>
      </c>
      <c r="E30" s="917"/>
      <c r="F30" s="1094">
        <v>9177</v>
      </c>
      <c r="G30" s="1186">
        <v>11586</v>
      </c>
      <c r="H30" s="1186">
        <v>11034</v>
      </c>
      <c r="I30" s="1154">
        <v>8201</v>
      </c>
      <c r="J30" s="1186">
        <v>10640</v>
      </c>
      <c r="K30" s="1186">
        <v>10843</v>
      </c>
      <c r="L30" s="1186">
        <v>4850</v>
      </c>
      <c r="M30" s="1154">
        <v>7389</v>
      </c>
      <c r="N30" s="1186">
        <v>5435</v>
      </c>
      <c r="O30" s="1016"/>
      <c r="P30" s="1114">
        <v>39998</v>
      </c>
      <c r="Q30" s="998">
        <v>33722</v>
      </c>
      <c r="R30" s="1529">
        <v>6276</v>
      </c>
      <c r="S30" s="1583">
        <v>0.18610995789099105</v>
      </c>
      <c r="T30" s="1889"/>
      <c r="U30" s="1949">
        <v>39998</v>
      </c>
      <c r="V30" s="1942">
        <v>33722</v>
      </c>
      <c r="W30" s="1942">
        <v>17468</v>
      </c>
      <c r="X30" s="1942">
        <v>12009</v>
      </c>
      <c r="Y30" s="1185">
        <v>10381</v>
      </c>
      <c r="Z30" s="1082"/>
    </row>
    <row r="31" spans="1:26" s="1772" customFormat="1" ht="15" customHeight="1" x14ac:dyDescent="0.2">
      <c r="A31" s="1943"/>
      <c r="B31" s="1944" t="s">
        <v>313</v>
      </c>
      <c r="C31" s="1114">
        <v>1167</v>
      </c>
      <c r="D31" s="1115">
        <v>0.40889978976874564</v>
      </c>
      <c r="E31" s="917"/>
      <c r="F31" s="1229">
        <v>4021</v>
      </c>
      <c r="G31" s="1281">
        <v>2725</v>
      </c>
      <c r="H31" s="1281">
        <v>3363</v>
      </c>
      <c r="I31" s="1273">
        <v>3043</v>
      </c>
      <c r="J31" s="1281">
        <v>2854</v>
      </c>
      <c r="K31" s="1281">
        <v>3345</v>
      </c>
      <c r="L31" s="1281">
        <v>3776</v>
      </c>
      <c r="M31" s="1273">
        <v>4225</v>
      </c>
      <c r="N31" s="1281">
        <v>3977</v>
      </c>
      <c r="O31" s="1584"/>
      <c r="P31" s="1572">
        <v>13152</v>
      </c>
      <c r="Q31" s="1572">
        <v>14200</v>
      </c>
      <c r="R31" s="1529">
        <v>-1048</v>
      </c>
      <c r="S31" s="1115">
        <v>-7.3802816901408455E-2</v>
      </c>
      <c r="T31" s="2267"/>
      <c r="U31" s="1949">
        <v>13152</v>
      </c>
      <c r="V31" s="1706">
        <v>14200</v>
      </c>
      <c r="W31" s="1706">
        <v>15504</v>
      </c>
      <c r="X31" s="1706">
        <v>19664</v>
      </c>
      <c r="Y31" s="1324">
        <v>17483</v>
      </c>
      <c r="Z31" s="1082"/>
    </row>
    <row r="32" spans="1:26" s="1772" customFormat="1" ht="24.75" customHeight="1" thickBot="1" x14ac:dyDescent="0.25">
      <c r="A32" s="1946" t="s">
        <v>69</v>
      </c>
      <c r="B32" s="946"/>
      <c r="C32" s="1244">
        <v>-2630</v>
      </c>
      <c r="D32" s="1125">
        <v>-0.33778576932956589</v>
      </c>
      <c r="E32" s="917"/>
      <c r="F32" s="1231">
        <v>5156</v>
      </c>
      <c r="G32" s="1294">
        <v>8861</v>
      </c>
      <c r="H32" s="1294">
        <v>7671</v>
      </c>
      <c r="I32" s="1298">
        <v>5158</v>
      </c>
      <c r="J32" s="1294">
        <v>7786</v>
      </c>
      <c r="K32" s="1294">
        <v>7498</v>
      </c>
      <c r="L32" s="1294">
        <v>1074</v>
      </c>
      <c r="M32" s="1298">
        <v>3164</v>
      </c>
      <c r="N32" s="1294">
        <v>1458</v>
      </c>
      <c r="O32" s="1584"/>
      <c r="P32" s="1278">
        <v>26846</v>
      </c>
      <c r="Q32" s="1278">
        <v>19522</v>
      </c>
      <c r="R32" s="1278">
        <v>7324</v>
      </c>
      <c r="S32" s="1125">
        <v>0.3751664788443807</v>
      </c>
      <c r="T32" s="2267"/>
      <c r="U32" s="2207">
        <v>26846</v>
      </c>
      <c r="V32" s="1647">
        <v>19522</v>
      </c>
      <c r="W32" s="1647">
        <v>1964</v>
      </c>
      <c r="X32" s="1647">
        <v>-7655</v>
      </c>
      <c r="Y32" s="1300">
        <v>-7102</v>
      </c>
      <c r="Z32" s="1082"/>
    </row>
    <row r="33" spans="1:26" ht="12.75" customHeight="1" thickTop="1" x14ac:dyDescent="0.2">
      <c r="A33" s="1126"/>
      <c r="B33" s="1126"/>
      <c r="C33" s="998"/>
      <c r="D33" s="951"/>
      <c r="E33" s="907"/>
      <c r="F33" s="907"/>
      <c r="G33" s="951"/>
      <c r="H33" s="951"/>
      <c r="I33" s="945"/>
      <c r="J33" s="951"/>
      <c r="K33" s="951"/>
      <c r="L33" s="951"/>
      <c r="M33" s="945"/>
      <c r="N33" s="951"/>
      <c r="O33" s="945"/>
      <c r="P33" s="945"/>
      <c r="Q33" s="945"/>
      <c r="R33" s="998"/>
      <c r="S33" s="951"/>
      <c r="T33" s="945"/>
      <c r="U33" s="945"/>
      <c r="V33" s="945"/>
      <c r="W33" s="945"/>
      <c r="X33" s="945"/>
      <c r="Y33" s="945"/>
      <c r="Z33" s="1082"/>
    </row>
    <row r="34" spans="1:26" ht="13.5" customHeight="1" x14ac:dyDescent="0.2">
      <c r="A34" s="1129" t="s">
        <v>645</v>
      </c>
      <c r="B34" s="1126"/>
      <c r="C34" s="1563">
        <v>9.8895496267794982</v>
      </c>
      <c r="D34" s="951"/>
      <c r="E34" s="907"/>
      <c r="F34" s="920">
        <v>0.38392124692370794</v>
      </c>
      <c r="G34" s="1018">
        <v>0.33663754105014576</v>
      </c>
      <c r="H34" s="1018">
        <v>0.33788003601601563</v>
      </c>
      <c r="I34" s="1018">
        <v>0.33522836564149694</v>
      </c>
      <c r="J34" s="1018">
        <v>0.28502575065591296</v>
      </c>
      <c r="K34" s="1018">
        <v>0.28972908234905426</v>
      </c>
      <c r="L34" s="1018">
        <v>0.42402044824039153</v>
      </c>
      <c r="M34" s="1018">
        <v>0.38450078552467631</v>
      </c>
      <c r="N34" s="1018">
        <v>0.32728220919837092</v>
      </c>
      <c r="O34" s="945"/>
      <c r="P34" s="1018">
        <v>0.34889437498186882</v>
      </c>
      <c r="Q34" s="1018">
        <v>0.33452351345910164</v>
      </c>
      <c r="R34" s="1563">
        <v>1.4370861522767175</v>
      </c>
      <c r="S34" s="951"/>
      <c r="T34" s="1133"/>
      <c r="U34" s="1018">
        <v>0.34889437498186882</v>
      </c>
      <c r="V34" s="1018">
        <v>0.33452351345910164</v>
      </c>
      <c r="W34" s="1018">
        <v>0.34670274846551569</v>
      </c>
      <c r="X34" s="1018">
        <v>0.43883323641385102</v>
      </c>
      <c r="Y34" s="1018">
        <v>0.35092828249786578</v>
      </c>
      <c r="Z34" s="1082"/>
    </row>
    <row r="35" spans="1:26" ht="12.75" customHeight="1" x14ac:dyDescent="0.2">
      <c r="A35" s="1128" t="s">
        <v>71</v>
      </c>
      <c r="B35" s="1126"/>
      <c r="C35" s="1563">
        <v>-2.7476807191291197</v>
      </c>
      <c r="D35" s="951"/>
      <c r="E35" s="907"/>
      <c r="F35" s="920">
        <v>0.49097621000820346</v>
      </c>
      <c r="G35" s="1018">
        <v>0.5148702999889303</v>
      </c>
      <c r="H35" s="1018">
        <v>0.52006743424203528</v>
      </c>
      <c r="I35" s="1018">
        <v>0.49969009809998077</v>
      </c>
      <c r="J35" s="1018">
        <v>0.51845301719949466</v>
      </c>
      <c r="K35" s="1018">
        <v>0.51763442636491286</v>
      </c>
      <c r="L35" s="1018">
        <v>0.50999033695957108</v>
      </c>
      <c r="M35" s="1018">
        <v>0.49504306842190804</v>
      </c>
      <c r="N35" s="1018">
        <v>0.54070229462600572</v>
      </c>
      <c r="O35" s="945"/>
      <c r="P35" s="1018">
        <v>0.50655140069430338</v>
      </c>
      <c r="Q35" s="1018">
        <v>0.51149323196077734</v>
      </c>
      <c r="R35" s="1563">
        <v>-0.49418312664739616</v>
      </c>
      <c r="S35" s="951"/>
      <c r="T35" s="1133"/>
      <c r="U35" s="1018">
        <v>0.50655140069430338</v>
      </c>
      <c r="V35" s="1018">
        <v>0.51149323196077734</v>
      </c>
      <c r="W35" s="1018">
        <v>0.50443715417409973</v>
      </c>
      <c r="X35" s="1018">
        <v>0.47784821824634038</v>
      </c>
      <c r="Y35" s="1018">
        <v>0.50114489504463899</v>
      </c>
      <c r="Z35" s="1082"/>
    </row>
    <row r="36" spans="1:26" ht="13.5" customHeight="1" x14ac:dyDescent="0.2">
      <c r="A36" s="1128" t="s">
        <v>627</v>
      </c>
      <c r="B36" s="1126"/>
      <c r="C36" s="1563">
        <v>-1.3178372656465043</v>
      </c>
      <c r="D36" s="951"/>
      <c r="E36" s="907"/>
      <c r="F36" s="920">
        <v>0.57179879185621596</v>
      </c>
      <c r="G36" s="1018">
        <v>0.57968340651636474</v>
      </c>
      <c r="H36" s="1018">
        <v>0.57786547635012164</v>
      </c>
      <c r="I36" s="1018">
        <v>0.56865930026288225</v>
      </c>
      <c r="J36" s="1018">
        <v>0.584977164512681</v>
      </c>
      <c r="K36" s="1018">
        <v>0.57103328652845464</v>
      </c>
      <c r="L36" s="1018">
        <v>0.58826096443377696</v>
      </c>
      <c r="M36" s="1018">
        <v>0.57075139498347693</v>
      </c>
      <c r="N36" s="1018">
        <v>0.61604748187146119</v>
      </c>
      <c r="O36" s="945"/>
      <c r="P36" s="1018">
        <v>0.57468596791505899</v>
      </c>
      <c r="Q36" s="1018">
        <v>0.57849267535912652</v>
      </c>
      <c r="R36" s="1563">
        <v>-0.38067074440675253</v>
      </c>
      <c r="S36" s="951"/>
      <c r="T36" s="1133"/>
      <c r="U36" s="1018">
        <v>0.57468596791505899</v>
      </c>
      <c r="V36" s="1018">
        <v>0.57849267535912652</v>
      </c>
      <c r="W36" s="1018">
        <v>0.59011882804704741</v>
      </c>
      <c r="X36" s="1018">
        <v>0.58552972053822272</v>
      </c>
      <c r="Y36" s="1018">
        <v>0.5983851793934849</v>
      </c>
      <c r="Z36" s="1082"/>
    </row>
    <row r="37" spans="1:26" ht="12.75" customHeight="1" x14ac:dyDescent="0.2">
      <c r="A37" s="1126" t="s">
        <v>72</v>
      </c>
      <c r="B37" s="1126"/>
      <c r="C37" s="1563">
        <v>4.8863228097271341</v>
      </c>
      <c r="D37" s="951"/>
      <c r="E37" s="907"/>
      <c r="F37" s="920">
        <v>0.2571034379894101</v>
      </c>
      <c r="G37" s="1018">
        <v>0.20656064351868936</v>
      </c>
      <c r="H37" s="1018">
        <v>0.21075116381539877</v>
      </c>
      <c r="I37" s="1018">
        <v>0.25606445959520402</v>
      </c>
      <c r="J37" s="1018">
        <v>0.20824020989213876</v>
      </c>
      <c r="K37" s="1018">
        <v>0.20506731642851242</v>
      </c>
      <c r="L37" s="1018">
        <v>0.26055920950095074</v>
      </c>
      <c r="M37" s="1018">
        <v>0.2291023349043827</v>
      </c>
      <c r="N37" s="1018">
        <v>0.24898182179398032</v>
      </c>
      <c r="O37" s="945"/>
      <c r="P37" s="1018">
        <v>0.23192441956040344</v>
      </c>
      <c r="Q37" s="1018">
        <v>0.22182944304307151</v>
      </c>
      <c r="R37" s="1563">
        <v>1.0094976517331933</v>
      </c>
      <c r="S37" s="951"/>
      <c r="T37" s="1133"/>
      <c r="U37" s="1018">
        <v>0.23192441956040344</v>
      </c>
      <c r="V37" s="1018">
        <v>0.22182944304307151</v>
      </c>
      <c r="W37" s="1018">
        <v>0.27783992985214523</v>
      </c>
      <c r="X37" s="1018">
        <v>0.30348957563211593</v>
      </c>
      <c r="Y37" s="1018">
        <v>0.3187914376211714</v>
      </c>
      <c r="Z37" s="1082"/>
    </row>
    <row r="38" spans="1:26" ht="12.75" customHeight="1" x14ac:dyDescent="0.2">
      <c r="A38" s="1126" t="s">
        <v>73</v>
      </c>
      <c r="B38" s="1126"/>
      <c r="C38" s="1563">
        <v>3.5684855440806351</v>
      </c>
      <c r="D38" s="951"/>
      <c r="E38" s="907"/>
      <c r="F38" s="920">
        <v>0.82890222984562612</v>
      </c>
      <c r="G38" s="1018">
        <v>0.78624405003505404</v>
      </c>
      <c r="H38" s="1018">
        <v>0.78861664016552047</v>
      </c>
      <c r="I38" s="1018">
        <v>0.82472375985808632</v>
      </c>
      <c r="J38" s="1018">
        <v>0.79321737440481976</v>
      </c>
      <c r="K38" s="1018">
        <v>0.77610060295696703</v>
      </c>
      <c r="L38" s="1018">
        <v>0.84882017393472775</v>
      </c>
      <c r="M38" s="1018">
        <v>0.79985372988785963</v>
      </c>
      <c r="N38" s="1018">
        <v>0.86502930366544151</v>
      </c>
      <c r="O38" s="945"/>
      <c r="P38" s="1018">
        <v>0.80661038747546243</v>
      </c>
      <c r="Q38" s="1018">
        <v>0.80032211840219802</v>
      </c>
      <c r="R38" s="1563">
        <v>0.62882690732644075</v>
      </c>
      <c r="S38" s="951"/>
      <c r="T38" s="1133"/>
      <c r="U38" s="1018">
        <v>0.80661038747546243</v>
      </c>
      <c r="V38" s="1018">
        <v>0.80032211840219802</v>
      </c>
      <c r="W38" s="1018">
        <v>0.86795875789919275</v>
      </c>
      <c r="X38" s="1018">
        <v>0.88901929617033859</v>
      </c>
      <c r="Y38" s="1018">
        <v>0.91717661701465625</v>
      </c>
      <c r="Z38" s="1082"/>
    </row>
    <row r="39" spans="1:26" ht="13.5" customHeight="1" x14ac:dyDescent="0.2">
      <c r="A39" s="1128" t="s">
        <v>167</v>
      </c>
      <c r="B39" s="1126"/>
      <c r="C39" s="1563">
        <v>-3.5684855440806325</v>
      </c>
      <c r="D39" s="951"/>
      <c r="E39" s="907"/>
      <c r="F39" s="920">
        <v>0.17109777015437394</v>
      </c>
      <c r="G39" s="1018">
        <v>0.21375594996494593</v>
      </c>
      <c r="H39" s="1018">
        <v>0.21138335983447959</v>
      </c>
      <c r="I39" s="1018">
        <v>0.1752762401419137</v>
      </c>
      <c r="J39" s="1018">
        <v>0.20678262559518026</v>
      </c>
      <c r="K39" s="1018">
        <v>0.22389939704303297</v>
      </c>
      <c r="L39" s="1018">
        <v>0.15117982606527228</v>
      </c>
      <c r="M39" s="1018">
        <v>0.20014627011214042</v>
      </c>
      <c r="N39" s="1018">
        <v>0.13497069633455847</v>
      </c>
      <c r="O39" s="945"/>
      <c r="P39" s="1018">
        <v>0.19338961252453754</v>
      </c>
      <c r="Q39" s="1018">
        <v>0.199677881597802</v>
      </c>
      <c r="R39" s="1563">
        <v>-0.6288269073264463</v>
      </c>
      <c r="S39" s="951"/>
      <c r="T39" s="1133"/>
      <c r="U39" s="1018">
        <v>0.19338961252453754</v>
      </c>
      <c r="V39" s="1018">
        <v>0.199677881597802</v>
      </c>
      <c r="W39" s="1018">
        <v>0.13204124210080731</v>
      </c>
      <c r="X39" s="1018">
        <v>0.1109807038296614</v>
      </c>
      <c r="Y39" s="1018">
        <v>8.2823382985343752E-2</v>
      </c>
      <c r="Z39" s="1082"/>
    </row>
    <row r="40" spans="1:26" ht="12.75" customHeight="1" x14ac:dyDescent="0.2">
      <c r="A40" s="1128" t="s">
        <v>74</v>
      </c>
      <c r="B40" s="1126"/>
      <c r="C40" s="1563">
        <v>-5.5187219197075459</v>
      </c>
      <c r="D40" s="951"/>
      <c r="E40" s="907"/>
      <c r="F40" s="920">
        <v>9.6129465284510399E-2</v>
      </c>
      <c r="G40" s="1018">
        <v>0.16348105235969151</v>
      </c>
      <c r="H40" s="1018">
        <v>0.14695683825360639</v>
      </c>
      <c r="I40" s="1018">
        <v>0.11023958622753212</v>
      </c>
      <c r="J40" s="1018">
        <v>0.15131668448158586</v>
      </c>
      <c r="K40" s="1018">
        <v>0.15482778557859089</v>
      </c>
      <c r="L40" s="1018">
        <v>3.3477759421464415E-2</v>
      </c>
      <c r="M40" s="1018">
        <v>8.5703450891164198E-2</v>
      </c>
      <c r="N40" s="1018">
        <v>3.6207410350650643E-2</v>
      </c>
      <c r="O40" s="1565"/>
      <c r="P40" s="1018">
        <v>0.12979992844226548</v>
      </c>
      <c r="Q40" s="1018">
        <v>0.11559550455347521</v>
      </c>
      <c r="R40" s="1563">
        <v>1.4204423888790272</v>
      </c>
      <c r="S40" s="951"/>
      <c r="T40" s="1299"/>
      <c r="U40" s="1018">
        <v>0.12979992844226548</v>
      </c>
      <c r="V40" s="1018">
        <v>0.11559550455347521</v>
      </c>
      <c r="W40" s="1018">
        <v>1.4845946844858343E-2</v>
      </c>
      <c r="X40" s="1018">
        <v>-7.0743383114002661E-2</v>
      </c>
      <c r="Y40" s="1018">
        <v>-5.6662331756276975E-2</v>
      </c>
      <c r="Z40" s="1082"/>
    </row>
    <row r="41" spans="1:26" ht="12.75" customHeight="1" x14ac:dyDescent="0.2">
      <c r="A41" s="1126"/>
      <c r="B41" s="1126"/>
      <c r="C41" s="998"/>
      <c r="D41" s="951"/>
      <c r="E41" s="907"/>
      <c r="F41" s="907"/>
      <c r="G41" s="951"/>
      <c r="H41" s="951"/>
      <c r="I41" s="951"/>
      <c r="J41" s="951"/>
      <c r="K41" s="951"/>
      <c r="L41" s="951"/>
      <c r="M41" s="951"/>
      <c r="N41" s="951"/>
      <c r="O41" s="1133"/>
      <c r="P41" s="1133"/>
      <c r="Q41" s="1133"/>
      <c r="R41" s="998"/>
      <c r="S41" s="951"/>
      <c r="T41" s="1133"/>
      <c r="U41" s="1133"/>
      <c r="V41" s="1133"/>
      <c r="W41" s="1133"/>
      <c r="X41" s="1133"/>
      <c r="Y41" s="1018"/>
      <c r="Z41" s="1082"/>
    </row>
    <row r="42" spans="1:26" ht="13.5" customHeight="1" x14ac:dyDescent="0.2">
      <c r="A42" s="945" t="s">
        <v>240</v>
      </c>
      <c r="B42" s="1126"/>
      <c r="C42" s="998">
        <v>1406</v>
      </c>
      <c r="D42" s="951">
        <v>0.49946714031971579</v>
      </c>
      <c r="E42" s="907"/>
      <c r="F42" s="912">
        <v>4221</v>
      </c>
      <c r="G42" s="998">
        <v>3954</v>
      </c>
      <c r="H42" s="998">
        <v>4158</v>
      </c>
      <c r="I42" s="998">
        <v>3721</v>
      </c>
      <c r="J42" s="998">
        <v>2815</v>
      </c>
      <c r="K42" s="998">
        <v>2838</v>
      </c>
      <c r="L42" s="998">
        <v>2688</v>
      </c>
      <c r="M42" s="998">
        <v>2647</v>
      </c>
      <c r="N42" s="998">
        <v>2637</v>
      </c>
      <c r="O42" s="1133"/>
      <c r="P42" s="1158">
        <v>4221</v>
      </c>
      <c r="Q42" s="998">
        <v>2815</v>
      </c>
      <c r="R42" s="998">
        <v>1406</v>
      </c>
      <c r="S42" s="951">
        <v>0.49946714031971579</v>
      </c>
      <c r="T42" s="1133"/>
      <c r="U42" s="1186">
        <v>4221</v>
      </c>
      <c r="V42" s="998">
        <v>2815</v>
      </c>
      <c r="W42" s="998">
        <v>2637</v>
      </c>
      <c r="X42" s="998">
        <v>1257</v>
      </c>
      <c r="Y42" s="998">
        <v>1561</v>
      </c>
      <c r="Z42" s="1082"/>
    </row>
    <row r="43" spans="1:26" ht="13.5" customHeight="1" x14ac:dyDescent="0.2">
      <c r="A43" s="953" t="s">
        <v>358</v>
      </c>
      <c r="B43" s="1129"/>
      <c r="C43" s="998">
        <v>5107</v>
      </c>
      <c r="D43" s="951">
        <v>0.32806578017601334</v>
      </c>
      <c r="E43" s="907"/>
      <c r="F43" s="912">
        <v>20674</v>
      </c>
      <c r="G43" s="998">
        <v>18260</v>
      </c>
      <c r="H43" s="998">
        <v>19746</v>
      </c>
      <c r="I43" s="998">
        <v>18921</v>
      </c>
      <c r="J43" s="998">
        <v>15567</v>
      </c>
      <c r="K43" s="998">
        <v>14451</v>
      </c>
      <c r="L43" s="998">
        <v>12801</v>
      </c>
      <c r="M43" s="998">
        <v>12669</v>
      </c>
      <c r="N43" s="998">
        <v>13228</v>
      </c>
      <c r="O43" s="1133"/>
      <c r="P43" s="1158">
        <v>20674</v>
      </c>
      <c r="Q43" s="998">
        <v>15567</v>
      </c>
      <c r="R43" s="998">
        <v>5107</v>
      </c>
      <c r="S43" s="951">
        <v>0.32806578017601334</v>
      </c>
      <c r="T43" s="1133"/>
      <c r="U43" s="1186">
        <v>20674</v>
      </c>
      <c r="V43" s="998">
        <v>15567</v>
      </c>
      <c r="W43" s="998">
        <v>13228</v>
      </c>
      <c r="X43" s="998">
        <v>9192</v>
      </c>
      <c r="Y43" s="998">
        <v>10729</v>
      </c>
      <c r="Z43" s="1082"/>
    </row>
    <row r="44" spans="1:26" ht="12.75" customHeight="1" x14ac:dyDescent="0.2">
      <c r="A44" s="953"/>
      <c r="B44" s="1129"/>
      <c r="C44" s="998"/>
      <c r="D44" s="951"/>
      <c r="E44" s="907"/>
      <c r="F44" s="912"/>
      <c r="G44" s="998"/>
      <c r="H44" s="998"/>
      <c r="I44" s="998"/>
      <c r="J44" s="998"/>
      <c r="K44" s="998"/>
      <c r="L44" s="998"/>
      <c r="M44" s="998"/>
      <c r="N44" s="998"/>
      <c r="O44" s="1133"/>
      <c r="P44" s="1133"/>
      <c r="Q44" s="951"/>
      <c r="R44" s="998"/>
      <c r="S44" s="951"/>
      <c r="T44" s="1133"/>
      <c r="U44" s="1130"/>
      <c r="V44" s="951"/>
      <c r="W44" s="951"/>
      <c r="X44" s="951"/>
      <c r="Y44" s="951"/>
      <c r="Z44" s="1082"/>
    </row>
    <row r="45" spans="1:26" ht="12.75" customHeight="1" x14ac:dyDescent="0.2">
      <c r="A45" s="1128" t="s">
        <v>84</v>
      </c>
      <c r="B45" s="1129"/>
      <c r="C45" s="998">
        <v>51</v>
      </c>
      <c r="D45" s="951">
        <v>0.13456464379947231</v>
      </c>
      <c r="E45" s="907"/>
      <c r="F45" s="912">
        <v>430</v>
      </c>
      <c r="G45" s="998">
        <v>425</v>
      </c>
      <c r="H45" s="998">
        <v>413</v>
      </c>
      <c r="I45" s="998">
        <v>412</v>
      </c>
      <c r="J45" s="998">
        <v>379</v>
      </c>
      <c r="K45" s="998">
        <v>352</v>
      </c>
      <c r="L45" s="998">
        <v>353</v>
      </c>
      <c r="M45" s="998">
        <v>351</v>
      </c>
      <c r="N45" s="998">
        <v>359</v>
      </c>
      <c r="O45" s="1133"/>
      <c r="P45" s="1158">
        <v>430</v>
      </c>
      <c r="Q45" s="998">
        <v>379</v>
      </c>
      <c r="R45" s="998">
        <v>51</v>
      </c>
      <c r="S45" s="951">
        <v>0.13456464379947231</v>
      </c>
      <c r="T45" s="1133"/>
      <c r="U45" s="1186">
        <v>430</v>
      </c>
      <c r="V45" s="998">
        <v>379</v>
      </c>
      <c r="W45" s="998">
        <v>359</v>
      </c>
      <c r="X45" s="998">
        <v>354</v>
      </c>
      <c r="Y45" s="998">
        <v>400</v>
      </c>
      <c r="Z45" s="1082"/>
    </row>
    <row r="46" spans="1:26" ht="13.5" customHeight="1" x14ac:dyDescent="0.2">
      <c r="A46" s="1258" t="s">
        <v>643</v>
      </c>
      <c r="B46" s="1128"/>
      <c r="C46" s="998">
        <v>13</v>
      </c>
      <c r="D46" s="951">
        <v>9.154929577464789E-2</v>
      </c>
      <c r="E46" s="907"/>
      <c r="F46" s="912">
        <v>155</v>
      </c>
      <c r="G46" s="998">
        <v>150</v>
      </c>
      <c r="H46" s="998">
        <v>150</v>
      </c>
      <c r="I46" s="998">
        <v>148</v>
      </c>
      <c r="J46" s="998">
        <v>142</v>
      </c>
      <c r="K46" s="998">
        <v>134</v>
      </c>
      <c r="L46" s="998">
        <v>134</v>
      </c>
      <c r="M46" s="998">
        <v>135</v>
      </c>
      <c r="N46" s="998">
        <v>141</v>
      </c>
      <c r="O46" s="1133"/>
      <c r="P46" s="1158">
        <v>155</v>
      </c>
      <c r="Q46" s="998">
        <v>142</v>
      </c>
      <c r="R46" s="998">
        <v>13</v>
      </c>
      <c r="S46" s="951">
        <v>9.154929577464789E-2</v>
      </c>
      <c r="T46" s="1133"/>
      <c r="U46" s="1186">
        <v>155</v>
      </c>
      <c r="V46" s="998">
        <v>142</v>
      </c>
      <c r="W46" s="998">
        <v>141</v>
      </c>
      <c r="X46" s="998">
        <v>139</v>
      </c>
      <c r="Y46" s="998">
        <v>152</v>
      </c>
      <c r="Z46" s="1082"/>
    </row>
    <row r="47" spans="1:26" ht="12.75" customHeight="1" x14ac:dyDescent="0.2">
      <c r="A47" s="945"/>
      <c r="B47" s="945"/>
      <c r="C47" s="1133"/>
      <c r="D47" s="1133"/>
      <c r="E47" s="1082"/>
      <c r="F47" s="1082"/>
      <c r="G47" s="1133"/>
      <c r="H47" s="1133"/>
      <c r="I47" s="945"/>
      <c r="J47" s="1133"/>
      <c r="K47" s="945"/>
      <c r="L47" s="1133"/>
      <c r="M47" s="945"/>
      <c r="N47" s="1133"/>
      <c r="O47" s="1133"/>
      <c r="P47" s="1133"/>
      <c r="Q47" s="1133"/>
      <c r="R47" s="1133"/>
      <c r="S47" s="1133"/>
      <c r="T47" s="1133"/>
      <c r="U47" s="1166"/>
      <c r="V47" s="1133"/>
      <c r="W47" s="1133"/>
      <c r="X47" s="1133"/>
      <c r="Y47" s="1133"/>
      <c r="Z47" s="1082"/>
    </row>
    <row r="48" spans="1:26" ht="18" customHeight="1" x14ac:dyDescent="0.2">
      <c r="A48" s="1247" t="s">
        <v>622</v>
      </c>
      <c r="B48" s="945"/>
      <c r="C48" s="1118"/>
      <c r="D48" s="1118"/>
      <c r="E48" s="1082"/>
      <c r="F48" s="1082"/>
      <c r="G48" s="1133"/>
      <c r="H48" s="1133"/>
      <c r="I48" s="945"/>
      <c r="J48" s="1133"/>
      <c r="K48" s="945"/>
      <c r="L48" s="1133"/>
      <c r="M48" s="945"/>
      <c r="N48" s="1133"/>
      <c r="O48" s="1118"/>
      <c r="P48" s="1118"/>
      <c r="Q48" s="1118"/>
      <c r="R48" s="1133"/>
      <c r="S48" s="1133"/>
      <c r="T48" s="1118"/>
      <c r="U48" s="1167"/>
      <c r="V48" s="1118"/>
      <c r="W48" s="1118"/>
      <c r="X48" s="1118"/>
      <c r="Y48" s="1118"/>
      <c r="Z48" s="1082"/>
    </row>
    <row r="49" spans="1:26" ht="12.75" customHeight="1" x14ac:dyDescent="0.2">
      <c r="A49" s="1248"/>
      <c r="B49" s="945"/>
      <c r="C49" s="1118"/>
      <c r="D49" s="1118"/>
      <c r="E49" s="1082"/>
      <c r="F49" s="1234"/>
      <c r="G49" s="1305"/>
      <c r="H49" s="1305"/>
      <c r="I49" s="1133"/>
      <c r="J49" s="1305"/>
      <c r="K49" s="1201"/>
      <c r="L49" s="1305"/>
      <c r="M49" s="1133"/>
      <c r="N49" s="1305"/>
      <c r="O49" s="1118"/>
      <c r="P49" s="1118"/>
      <c r="Q49" s="1118"/>
      <c r="R49" s="1133"/>
      <c r="S49" s="1133"/>
      <c r="T49" s="1118"/>
      <c r="U49" s="1118"/>
      <c r="V49" s="1118"/>
      <c r="W49" s="1118"/>
      <c r="X49" s="1118"/>
      <c r="Y49" s="1118"/>
      <c r="Z49" s="1082"/>
    </row>
    <row r="50" spans="1:26" ht="12.75" customHeight="1" x14ac:dyDescent="0.2">
      <c r="A50" s="944"/>
      <c r="B50" s="945"/>
      <c r="C50" s="2306" t="s">
        <v>667</v>
      </c>
      <c r="D50" s="2307"/>
      <c r="E50" s="900"/>
      <c r="F50" s="902"/>
      <c r="G50" s="975"/>
      <c r="H50" s="975"/>
      <c r="I50" s="1143"/>
      <c r="J50" s="975"/>
      <c r="K50" s="975"/>
      <c r="L50" s="975"/>
      <c r="M50" s="1143"/>
      <c r="N50" s="975"/>
      <c r="O50" s="1146"/>
      <c r="P50" s="980" t="s">
        <v>668</v>
      </c>
      <c r="Q50" s="981"/>
      <c r="R50" s="981" t="s">
        <v>551</v>
      </c>
      <c r="S50" s="982"/>
      <c r="T50" s="983"/>
      <c r="U50" s="984"/>
      <c r="V50" s="984"/>
      <c r="W50" s="984"/>
      <c r="X50" s="984"/>
      <c r="Y50" s="984"/>
      <c r="Z50" s="1668"/>
    </row>
    <row r="51" spans="1:26" ht="12.75" customHeight="1" x14ac:dyDescent="0.2">
      <c r="A51" s="944" t="s">
        <v>2</v>
      </c>
      <c r="B51" s="945"/>
      <c r="C51" s="2408" t="s">
        <v>35</v>
      </c>
      <c r="D51" s="2409"/>
      <c r="E51" s="1559"/>
      <c r="F51" s="906" t="s">
        <v>546</v>
      </c>
      <c r="G51" s="985" t="s">
        <v>547</v>
      </c>
      <c r="H51" s="985" t="s">
        <v>548</v>
      </c>
      <c r="I51" s="986" t="s">
        <v>549</v>
      </c>
      <c r="J51" s="985" t="s">
        <v>497</v>
      </c>
      <c r="K51" s="985" t="s">
        <v>496</v>
      </c>
      <c r="L51" s="985" t="s">
        <v>495</v>
      </c>
      <c r="M51" s="986" t="s">
        <v>494</v>
      </c>
      <c r="N51" s="985" t="s">
        <v>363</v>
      </c>
      <c r="O51" s="989"/>
      <c r="P51" s="983" t="s">
        <v>546</v>
      </c>
      <c r="Q51" s="983" t="s">
        <v>497</v>
      </c>
      <c r="R51" s="2310" t="s">
        <v>35</v>
      </c>
      <c r="S51" s="2311"/>
      <c r="T51" s="1203"/>
      <c r="U51" s="987" t="s">
        <v>550</v>
      </c>
      <c r="V51" s="987" t="s">
        <v>498</v>
      </c>
      <c r="W51" s="987" t="s">
        <v>490</v>
      </c>
      <c r="X51" s="987" t="s">
        <v>360</v>
      </c>
      <c r="Y51" s="987" t="s">
        <v>342</v>
      </c>
      <c r="Z51" s="1668"/>
    </row>
    <row r="52" spans="1:26" ht="12.75" customHeight="1" x14ac:dyDescent="0.2">
      <c r="A52" s="1132"/>
      <c r="B52" s="1133" t="s">
        <v>4</v>
      </c>
      <c r="C52" s="1251">
        <v>2181</v>
      </c>
      <c r="D52" s="1135">
        <v>4.2386551355553394E-2</v>
      </c>
      <c r="E52" s="1076"/>
      <c r="F52" s="1087">
        <v>53636</v>
      </c>
      <c r="G52" s="1157">
        <v>54202</v>
      </c>
      <c r="H52" s="1157">
        <v>52199</v>
      </c>
      <c r="I52" s="1320">
        <v>46789</v>
      </c>
      <c r="J52" s="1166">
        <v>51455</v>
      </c>
      <c r="K52" s="1186">
        <v>48428</v>
      </c>
      <c r="L52" s="1157">
        <v>32081</v>
      </c>
      <c r="M52" s="1320">
        <v>36918</v>
      </c>
      <c r="N52" s="1166">
        <v>40268</v>
      </c>
      <c r="O52" s="1113"/>
      <c r="P52" s="1321">
        <v>206826</v>
      </c>
      <c r="Q52" s="1319">
        <v>168882</v>
      </c>
      <c r="R52" s="1591">
        <v>37944</v>
      </c>
      <c r="S52" s="2165">
        <v>0.22467758553309411</v>
      </c>
      <c r="T52" s="1118"/>
      <c r="U52" s="2252">
        <v>206826</v>
      </c>
      <c r="V52" s="1532">
        <v>168882</v>
      </c>
      <c r="W52" s="1532">
        <v>132292</v>
      </c>
      <c r="X52" s="1532">
        <v>108208</v>
      </c>
      <c r="Y52" s="1532">
        <v>125339</v>
      </c>
      <c r="Z52" s="1668"/>
    </row>
    <row r="53" spans="1:26" ht="12.75" customHeight="1" x14ac:dyDescent="0.2">
      <c r="A53" s="1118"/>
      <c r="B53" s="1133" t="s">
        <v>77</v>
      </c>
      <c r="C53" s="1134">
        <v>4312</v>
      </c>
      <c r="D53" s="1017">
        <v>0.10740528557551</v>
      </c>
      <c r="E53" s="1968"/>
      <c r="F53" s="1094">
        <v>44459</v>
      </c>
      <c r="G53" s="1179">
        <v>42616</v>
      </c>
      <c r="H53" s="1179">
        <v>41165</v>
      </c>
      <c r="I53" s="1189">
        <v>38588</v>
      </c>
      <c r="J53" s="1186">
        <v>40147</v>
      </c>
      <c r="K53" s="1186">
        <v>37585</v>
      </c>
      <c r="L53" s="1179">
        <v>27231</v>
      </c>
      <c r="M53" s="1189">
        <v>29529</v>
      </c>
      <c r="N53" s="1186">
        <v>34833</v>
      </c>
      <c r="O53" s="1113"/>
      <c r="P53" s="1311">
        <v>166828</v>
      </c>
      <c r="Q53" s="1157">
        <v>134492</v>
      </c>
      <c r="R53" s="998">
        <v>32336</v>
      </c>
      <c r="S53" s="1207">
        <v>0.2404306575855813</v>
      </c>
      <c r="T53" s="1118"/>
      <c r="U53" s="1588">
        <v>166828</v>
      </c>
      <c r="V53" s="1532">
        <v>134492</v>
      </c>
      <c r="W53" s="1532">
        <v>114824</v>
      </c>
      <c r="X53" s="1532">
        <v>96034</v>
      </c>
      <c r="Y53" s="1532">
        <v>114958</v>
      </c>
      <c r="Z53" s="1668"/>
    </row>
    <row r="54" spans="1:26" ht="12.75" customHeight="1" x14ac:dyDescent="0.2">
      <c r="A54" s="1118"/>
      <c r="B54" s="1242" t="s">
        <v>313</v>
      </c>
      <c r="C54" s="1134">
        <v>1167</v>
      </c>
      <c r="D54" s="1017">
        <v>0.40889978976874564</v>
      </c>
      <c r="E54" s="1968"/>
      <c r="F54" s="1094">
        <v>4021</v>
      </c>
      <c r="G54" s="1179">
        <v>2725</v>
      </c>
      <c r="H54" s="1179">
        <v>3363</v>
      </c>
      <c r="I54" s="1189">
        <v>3043</v>
      </c>
      <c r="J54" s="1186">
        <v>2854</v>
      </c>
      <c r="K54" s="1186">
        <v>3345</v>
      </c>
      <c r="L54" s="1179">
        <v>3776</v>
      </c>
      <c r="M54" s="1189">
        <v>4225</v>
      </c>
      <c r="N54" s="1186">
        <v>3977</v>
      </c>
      <c r="O54" s="1113"/>
      <c r="P54" s="1311">
        <v>13152</v>
      </c>
      <c r="Q54" s="1157">
        <v>14200</v>
      </c>
      <c r="R54" s="998">
        <v>-1048</v>
      </c>
      <c r="S54" s="1207">
        <v>-7.3802816901408455E-2</v>
      </c>
      <c r="T54" s="1118"/>
      <c r="U54" s="1588">
        <v>13152</v>
      </c>
      <c r="V54" s="1532">
        <v>14200</v>
      </c>
      <c r="W54" s="1532">
        <v>15504</v>
      </c>
      <c r="X54" s="1532">
        <v>19664</v>
      </c>
      <c r="Y54" s="1532">
        <v>17483</v>
      </c>
      <c r="Z54" s="1668"/>
    </row>
    <row r="55" spans="1:26" x14ac:dyDescent="0.2">
      <c r="A55" s="1118"/>
      <c r="B55" s="1242" t="s">
        <v>69</v>
      </c>
      <c r="C55" s="1136">
        <v>-3298</v>
      </c>
      <c r="D55" s="1117">
        <v>-0.39011118996924532</v>
      </c>
      <c r="E55" s="1968"/>
      <c r="F55" s="1106">
        <v>5156</v>
      </c>
      <c r="G55" s="1212">
        <v>8861</v>
      </c>
      <c r="H55" s="1212">
        <v>7671</v>
      </c>
      <c r="I55" s="1171">
        <v>5158</v>
      </c>
      <c r="J55" s="1212">
        <v>8454</v>
      </c>
      <c r="K55" s="1212">
        <v>7498</v>
      </c>
      <c r="L55" s="1212">
        <v>1074</v>
      </c>
      <c r="M55" s="1171">
        <v>3164</v>
      </c>
      <c r="N55" s="1212">
        <v>1458</v>
      </c>
      <c r="O55" s="1323"/>
      <c r="P55" s="1705">
        <v>26846</v>
      </c>
      <c r="Q55" s="1173">
        <v>20190</v>
      </c>
      <c r="R55" s="1211">
        <v>6656</v>
      </c>
      <c r="S55" s="1216">
        <v>0.3296681525507677</v>
      </c>
      <c r="T55" s="1118"/>
      <c r="U55" s="1581">
        <v>26846</v>
      </c>
      <c r="V55" s="1190">
        <v>20190</v>
      </c>
      <c r="W55" s="1190">
        <v>1964</v>
      </c>
      <c r="X55" s="1190">
        <v>-7490</v>
      </c>
      <c r="Y55" s="1581">
        <v>-7102</v>
      </c>
      <c r="Z55" s="1668"/>
    </row>
    <row r="56" spans="1:26" ht="12.75" customHeight="1" x14ac:dyDescent="0.2">
      <c r="A56" s="1118"/>
      <c r="B56" s="1133"/>
      <c r="C56" s="999"/>
      <c r="D56" s="957"/>
      <c r="E56" s="926"/>
      <c r="F56" s="926"/>
      <c r="G56" s="957"/>
      <c r="H56" s="957"/>
      <c r="I56" s="957"/>
      <c r="J56" s="957"/>
      <c r="K56" s="957"/>
      <c r="L56" s="957"/>
      <c r="M56" s="957"/>
      <c r="N56" s="957"/>
      <c r="O56" s="1133"/>
      <c r="P56" s="1133"/>
      <c r="Q56" s="1133"/>
      <c r="R56" s="999"/>
      <c r="S56" s="957"/>
      <c r="T56" s="1133"/>
      <c r="U56" s="1133"/>
      <c r="V56" s="1133"/>
      <c r="W56" s="1133"/>
      <c r="X56" s="1133"/>
      <c r="Y56" s="1133"/>
      <c r="Z56" s="1082"/>
    </row>
    <row r="57" spans="1:26" ht="12.75" customHeight="1" x14ac:dyDescent="0.2">
      <c r="A57" s="1118"/>
      <c r="B57" s="1128" t="s">
        <v>627</v>
      </c>
      <c r="C57" s="1563">
        <v>-1.3178372656465043</v>
      </c>
      <c r="D57" s="957"/>
      <c r="E57" s="926"/>
      <c r="F57" s="926">
        <v>0.57179879185621596</v>
      </c>
      <c r="G57" s="957">
        <v>0.57968340651636474</v>
      </c>
      <c r="H57" s="957">
        <v>0.57786547635012164</v>
      </c>
      <c r="I57" s="957">
        <v>0.56865930026288225</v>
      </c>
      <c r="J57" s="957">
        <v>0.584977164512681</v>
      </c>
      <c r="K57" s="957">
        <v>0.57103328652845464</v>
      </c>
      <c r="L57" s="957">
        <v>0.58826096443377696</v>
      </c>
      <c r="M57" s="957">
        <v>0.57075139498347693</v>
      </c>
      <c r="N57" s="957">
        <v>0.61604748187146119</v>
      </c>
      <c r="O57" s="1133"/>
      <c r="P57" s="957">
        <v>0.57468596791505899</v>
      </c>
      <c r="Q57" s="957">
        <v>0.57849267535912652</v>
      </c>
      <c r="R57" s="1563">
        <v>-0.38067074440675253</v>
      </c>
      <c r="S57" s="957"/>
      <c r="T57" s="1133"/>
      <c r="U57" s="957">
        <v>0.57468596791505899</v>
      </c>
      <c r="V57" s="957">
        <v>0.57849267535912652</v>
      </c>
      <c r="W57" s="957">
        <v>0.59011882804704741</v>
      </c>
      <c r="X57" s="957">
        <v>0.58552972053822272</v>
      </c>
      <c r="Y57" s="957">
        <v>0.5983851793934849</v>
      </c>
      <c r="Z57" s="1082"/>
    </row>
    <row r="58" spans="1:26" ht="12.75" customHeight="1" x14ac:dyDescent="0.2">
      <c r="A58" s="1118"/>
      <c r="B58" s="1128" t="s">
        <v>72</v>
      </c>
      <c r="C58" s="1563">
        <v>6.1845445568848438</v>
      </c>
      <c r="D58" s="957"/>
      <c r="E58" s="926"/>
      <c r="F58" s="926">
        <v>0.2571034379894101</v>
      </c>
      <c r="G58" s="957">
        <v>0.20656064351868936</v>
      </c>
      <c r="H58" s="957">
        <v>0.21075116381539877</v>
      </c>
      <c r="I58" s="957">
        <v>0.25606445959520402</v>
      </c>
      <c r="J58" s="957">
        <v>0.19525799242056166</v>
      </c>
      <c r="K58" s="957">
        <v>0.20506731642851242</v>
      </c>
      <c r="L58" s="957">
        <v>0.26055920950095074</v>
      </c>
      <c r="M58" s="957">
        <v>0.2291023349043827</v>
      </c>
      <c r="N58" s="957">
        <v>0.24898182179398032</v>
      </c>
      <c r="O58" s="1133"/>
      <c r="P58" s="957">
        <v>0.23192441956040344</v>
      </c>
      <c r="Q58" s="957">
        <v>0.21787401854549329</v>
      </c>
      <c r="R58" s="1563">
        <v>1.4050401014910148</v>
      </c>
      <c r="S58" s="957"/>
      <c r="T58" s="1133"/>
      <c r="U58" s="957">
        <v>0.23192441956040344</v>
      </c>
      <c r="V58" s="957">
        <v>0.21787401854549329</v>
      </c>
      <c r="W58" s="957">
        <v>0.27783992985214523</v>
      </c>
      <c r="X58" s="957">
        <v>0.30196473458524326</v>
      </c>
      <c r="Y58" s="957">
        <v>0.3187914376211714</v>
      </c>
      <c r="Z58" s="1082"/>
    </row>
    <row r="59" spans="1:26" ht="12.75" customHeight="1" x14ac:dyDescent="0.2">
      <c r="A59" s="1118"/>
      <c r="B59" s="1128" t="s">
        <v>73</v>
      </c>
      <c r="C59" s="1563">
        <v>4.866707291238348</v>
      </c>
      <c r="D59" s="957"/>
      <c r="E59" s="926"/>
      <c r="F59" s="926">
        <v>0.82890222984562612</v>
      </c>
      <c r="G59" s="957">
        <v>0.78624405003505404</v>
      </c>
      <c r="H59" s="957">
        <v>0.78861664016552047</v>
      </c>
      <c r="I59" s="957">
        <v>0.82472375985808632</v>
      </c>
      <c r="J59" s="957">
        <v>0.78023515693324264</v>
      </c>
      <c r="K59" s="957">
        <v>0.77610060295696703</v>
      </c>
      <c r="L59" s="957">
        <v>0.84882017393472775</v>
      </c>
      <c r="M59" s="957">
        <v>0.79985372988785963</v>
      </c>
      <c r="N59" s="957">
        <v>0.86502930366544151</v>
      </c>
      <c r="O59" s="1133"/>
      <c r="P59" s="957">
        <v>0.80661038747546243</v>
      </c>
      <c r="Q59" s="957">
        <v>0.79636669390461978</v>
      </c>
      <c r="R59" s="1563">
        <v>1.0243693570842649</v>
      </c>
      <c r="S59" s="957"/>
      <c r="T59" s="1133"/>
      <c r="U59" s="957">
        <v>0.80661038747546243</v>
      </c>
      <c r="V59" s="957">
        <v>0.79636669390461978</v>
      </c>
      <c r="W59" s="957">
        <v>0.86795875789919275</v>
      </c>
      <c r="X59" s="957">
        <v>0.88749445512346592</v>
      </c>
      <c r="Y59" s="957">
        <v>0.91717661701465625</v>
      </c>
      <c r="Z59" s="1082"/>
    </row>
    <row r="60" spans="1:26" ht="12.75" customHeight="1" x14ac:dyDescent="0.2">
      <c r="A60" s="1118"/>
      <c r="B60" s="1128" t="s">
        <v>74</v>
      </c>
      <c r="C60" s="1563">
        <v>-6.8169436668652565</v>
      </c>
      <c r="D60" s="957"/>
      <c r="E60" s="926"/>
      <c r="F60" s="926">
        <v>9.6129465284510399E-2</v>
      </c>
      <c r="G60" s="957">
        <v>0.16348105235969151</v>
      </c>
      <c r="H60" s="957">
        <v>0.14695683825360639</v>
      </c>
      <c r="I60" s="957">
        <v>0.11023958622753212</v>
      </c>
      <c r="J60" s="957">
        <v>0.16429890195316296</v>
      </c>
      <c r="K60" s="957">
        <v>0.15482778557859089</v>
      </c>
      <c r="L60" s="957">
        <v>3.3477759421464415E-2</v>
      </c>
      <c r="M60" s="957">
        <v>8.5703450891164198E-2</v>
      </c>
      <c r="N60" s="957">
        <v>3.6207410350650643E-2</v>
      </c>
      <c r="O60" s="1133"/>
      <c r="P60" s="957">
        <v>0.12979992844226548</v>
      </c>
      <c r="Q60" s="957">
        <v>0.1195509290510534</v>
      </c>
      <c r="R60" s="1563">
        <v>1.0248999391212086</v>
      </c>
      <c r="S60" s="957"/>
      <c r="T60" s="1133"/>
      <c r="U60" s="957">
        <v>0.12979992844226548</v>
      </c>
      <c r="V60" s="957">
        <v>0.1195509290510534</v>
      </c>
      <c r="W60" s="957">
        <v>1.4845946844858343E-2</v>
      </c>
      <c r="X60" s="957">
        <v>-6.9218542067129976E-2</v>
      </c>
      <c r="Y60" s="957">
        <v>-5.6662331756276975E-2</v>
      </c>
      <c r="Z60" s="1082"/>
    </row>
    <row r="61" spans="1:26" ht="12.75" customHeight="1" x14ac:dyDescent="0.2">
      <c r="A61" s="1118"/>
      <c r="B61" s="1128"/>
      <c r="C61" s="1563"/>
      <c r="D61" s="957"/>
      <c r="E61" s="926"/>
      <c r="F61" s="926"/>
      <c r="G61" s="957"/>
      <c r="H61" s="957"/>
      <c r="I61" s="957"/>
      <c r="J61" s="957"/>
      <c r="K61" s="957"/>
      <c r="L61" s="957"/>
      <c r="M61" s="957"/>
      <c r="N61" s="957"/>
      <c r="O61" s="1133"/>
      <c r="P61" s="1133"/>
      <c r="Q61" s="1133"/>
      <c r="R61" s="1563"/>
      <c r="S61" s="957"/>
      <c r="T61" s="1133"/>
      <c r="U61" s="1018"/>
      <c r="V61" s="1018"/>
      <c r="W61" s="1018"/>
      <c r="X61" s="1018"/>
      <c r="Y61" s="1018"/>
      <c r="Z61" s="1082"/>
    </row>
    <row r="62" spans="1:26" ht="12.75" customHeight="1" x14ac:dyDescent="0.2">
      <c r="A62" s="1247" t="s">
        <v>177</v>
      </c>
      <c r="B62" s="1128"/>
      <c r="C62" s="1133"/>
      <c r="D62" s="1133"/>
      <c r="E62" s="1082"/>
      <c r="F62" s="1082"/>
      <c r="G62" s="1133"/>
      <c r="H62" s="1133"/>
      <c r="I62" s="1133"/>
      <c r="J62" s="1133"/>
      <c r="K62" s="945"/>
      <c r="L62" s="1133"/>
      <c r="M62" s="1133"/>
      <c r="N62" s="1133"/>
      <c r="O62" s="1133"/>
      <c r="P62" s="1133"/>
      <c r="Q62" s="1133"/>
      <c r="R62" s="1133"/>
      <c r="S62" s="1133"/>
      <c r="T62" s="1133"/>
      <c r="U62" s="1133"/>
      <c r="V62" s="1133"/>
      <c r="W62" s="1133"/>
      <c r="X62" s="1133"/>
      <c r="Y62" s="1133"/>
      <c r="Z62" s="1082"/>
    </row>
    <row r="63" spans="1:26" ht="12.75" customHeight="1" x14ac:dyDescent="0.2">
      <c r="C63" s="2306" t="s">
        <v>667</v>
      </c>
      <c r="D63" s="2307"/>
      <c r="E63" s="900"/>
      <c r="F63" s="902"/>
      <c r="G63" s="975"/>
      <c r="H63" s="975"/>
      <c r="I63" s="1143"/>
      <c r="J63" s="975"/>
      <c r="K63" s="975"/>
      <c r="L63" s="975"/>
      <c r="M63" s="1143"/>
      <c r="N63" s="975"/>
      <c r="O63" s="1146"/>
      <c r="P63" s="980" t="s">
        <v>668</v>
      </c>
      <c r="Q63" s="981"/>
      <c r="R63" s="981" t="s">
        <v>551</v>
      </c>
      <c r="S63" s="982"/>
      <c r="T63" s="1133"/>
      <c r="U63" s="984"/>
      <c r="V63" s="984"/>
      <c r="W63" s="984"/>
      <c r="X63" s="984"/>
      <c r="Y63" s="984"/>
      <c r="Z63" s="1668"/>
    </row>
    <row r="64" spans="1:26" ht="12.75" customHeight="1" x14ac:dyDescent="0.2">
      <c r="C64" s="2308" t="s">
        <v>35</v>
      </c>
      <c r="D64" s="2309"/>
      <c r="E64" s="1559"/>
      <c r="F64" s="906" t="s">
        <v>546</v>
      </c>
      <c r="G64" s="985" t="s">
        <v>547</v>
      </c>
      <c r="H64" s="985" t="s">
        <v>548</v>
      </c>
      <c r="I64" s="986" t="s">
        <v>549</v>
      </c>
      <c r="J64" s="985" t="s">
        <v>497</v>
      </c>
      <c r="K64" s="985" t="s">
        <v>496</v>
      </c>
      <c r="L64" s="985" t="s">
        <v>495</v>
      </c>
      <c r="M64" s="986" t="s">
        <v>494</v>
      </c>
      <c r="N64" s="985" t="s">
        <v>363</v>
      </c>
      <c r="O64" s="989"/>
      <c r="P64" s="985" t="s">
        <v>546</v>
      </c>
      <c r="Q64" s="985" t="s">
        <v>497</v>
      </c>
      <c r="R64" s="2304" t="s">
        <v>35</v>
      </c>
      <c r="S64" s="2305"/>
      <c r="T64" s="1133"/>
      <c r="U64" s="987" t="s">
        <v>550</v>
      </c>
      <c r="V64" s="987" t="s">
        <v>498</v>
      </c>
      <c r="W64" s="987" t="s">
        <v>490</v>
      </c>
      <c r="X64" s="987" t="s">
        <v>360</v>
      </c>
      <c r="Y64" s="987" t="s">
        <v>342</v>
      </c>
      <c r="Z64" s="1668"/>
    </row>
    <row r="65" spans="1:26" ht="12.75" customHeight="1" x14ac:dyDescent="0.2">
      <c r="A65" s="1118"/>
      <c r="B65" s="945" t="s">
        <v>609</v>
      </c>
      <c r="C65" s="1251">
        <v>4210</v>
      </c>
      <c r="D65" s="1135">
        <v>0.13834576583089614</v>
      </c>
      <c r="E65" s="1081"/>
      <c r="F65" s="1083">
        <v>34641</v>
      </c>
      <c r="G65" s="1186">
        <v>33870</v>
      </c>
      <c r="H65" s="1186">
        <v>31729</v>
      </c>
      <c r="I65" s="1165">
        <v>31736</v>
      </c>
      <c r="J65" s="1179">
        <v>30431</v>
      </c>
      <c r="K65" s="1179">
        <v>29164</v>
      </c>
      <c r="L65" s="1186">
        <v>23321</v>
      </c>
      <c r="M65" s="1165">
        <v>26223</v>
      </c>
      <c r="N65" s="1179">
        <v>27567</v>
      </c>
      <c r="O65" s="1152"/>
      <c r="P65" s="1166">
        <v>131976</v>
      </c>
      <c r="Q65" s="1166">
        <v>109139</v>
      </c>
      <c r="R65" s="1186">
        <v>22837</v>
      </c>
      <c r="S65" s="1207">
        <v>0.20924692364782524</v>
      </c>
      <c r="T65" s="1133"/>
      <c r="U65" s="1532">
        <v>131976</v>
      </c>
      <c r="V65" s="1532">
        <v>109139</v>
      </c>
      <c r="W65" s="1532">
        <v>94838</v>
      </c>
      <c r="X65" s="1532">
        <v>86265</v>
      </c>
      <c r="Y65" s="1532">
        <v>93628</v>
      </c>
      <c r="Z65" s="1668"/>
    </row>
    <row r="66" spans="1:26" ht="12.75" customHeight="1" x14ac:dyDescent="0.2">
      <c r="A66" s="1118"/>
      <c r="B66" s="945" t="s">
        <v>610</v>
      </c>
      <c r="C66" s="1134">
        <v>-3687</v>
      </c>
      <c r="D66" s="1017">
        <v>-0.22071236156839269</v>
      </c>
      <c r="E66" s="1081"/>
      <c r="F66" s="1083">
        <v>13018</v>
      </c>
      <c r="G66" s="1186">
        <v>14579</v>
      </c>
      <c r="H66" s="1186">
        <v>12400</v>
      </c>
      <c r="I66" s="1165">
        <v>10529</v>
      </c>
      <c r="J66" s="1179">
        <v>16705</v>
      </c>
      <c r="K66" s="1179">
        <v>16431</v>
      </c>
      <c r="L66" s="1186">
        <v>5964</v>
      </c>
      <c r="M66" s="1165">
        <v>8275</v>
      </c>
      <c r="N66" s="1179">
        <v>9802</v>
      </c>
      <c r="O66" s="1152"/>
      <c r="P66" s="1166">
        <v>50526</v>
      </c>
      <c r="Q66" s="1166">
        <v>47375</v>
      </c>
      <c r="R66" s="1166">
        <v>3151</v>
      </c>
      <c r="S66" s="1207">
        <v>6.6511873350923484E-2</v>
      </c>
      <c r="T66" s="1133"/>
      <c r="U66" s="1532">
        <v>50526</v>
      </c>
      <c r="V66" s="1532">
        <v>47375</v>
      </c>
      <c r="W66" s="1532">
        <v>27209</v>
      </c>
      <c r="X66" s="1532">
        <v>11633</v>
      </c>
      <c r="Y66" s="1532">
        <v>20855</v>
      </c>
      <c r="Z66" s="1668"/>
    </row>
    <row r="67" spans="1:26" ht="12.75" customHeight="1" x14ac:dyDescent="0.2">
      <c r="A67" s="1118"/>
      <c r="B67" s="945" t="s">
        <v>611</v>
      </c>
      <c r="C67" s="1134">
        <v>82</v>
      </c>
      <c r="D67" s="1017" t="s">
        <v>38</v>
      </c>
      <c r="E67" s="1081"/>
      <c r="F67" s="1083">
        <v>82</v>
      </c>
      <c r="G67" s="1186">
        <v>649</v>
      </c>
      <c r="H67" s="1186">
        <v>480</v>
      </c>
      <c r="I67" s="1165">
        <v>273</v>
      </c>
      <c r="J67" s="1186">
        <v>0</v>
      </c>
      <c r="K67" s="1186">
        <v>-140</v>
      </c>
      <c r="L67" s="1186">
        <v>140</v>
      </c>
      <c r="M67" s="1165">
        <v>0</v>
      </c>
      <c r="N67" s="1042">
        <v>0</v>
      </c>
      <c r="O67" s="1156"/>
      <c r="P67" s="1166">
        <v>1484</v>
      </c>
      <c r="Q67" s="1166">
        <v>0</v>
      </c>
      <c r="R67" s="1166">
        <v>1484</v>
      </c>
      <c r="S67" s="1208" t="s">
        <v>38</v>
      </c>
      <c r="T67" s="1158"/>
      <c r="U67" s="1532">
        <v>1484</v>
      </c>
      <c r="V67" s="1532">
        <v>0</v>
      </c>
      <c r="W67" s="1532">
        <v>466</v>
      </c>
      <c r="X67" s="1532">
        <v>8</v>
      </c>
      <c r="Y67" s="1532">
        <v>87</v>
      </c>
      <c r="Z67" s="1668"/>
    </row>
    <row r="68" spans="1:26" ht="12.75" customHeight="1" x14ac:dyDescent="0.2">
      <c r="A68" s="1118"/>
      <c r="B68" s="945" t="s">
        <v>612</v>
      </c>
      <c r="C68" s="1134">
        <v>37</v>
      </c>
      <c r="D68" s="1017">
        <v>1.5416666666666667</v>
      </c>
      <c r="E68" s="1081"/>
      <c r="F68" s="1083">
        <v>61</v>
      </c>
      <c r="G68" s="1186">
        <v>53</v>
      </c>
      <c r="H68" s="1186">
        <v>-28</v>
      </c>
      <c r="I68" s="1165">
        <v>14</v>
      </c>
      <c r="J68" s="1186">
        <v>24</v>
      </c>
      <c r="K68" s="1186">
        <v>23</v>
      </c>
      <c r="L68" s="1186">
        <v>102</v>
      </c>
      <c r="M68" s="1165">
        <v>52</v>
      </c>
      <c r="N68" s="1186">
        <v>114</v>
      </c>
      <c r="O68" s="1152"/>
      <c r="P68" s="1166">
        <v>100</v>
      </c>
      <c r="Q68" s="1166">
        <v>201</v>
      </c>
      <c r="R68" s="1166">
        <v>-101</v>
      </c>
      <c r="S68" s="1208">
        <v>-0.50248756218905477</v>
      </c>
      <c r="T68" s="1133"/>
      <c r="U68" s="1532">
        <v>100</v>
      </c>
      <c r="V68" s="1532">
        <v>201</v>
      </c>
      <c r="W68" s="1532">
        <v>520</v>
      </c>
      <c r="X68" s="1532">
        <v>239</v>
      </c>
      <c r="Y68" s="1532">
        <v>261</v>
      </c>
      <c r="Z68" s="1668"/>
    </row>
    <row r="69" spans="1:26" ht="12.75" customHeight="1" x14ac:dyDescent="0.2">
      <c r="A69" s="1118"/>
      <c r="B69" s="945" t="s">
        <v>613</v>
      </c>
      <c r="C69" s="1134">
        <v>1345</v>
      </c>
      <c r="D69" s="1017">
        <v>0.38951636258326094</v>
      </c>
      <c r="E69" s="1081"/>
      <c r="F69" s="1083">
        <v>4798</v>
      </c>
      <c r="G69" s="1186">
        <v>4797</v>
      </c>
      <c r="H69" s="1186">
        <v>7354</v>
      </c>
      <c r="I69" s="1165">
        <v>4037</v>
      </c>
      <c r="J69" s="1179">
        <v>3453</v>
      </c>
      <c r="K69" s="1179">
        <v>2736</v>
      </c>
      <c r="L69" s="1186">
        <v>2355</v>
      </c>
      <c r="M69" s="1165">
        <v>2099</v>
      </c>
      <c r="N69" s="1179">
        <v>2058</v>
      </c>
      <c r="O69" s="1152"/>
      <c r="P69" s="1166">
        <v>20986</v>
      </c>
      <c r="Q69" s="1166">
        <v>10643</v>
      </c>
      <c r="R69" s="1166">
        <v>10343</v>
      </c>
      <c r="S69" s="1207">
        <v>0.97181245889316925</v>
      </c>
      <c r="T69" s="1133"/>
      <c r="U69" s="1532">
        <v>20986</v>
      </c>
      <c r="V69" s="1532">
        <v>10643</v>
      </c>
      <c r="W69" s="1532">
        <v>7694</v>
      </c>
      <c r="X69" s="1532">
        <v>8133</v>
      </c>
      <c r="Y69" s="1532">
        <v>8730</v>
      </c>
      <c r="Z69" s="1668"/>
    </row>
    <row r="70" spans="1:26" ht="12.75" customHeight="1" x14ac:dyDescent="0.2">
      <c r="A70" s="1248"/>
      <c r="B70" s="945" t="s">
        <v>614</v>
      </c>
      <c r="C70" s="1134">
        <v>194</v>
      </c>
      <c r="D70" s="1017">
        <v>0.23040380047505937</v>
      </c>
      <c r="E70" s="1235"/>
      <c r="F70" s="1083">
        <v>1036</v>
      </c>
      <c r="G70" s="1212">
        <v>254</v>
      </c>
      <c r="H70" s="1212">
        <v>264</v>
      </c>
      <c r="I70" s="1165">
        <v>200</v>
      </c>
      <c r="J70" s="1210">
        <v>842</v>
      </c>
      <c r="K70" s="1210">
        <v>214</v>
      </c>
      <c r="L70" s="1212">
        <v>199</v>
      </c>
      <c r="M70" s="1165">
        <v>269</v>
      </c>
      <c r="N70" s="1210">
        <v>727</v>
      </c>
      <c r="O70" s="1152"/>
      <c r="P70" s="1166">
        <v>1754</v>
      </c>
      <c r="Q70" s="1166">
        <v>1524</v>
      </c>
      <c r="R70" s="1172">
        <v>230</v>
      </c>
      <c r="S70" s="1216">
        <v>0.15091863517060367</v>
      </c>
      <c r="T70" s="1118"/>
      <c r="U70" s="1532">
        <v>1754</v>
      </c>
      <c r="V70" s="1532">
        <v>1524</v>
      </c>
      <c r="W70" s="1532">
        <v>1565</v>
      </c>
      <c r="X70" s="1532">
        <v>1930</v>
      </c>
      <c r="Y70" s="1532">
        <v>1778</v>
      </c>
      <c r="Z70" s="1668"/>
    </row>
    <row r="71" spans="1:26" ht="12.75" customHeight="1" x14ac:dyDescent="0.2">
      <c r="A71" s="1248"/>
      <c r="B71" s="945"/>
      <c r="C71" s="1249">
        <v>2181</v>
      </c>
      <c r="D71" s="1115">
        <v>4.2386551355553394E-2</v>
      </c>
      <c r="E71" s="1078"/>
      <c r="F71" s="1098">
        <v>53636</v>
      </c>
      <c r="G71" s="1197">
        <v>54202</v>
      </c>
      <c r="H71" s="1197">
        <v>52199</v>
      </c>
      <c r="I71" s="1314">
        <v>46789</v>
      </c>
      <c r="J71" s="1197">
        <v>51455</v>
      </c>
      <c r="K71" s="1192">
        <v>48428</v>
      </c>
      <c r="L71" s="1197">
        <v>32081</v>
      </c>
      <c r="M71" s="1314">
        <v>36918</v>
      </c>
      <c r="N71" s="1197">
        <v>40268</v>
      </c>
      <c r="O71" s="1146"/>
      <c r="P71" s="1313">
        <v>206826</v>
      </c>
      <c r="Q71" s="1313">
        <v>168882</v>
      </c>
      <c r="R71" s="1316">
        <v>37944</v>
      </c>
      <c r="S71" s="1250">
        <v>0.22467758553309411</v>
      </c>
      <c r="U71" s="2253">
        <v>206826</v>
      </c>
      <c r="V71" s="1318">
        <v>168882</v>
      </c>
      <c r="W71" s="1318">
        <v>132292</v>
      </c>
      <c r="X71" s="1318">
        <v>108208</v>
      </c>
      <c r="Y71" s="1315">
        <v>125339</v>
      </c>
      <c r="Z71" s="1668"/>
    </row>
    <row r="72" spans="1:26" ht="12.75" customHeight="1" x14ac:dyDescent="0.2">
      <c r="A72" s="945" t="s">
        <v>339</v>
      </c>
      <c r="B72" s="969"/>
      <c r="C72" s="969"/>
      <c r="D72" s="969"/>
      <c r="E72" s="937"/>
      <c r="F72" s="937"/>
      <c r="G72" s="969"/>
      <c r="H72" s="969"/>
      <c r="I72" s="969"/>
      <c r="J72" s="969"/>
      <c r="K72" s="969"/>
      <c r="L72" s="969"/>
      <c r="M72" s="969"/>
      <c r="N72" s="969"/>
      <c r="O72" s="1109"/>
      <c r="P72" s="1109"/>
      <c r="Q72" s="1109"/>
      <c r="R72" s="1118"/>
      <c r="S72" s="1118"/>
      <c r="Z72" s="1075"/>
    </row>
    <row r="73" spans="1:26" x14ac:dyDescent="0.2">
      <c r="A73" s="968" t="s">
        <v>25</v>
      </c>
      <c r="B73" s="1109"/>
      <c r="C73" s="1109"/>
      <c r="D73" s="1109"/>
      <c r="G73" s="1186"/>
      <c r="I73" s="1140"/>
      <c r="O73" s="998"/>
      <c r="P73" s="998"/>
      <c r="Q73" s="998"/>
      <c r="R73" s="998"/>
      <c r="S73" s="998"/>
      <c r="T73" s="998"/>
      <c r="U73" s="998"/>
      <c r="Z73" s="1075"/>
    </row>
    <row r="74" spans="1:26" x14ac:dyDescent="0.2">
      <c r="A74" s="940"/>
      <c r="C74" s="1577"/>
      <c r="G74" s="1186"/>
      <c r="I74" s="1140"/>
      <c r="Z74" s="1075"/>
    </row>
    <row r="75" spans="1:26" x14ac:dyDescent="0.2">
      <c r="A75" s="945" t="s">
        <v>552</v>
      </c>
      <c r="C75" s="1578"/>
      <c r="G75" s="1186"/>
      <c r="I75" s="1140"/>
      <c r="Z75" s="1075"/>
    </row>
    <row r="76" spans="1:26" x14ac:dyDescent="0.2">
      <c r="A76" s="940"/>
      <c r="C76" s="1577"/>
      <c r="G76" s="1186"/>
      <c r="I76" s="1140"/>
    </row>
    <row r="77" spans="1:26" x14ac:dyDescent="0.2">
      <c r="A77" s="945"/>
      <c r="G77" s="1186"/>
      <c r="I77" s="1140"/>
      <c r="R77" s="1219"/>
    </row>
    <row r="78" spans="1:26" x14ac:dyDescent="0.2">
      <c r="G78" s="1186"/>
      <c r="I78" s="1140"/>
      <c r="O78" s="1109"/>
      <c r="P78" s="1109"/>
      <c r="Q78" s="1109"/>
    </row>
    <row r="79" spans="1:26" x14ac:dyDescent="0.2">
      <c r="G79" s="1186"/>
      <c r="I79" s="1140"/>
      <c r="O79" s="1109"/>
      <c r="P79" s="1109"/>
      <c r="Q79" s="1109"/>
      <c r="V79" s="1219"/>
      <c r="W79" s="1219"/>
      <c r="X79" s="1219"/>
      <c r="Y79" s="1219"/>
    </row>
    <row r="80" spans="1:26" x14ac:dyDescent="0.2">
      <c r="G80" s="1186"/>
      <c r="I80" s="1140"/>
      <c r="O80" s="1109"/>
      <c r="P80" s="1109"/>
      <c r="Q80" s="1109"/>
      <c r="V80" s="1219"/>
      <c r="W80" s="1219"/>
      <c r="X80" s="1219"/>
      <c r="Y80" s="1219"/>
    </row>
    <row r="81" spans="5:25" x14ac:dyDescent="0.2">
      <c r="E81" s="1074"/>
      <c r="F81" s="1074"/>
      <c r="G81" s="1108"/>
      <c r="H81" s="1108"/>
      <c r="I81" s="1140"/>
      <c r="J81" s="1108"/>
      <c r="K81" s="939"/>
      <c r="L81" s="1108"/>
      <c r="M81" s="1108"/>
      <c r="N81" s="1108"/>
      <c r="O81" s="1109"/>
      <c r="P81" s="1109"/>
      <c r="Q81" s="1109"/>
    </row>
    <row r="82" spans="5:25" x14ac:dyDescent="0.2">
      <c r="E82" s="1074"/>
      <c r="F82" s="1074"/>
      <c r="G82" s="1108"/>
      <c r="H82" s="1108"/>
      <c r="I82" s="1140"/>
      <c r="J82" s="1108"/>
      <c r="K82" s="939"/>
      <c r="L82" s="1108"/>
      <c r="M82" s="1108"/>
      <c r="N82" s="1108"/>
      <c r="O82" s="1109"/>
      <c r="P82" s="1109"/>
      <c r="Q82" s="1109"/>
      <c r="V82" s="1219"/>
      <c r="W82" s="1219"/>
      <c r="X82" s="1219"/>
      <c r="Y82" s="1219"/>
    </row>
    <row r="83" spans="5:25" x14ac:dyDescent="0.2">
      <c r="E83" s="1074"/>
      <c r="F83" s="1074"/>
      <c r="G83" s="1108"/>
      <c r="H83" s="1108"/>
      <c r="I83" s="1140"/>
      <c r="J83" s="1108"/>
      <c r="K83" s="939"/>
      <c r="L83" s="1108"/>
      <c r="M83" s="1108"/>
      <c r="N83" s="1108"/>
      <c r="O83" s="1109"/>
      <c r="P83" s="1109"/>
      <c r="Q83" s="1109"/>
      <c r="V83" s="1219"/>
      <c r="W83" s="1219"/>
      <c r="X83" s="1219"/>
      <c r="Y83" s="1219"/>
    </row>
    <row r="84" spans="5:25" x14ac:dyDescent="0.2">
      <c r="E84" s="1074"/>
      <c r="F84" s="1074"/>
      <c r="G84" s="1108"/>
      <c r="H84" s="1108"/>
      <c r="I84" s="1140"/>
      <c r="J84" s="1108"/>
      <c r="K84" s="939"/>
      <c r="L84" s="1108"/>
      <c r="M84" s="1108"/>
      <c r="N84" s="1108"/>
      <c r="O84" s="1109"/>
      <c r="P84" s="1109"/>
      <c r="Q84" s="1109"/>
      <c r="V84" s="1219"/>
      <c r="W84" s="1219"/>
      <c r="X84" s="1219"/>
      <c r="Y84" s="1219"/>
    </row>
    <row r="85" spans="5:25" x14ac:dyDescent="0.2">
      <c r="E85" s="1074"/>
      <c r="F85" s="1074"/>
      <c r="G85" s="1108"/>
      <c r="H85" s="1108"/>
      <c r="I85" s="1108"/>
      <c r="J85" s="1108"/>
      <c r="K85" s="939"/>
      <c r="L85" s="1108"/>
      <c r="M85" s="1108"/>
      <c r="N85" s="1108"/>
      <c r="O85" s="1109"/>
      <c r="P85" s="1109"/>
      <c r="Q85" s="1109"/>
      <c r="V85" s="1219"/>
      <c r="W85" s="1219"/>
      <c r="X85" s="1219"/>
      <c r="Y85" s="1219"/>
    </row>
    <row r="86" spans="5:25" x14ac:dyDescent="0.2">
      <c r="E86" s="1074"/>
      <c r="F86" s="1074"/>
      <c r="G86" s="1108"/>
      <c r="H86" s="1108"/>
      <c r="I86" s="1108"/>
      <c r="J86" s="1108"/>
      <c r="K86" s="939"/>
      <c r="L86" s="1108"/>
      <c r="M86" s="1108"/>
      <c r="N86" s="1108"/>
      <c r="O86" s="1109"/>
      <c r="P86" s="1109"/>
      <c r="Q86" s="1109"/>
      <c r="V86" s="1219"/>
      <c r="W86" s="1219"/>
      <c r="X86" s="1219"/>
      <c r="Y86" s="1219"/>
    </row>
    <row r="87" spans="5:25" x14ac:dyDescent="0.2">
      <c r="E87" s="1074"/>
      <c r="F87" s="1074"/>
      <c r="G87" s="1108"/>
      <c r="H87" s="1108"/>
      <c r="I87" s="1108"/>
      <c r="J87" s="1108"/>
      <c r="K87" s="939"/>
      <c r="L87" s="1108"/>
      <c r="M87" s="1108"/>
      <c r="N87" s="1108"/>
      <c r="O87" s="1109"/>
      <c r="P87" s="1109"/>
      <c r="Q87" s="1109"/>
      <c r="V87" s="1219"/>
      <c r="W87" s="1219"/>
      <c r="X87" s="1219"/>
      <c r="Y87" s="1219"/>
    </row>
    <row r="88" spans="5:25" x14ac:dyDescent="0.2">
      <c r="E88" s="1074"/>
      <c r="F88" s="1074"/>
      <c r="G88" s="1108"/>
      <c r="H88" s="1108"/>
      <c r="I88" s="1108"/>
      <c r="J88" s="1108"/>
      <c r="K88" s="939"/>
      <c r="L88" s="1108"/>
      <c r="M88" s="1108"/>
      <c r="N88" s="1108"/>
      <c r="O88" s="1109"/>
      <c r="P88" s="1109"/>
      <c r="Q88" s="1109"/>
      <c r="V88" s="1219"/>
      <c r="W88" s="1219"/>
      <c r="X88" s="1219"/>
      <c r="Y88" s="1219"/>
    </row>
    <row r="89" spans="5:25" x14ac:dyDescent="0.2">
      <c r="E89" s="1074"/>
      <c r="F89" s="1074"/>
      <c r="G89" s="1108"/>
      <c r="H89" s="1108"/>
      <c r="I89" s="1108"/>
      <c r="J89" s="1108"/>
      <c r="K89" s="939"/>
      <c r="L89" s="1108"/>
      <c r="M89" s="1108"/>
      <c r="N89" s="1108"/>
      <c r="O89" s="1109"/>
      <c r="P89" s="1109"/>
      <c r="Q89" s="1109"/>
    </row>
    <row r="90" spans="5:25" x14ac:dyDescent="0.2">
      <c r="E90" s="1074"/>
      <c r="F90" s="1074"/>
      <c r="G90" s="1108"/>
      <c r="H90" s="1108"/>
      <c r="I90" s="1108"/>
      <c r="J90" s="1108"/>
      <c r="K90" s="939"/>
      <c r="L90" s="1108"/>
      <c r="M90" s="1108"/>
      <c r="N90" s="1108"/>
      <c r="O90" s="1109"/>
      <c r="P90" s="1109"/>
      <c r="Q90" s="1109"/>
      <c r="R90" s="998"/>
      <c r="S90" s="951"/>
      <c r="V90" s="1219"/>
      <c r="W90" s="1219"/>
      <c r="X90" s="1219"/>
      <c r="Y90" s="1219"/>
    </row>
    <row r="91" spans="5:25" x14ac:dyDescent="0.2">
      <c r="O91" s="1109"/>
      <c r="P91" s="1109"/>
      <c r="Q91" s="1109"/>
      <c r="V91" s="1219"/>
      <c r="W91" s="1219"/>
      <c r="X91" s="1219"/>
      <c r="Y91" s="1219"/>
    </row>
    <row r="92" spans="5:25" x14ac:dyDescent="0.2">
      <c r="O92" s="1109"/>
      <c r="P92" s="1109"/>
      <c r="Q92" s="1109"/>
      <c r="V92" s="1219"/>
      <c r="W92" s="1219"/>
      <c r="X92" s="1219"/>
      <c r="Y92" s="1219"/>
    </row>
    <row r="93" spans="5:25" x14ac:dyDescent="0.2">
      <c r="O93" s="1109"/>
      <c r="P93" s="1109"/>
      <c r="Q93" s="1109"/>
      <c r="V93" s="1219"/>
      <c r="W93" s="1219"/>
      <c r="X93" s="1219"/>
      <c r="Y93" s="1219"/>
    </row>
    <row r="94" spans="5:25" x14ac:dyDescent="0.2">
      <c r="O94" s="1109"/>
      <c r="P94" s="1109"/>
      <c r="Q94" s="1109"/>
      <c r="V94" s="1219"/>
      <c r="W94" s="1219"/>
      <c r="X94" s="1219"/>
      <c r="Y94" s="1219"/>
    </row>
  </sheetData>
  <mergeCells count="10">
    <mergeCell ref="C10:D10"/>
    <mergeCell ref="C11:D11"/>
    <mergeCell ref="R11:S11"/>
    <mergeCell ref="C63:D63"/>
    <mergeCell ref="C64:D64"/>
    <mergeCell ref="R64:S64"/>
    <mergeCell ref="A30:B30"/>
    <mergeCell ref="C50:D50"/>
    <mergeCell ref="C51:D51"/>
    <mergeCell ref="R51:S51"/>
  </mergeCells>
  <conditionalFormatting sqref="A62 A70:A71 A48:A49 A35:A38 A41 A33 P34:Q40 W35:Y40 K35:N40 J35:J36 V35:V36 F35:I40 U34:U40 B33:B44">
    <cfRule type="cellIs" dxfId="46" priority="77" stopIfTrue="1" operator="equal">
      <formula>0</formula>
    </cfRule>
  </conditionalFormatting>
  <conditionalFormatting sqref="Y34">
    <cfRule type="cellIs" dxfId="45" priority="68" stopIfTrue="1" operator="equal">
      <formula>0</formula>
    </cfRule>
  </conditionalFormatting>
  <conditionalFormatting sqref="Y61 Y44 Y41">
    <cfRule type="cellIs" dxfId="44" priority="67" stopIfTrue="1" operator="equal">
      <formula>0</formula>
    </cfRule>
  </conditionalFormatting>
  <conditionalFormatting sqref="X34">
    <cfRule type="cellIs" dxfId="43" priority="57" stopIfTrue="1" operator="equal">
      <formula>0</formula>
    </cfRule>
  </conditionalFormatting>
  <conditionalFormatting sqref="X61 X44">
    <cfRule type="cellIs" dxfId="42" priority="56" stopIfTrue="1" operator="equal">
      <formula>0</formula>
    </cfRule>
  </conditionalFormatting>
  <conditionalFormatting sqref="N34">
    <cfRule type="cellIs" dxfId="41" priority="50" stopIfTrue="1" operator="equal">
      <formula>0</formula>
    </cfRule>
  </conditionalFormatting>
  <conditionalFormatting sqref="N34">
    <cfRule type="cellIs" dxfId="40" priority="48" stopIfTrue="1" operator="equal">
      <formula>0</formula>
    </cfRule>
  </conditionalFormatting>
  <conditionalFormatting sqref="W34">
    <cfRule type="cellIs" dxfId="39" priority="47" stopIfTrue="1" operator="equal">
      <formula>0</formula>
    </cfRule>
  </conditionalFormatting>
  <conditionalFormatting sqref="W61 W44">
    <cfRule type="cellIs" dxfId="38" priority="46" stopIfTrue="1" operator="equal">
      <formula>0</formula>
    </cfRule>
  </conditionalFormatting>
  <conditionalFormatting sqref="K34:M34">
    <cfRule type="cellIs" dxfId="37" priority="41" stopIfTrue="1" operator="equal">
      <formula>0</formula>
    </cfRule>
  </conditionalFormatting>
  <conditionalFormatting sqref="M34">
    <cfRule type="cellIs" dxfId="36" priority="39" stopIfTrue="1" operator="equal">
      <formula>0</formula>
    </cfRule>
  </conditionalFormatting>
  <conditionalFormatting sqref="K34:L34">
    <cfRule type="cellIs" dxfId="35" priority="37" stopIfTrue="1" operator="equal">
      <formula>0</formula>
    </cfRule>
  </conditionalFormatting>
  <conditionalFormatting sqref="J34">
    <cfRule type="cellIs" dxfId="34" priority="36" stopIfTrue="1" operator="equal">
      <formula>0</formula>
    </cfRule>
  </conditionalFormatting>
  <conditionalFormatting sqref="J38:J40">
    <cfRule type="cellIs" dxfId="33" priority="35" stopIfTrue="1" operator="equal">
      <formula>0</formula>
    </cfRule>
  </conditionalFormatting>
  <conditionalFormatting sqref="J34">
    <cfRule type="cellIs" dxfId="32" priority="34" stopIfTrue="1" operator="equal">
      <formula>0</formula>
    </cfRule>
  </conditionalFormatting>
  <conditionalFormatting sqref="V38:V40">
    <cfRule type="cellIs" dxfId="31" priority="30" stopIfTrue="1" operator="equal">
      <formula>0</formula>
    </cfRule>
  </conditionalFormatting>
  <conditionalFormatting sqref="V34">
    <cfRule type="cellIs" dxfId="30" priority="32" stopIfTrue="1" operator="equal">
      <formula>0</formula>
    </cfRule>
  </conditionalFormatting>
  <conditionalFormatting sqref="V61 V44">
    <cfRule type="cellIs" dxfId="29" priority="31" stopIfTrue="1" operator="equal">
      <formula>0</formula>
    </cfRule>
  </conditionalFormatting>
  <conditionalFormatting sqref="B57">
    <cfRule type="cellIs" dxfId="28" priority="29" stopIfTrue="1" operator="equal">
      <formula>0</formula>
    </cfRule>
  </conditionalFormatting>
  <conditionalFormatting sqref="F34 H34:I34">
    <cfRule type="cellIs" dxfId="27" priority="20" stopIfTrue="1" operator="equal">
      <formula>0</formula>
    </cfRule>
  </conditionalFormatting>
  <conditionalFormatting sqref="J37">
    <cfRule type="cellIs" dxfId="26" priority="19" stopIfTrue="1" operator="equal">
      <formula>0</formula>
    </cfRule>
  </conditionalFormatting>
  <conditionalFormatting sqref="F34 H34:I34">
    <cfRule type="cellIs" dxfId="25" priority="18" stopIfTrue="1" operator="equal">
      <formula>0</formula>
    </cfRule>
  </conditionalFormatting>
  <conditionalFormatting sqref="V37">
    <cfRule type="cellIs" dxfId="24" priority="16" stopIfTrue="1" operator="equal">
      <formula>0</formula>
    </cfRule>
  </conditionalFormatting>
  <conditionalFormatting sqref="G34">
    <cfRule type="cellIs" dxfId="23" priority="9" stopIfTrue="1" operator="equal">
      <formula>0</formula>
    </cfRule>
  </conditionalFormatting>
  <conditionalFormatting sqref="G34">
    <cfRule type="cellIs" dxfId="22" priority="7" stopIfTrue="1" operator="equal">
      <formula>0</formula>
    </cfRule>
  </conditionalFormatting>
  <conditionalFormatting sqref="U61 U44">
    <cfRule type="cellIs" dxfId="21" priority="5" stopIfTrue="1" operator="equal">
      <formula>0</formula>
    </cfRule>
  </conditionalFormatting>
  <conditionalFormatting sqref="U45:U46 U42:U43">
    <cfRule type="cellIs" dxfId="20" priority="2" stopIfTrue="1" operator="equal">
      <formula>0</formula>
    </cfRule>
  </conditionalFormatting>
  <conditionalFormatting sqref="Q44">
    <cfRule type="cellIs" dxfId="19" priority="1" stopIfTrue="1" operator="equal">
      <formula>0</formula>
    </cfRule>
  </conditionalFormatting>
  <printOptions horizontalCentered="1" verticalCentered="1"/>
  <pageMargins left="0" right="0" top="0" bottom="0" header="0" footer="0"/>
  <pageSetup scale="59" orientation="landscape" r:id="rId1"/>
  <headerFooter alignWithMargins="0">
    <oddFooter>&amp;L&amp;F&amp;CPage 10</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pageSetUpPr fitToPage="1"/>
  </sheetPr>
  <dimension ref="A1:Z97"/>
  <sheetViews>
    <sheetView topLeftCell="A43" zoomScale="110" zoomScaleNormal="110" workbookViewId="0">
      <selection activeCell="J10" sqref="J10"/>
    </sheetView>
  </sheetViews>
  <sheetFormatPr defaultColWidth="9.140625" defaultRowHeight="12.75" x14ac:dyDescent="0.2"/>
  <cols>
    <col min="1" max="1" width="2.7109375" style="1108" customWidth="1"/>
    <col min="2" max="2" width="52" style="1108" customWidth="1"/>
    <col min="3" max="3" width="12.28515625" style="1108" customWidth="1"/>
    <col min="4" max="4" width="9.7109375" style="1108" customWidth="1"/>
    <col min="5" max="5" width="1.5703125" style="1075" customWidth="1"/>
    <col min="6" max="6" width="9.28515625" style="1075" customWidth="1"/>
    <col min="7" max="8" width="10.42578125" style="1109" customWidth="1"/>
    <col min="9" max="9" width="10.7109375" style="1109" customWidth="1"/>
    <col min="10" max="10" width="9.28515625" style="1109" customWidth="1"/>
    <col min="11" max="11" width="9.28515625" style="940" customWidth="1"/>
    <col min="12" max="14" width="9.28515625" style="1109" customWidth="1"/>
    <col min="15" max="15" width="2.140625" style="1109" customWidth="1"/>
    <col min="16" max="17" width="10" style="1108" hidden="1" customWidth="1"/>
    <col min="18" max="18" width="10" style="1108" customWidth="1"/>
    <col min="19" max="19" width="9.7109375" style="1108" customWidth="1"/>
    <col min="20" max="20" width="1.5703125" style="1108" customWidth="1"/>
    <col min="21" max="25" width="9.5703125" style="1108" customWidth="1"/>
    <col min="26" max="26" width="1.5703125" style="1074" customWidth="1"/>
    <col min="27" max="16384" width="9.140625" style="1104"/>
  </cols>
  <sheetData>
    <row r="1" spans="1:26" ht="6" customHeight="1" x14ac:dyDescent="0.2"/>
    <row r="5" spans="1:26" ht="18.75" customHeight="1" x14ac:dyDescent="0.2">
      <c r="A5" s="1109"/>
      <c r="B5" s="1109"/>
      <c r="C5" s="1109"/>
      <c r="D5" s="1109"/>
    </row>
    <row r="6" spans="1:26" ht="18" customHeight="1" x14ac:dyDescent="0.2">
      <c r="A6" s="1110" t="s">
        <v>340</v>
      </c>
      <c r="B6" s="1109"/>
      <c r="C6" s="1109"/>
      <c r="D6" s="1109"/>
      <c r="I6" s="1253"/>
      <c r="V6" s="1219"/>
      <c r="W6" s="1219"/>
      <c r="X6" s="1219"/>
      <c r="Y6" s="1219"/>
    </row>
    <row r="7" spans="1:26" ht="18" customHeight="1" x14ac:dyDescent="0.2">
      <c r="A7" s="1111" t="s">
        <v>264</v>
      </c>
      <c r="B7" s="942"/>
      <c r="C7" s="942"/>
      <c r="D7" s="942"/>
      <c r="E7" s="898"/>
      <c r="F7" s="898"/>
      <c r="G7" s="942"/>
      <c r="H7" s="942"/>
      <c r="I7" s="942"/>
      <c r="J7" s="942"/>
      <c r="K7" s="942"/>
      <c r="L7" s="942"/>
      <c r="M7" s="942"/>
      <c r="N7" s="942"/>
      <c r="V7" s="1219"/>
      <c r="W7" s="1219"/>
      <c r="X7" s="1219"/>
      <c r="Y7" s="1219"/>
    </row>
    <row r="8" spans="1:26" ht="15" x14ac:dyDescent="0.2">
      <c r="A8" s="943" t="s">
        <v>518</v>
      </c>
      <c r="B8" s="942"/>
      <c r="C8" s="942"/>
      <c r="D8" s="942"/>
      <c r="E8" s="898"/>
      <c r="F8" s="898"/>
      <c r="G8" s="942"/>
      <c r="H8" s="942"/>
      <c r="I8" s="942"/>
      <c r="J8" s="942"/>
      <c r="K8" s="942"/>
      <c r="L8" s="942"/>
      <c r="M8" s="942"/>
      <c r="N8" s="942"/>
      <c r="V8" s="1219"/>
      <c r="W8" s="1219"/>
      <c r="X8" s="1219"/>
      <c r="Y8" s="1219"/>
    </row>
    <row r="9" spans="1:26" ht="9.75" customHeight="1" x14ac:dyDescent="0.2">
      <c r="A9" s="940"/>
      <c r="B9" s="940"/>
      <c r="C9" s="940"/>
      <c r="D9" s="940"/>
      <c r="E9" s="896"/>
      <c r="F9" s="896"/>
      <c r="G9" s="940"/>
      <c r="H9" s="940"/>
      <c r="I9" s="940"/>
      <c r="J9" s="940"/>
      <c r="L9" s="940"/>
      <c r="M9" s="940"/>
      <c r="N9" s="940"/>
      <c r="R9" s="1142"/>
      <c r="S9" s="1142"/>
    </row>
    <row r="10" spans="1:26" x14ac:dyDescent="0.2">
      <c r="A10" s="944" t="s">
        <v>1</v>
      </c>
      <c r="B10" s="945"/>
      <c r="C10" s="2306" t="s">
        <v>667</v>
      </c>
      <c r="D10" s="2307"/>
      <c r="E10" s="900"/>
      <c r="F10" s="902"/>
      <c r="G10" s="975"/>
      <c r="H10" s="975"/>
      <c r="I10" s="976"/>
      <c r="J10" s="975"/>
      <c r="K10" s="975"/>
      <c r="L10" s="975"/>
      <c r="M10" s="976"/>
      <c r="N10" s="975"/>
      <c r="O10" s="979"/>
      <c r="P10" s="981" t="s">
        <v>668</v>
      </c>
      <c r="Q10" s="981"/>
      <c r="R10" s="981" t="s">
        <v>551</v>
      </c>
      <c r="S10" s="982"/>
      <c r="T10" s="983"/>
      <c r="U10" s="984"/>
      <c r="V10" s="984"/>
      <c r="W10" s="984"/>
      <c r="X10" s="984"/>
      <c r="Y10" s="984"/>
      <c r="Z10" s="1079"/>
    </row>
    <row r="11" spans="1:26" ht="13.5" x14ac:dyDescent="0.2">
      <c r="A11" s="944" t="s">
        <v>2</v>
      </c>
      <c r="B11" s="945"/>
      <c r="C11" s="2308" t="s">
        <v>35</v>
      </c>
      <c r="D11" s="2305"/>
      <c r="E11" s="905"/>
      <c r="F11" s="906" t="s">
        <v>546</v>
      </c>
      <c r="G11" s="985" t="s">
        <v>547</v>
      </c>
      <c r="H11" s="985" t="s">
        <v>548</v>
      </c>
      <c r="I11" s="986" t="s">
        <v>549</v>
      </c>
      <c r="J11" s="985" t="s">
        <v>497</v>
      </c>
      <c r="K11" s="985" t="s">
        <v>496</v>
      </c>
      <c r="L11" s="985" t="s">
        <v>495</v>
      </c>
      <c r="M11" s="986" t="s">
        <v>494</v>
      </c>
      <c r="N11" s="985" t="s">
        <v>363</v>
      </c>
      <c r="O11" s="989"/>
      <c r="P11" s="985" t="s">
        <v>546</v>
      </c>
      <c r="Q11" s="985" t="s">
        <v>497</v>
      </c>
      <c r="R11" s="2304" t="s">
        <v>35</v>
      </c>
      <c r="S11" s="2305"/>
      <c r="T11" s="990"/>
      <c r="U11" s="987" t="s">
        <v>550</v>
      </c>
      <c r="V11" s="987" t="s">
        <v>498</v>
      </c>
      <c r="W11" s="987" t="s">
        <v>490</v>
      </c>
      <c r="X11" s="987" t="s">
        <v>360</v>
      </c>
      <c r="Y11" s="988" t="s">
        <v>342</v>
      </c>
      <c r="Z11" s="1079"/>
    </row>
    <row r="12" spans="1:26" x14ac:dyDescent="0.2">
      <c r="A12" s="944"/>
      <c r="B12" s="945"/>
      <c r="C12" s="2166"/>
      <c r="D12" s="1112"/>
      <c r="E12" s="905"/>
      <c r="F12" s="1080"/>
      <c r="G12" s="1148"/>
      <c r="H12" s="1148"/>
      <c r="I12" s="1149"/>
      <c r="J12" s="1148"/>
      <c r="K12" s="1148"/>
      <c r="L12" s="1148"/>
      <c r="M12" s="1149"/>
      <c r="N12" s="1148"/>
      <c r="O12" s="989"/>
      <c r="P12" s="1148"/>
      <c r="Q12" s="1148"/>
      <c r="R12" s="975"/>
      <c r="S12" s="976"/>
      <c r="T12" s="990"/>
      <c r="U12" s="1150"/>
      <c r="V12" s="1150"/>
      <c r="W12" s="1150"/>
      <c r="X12" s="1150"/>
      <c r="Y12" s="1151"/>
      <c r="Z12" s="904"/>
    </row>
    <row r="13" spans="1:26" x14ac:dyDescent="0.2">
      <c r="A13" s="946" t="s">
        <v>56</v>
      </c>
      <c r="B13" s="947"/>
      <c r="C13" s="1889"/>
      <c r="D13" s="1036"/>
      <c r="E13" s="918"/>
      <c r="F13" s="899"/>
      <c r="G13" s="945"/>
      <c r="H13" s="945"/>
      <c r="I13" s="1036"/>
      <c r="J13" s="945"/>
      <c r="K13" s="945"/>
      <c r="L13" s="945"/>
      <c r="M13" s="1036"/>
      <c r="N13" s="945"/>
      <c r="O13" s="1016"/>
      <c r="P13" s="945"/>
      <c r="Q13" s="945"/>
      <c r="R13" s="945"/>
      <c r="S13" s="1036"/>
      <c r="T13" s="945"/>
      <c r="U13" s="1016"/>
      <c r="V13" s="1016"/>
      <c r="W13" s="1016"/>
      <c r="X13" s="1016"/>
      <c r="Y13" s="1016"/>
      <c r="Z13" s="904"/>
    </row>
    <row r="14" spans="1:26" ht="12.75" customHeight="1" x14ac:dyDescent="0.2">
      <c r="A14" s="945"/>
      <c r="B14" s="953" t="s">
        <v>232</v>
      </c>
      <c r="C14" s="955">
        <v>-1429</v>
      </c>
      <c r="D14" s="1017">
        <v>-2.2010689586125103E-2</v>
      </c>
      <c r="E14" s="917"/>
      <c r="F14" s="1086">
        <v>63494</v>
      </c>
      <c r="G14" s="1130">
        <v>61777</v>
      </c>
      <c r="H14" s="1130">
        <v>63927</v>
      </c>
      <c r="I14" s="1283">
        <v>65787</v>
      </c>
      <c r="J14" s="1130">
        <v>64923</v>
      </c>
      <c r="K14" s="1130">
        <v>60945</v>
      </c>
      <c r="L14" s="1130">
        <v>37482</v>
      </c>
      <c r="M14" s="1283">
        <v>38033</v>
      </c>
      <c r="N14" s="1130">
        <v>33065</v>
      </c>
      <c r="O14" s="1016"/>
      <c r="P14" s="1179">
        <v>254985</v>
      </c>
      <c r="Q14" s="999">
        <v>201383</v>
      </c>
      <c r="R14" s="998">
        <v>53602</v>
      </c>
      <c r="S14" s="1208">
        <v>0.26616943833392093</v>
      </c>
      <c r="T14" s="1126"/>
      <c r="U14" s="1945">
        <v>254985</v>
      </c>
      <c r="V14" s="1945">
        <v>201383</v>
      </c>
      <c r="W14" s="1479">
        <v>134819</v>
      </c>
      <c r="X14" s="1706">
        <v>138359</v>
      </c>
      <c r="Y14" s="1945">
        <v>125551</v>
      </c>
      <c r="Z14" s="899"/>
    </row>
    <row r="15" spans="1:26" ht="12.75" customHeight="1" x14ac:dyDescent="0.2">
      <c r="A15" s="947"/>
      <c r="B15" s="945"/>
      <c r="C15" s="1114">
        <v>-1429</v>
      </c>
      <c r="D15" s="1115">
        <v>-2.2010689586125103E-2</v>
      </c>
      <c r="E15" s="917"/>
      <c r="F15" s="1085">
        <v>63494</v>
      </c>
      <c r="G15" s="1160">
        <v>61777</v>
      </c>
      <c r="H15" s="1160">
        <v>63927</v>
      </c>
      <c r="I15" s="1161">
        <v>65787</v>
      </c>
      <c r="J15" s="1160">
        <v>64923</v>
      </c>
      <c r="K15" s="1160">
        <v>60945</v>
      </c>
      <c r="L15" s="1160">
        <v>37482</v>
      </c>
      <c r="M15" s="1161">
        <v>38033</v>
      </c>
      <c r="N15" s="1160">
        <v>33065</v>
      </c>
      <c r="O15" s="1016"/>
      <c r="P15" s="1160">
        <v>254985</v>
      </c>
      <c r="Q15" s="1580">
        <v>201383</v>
      </c>
      <c r="R15" s="1269">
        <v>53602</v>
      </c>
      <c r="S15" s="1115">
        <v>0.26616943833392093</v>
      </c>
      <c r="T15" s="1126"/>
      <c r="U15" s="1949">
        <v>254985</v>
      </c>
      <c r="V15" s="1264">
        <v>201383</v>
      </c>
      <c r="W15" s="1268">
        <v>134819</v>
      </c>
      <c r="X15" s="1264">
        <v>138359</v>
      </c>
      <c r="Y15" s="1264">
        <v>125551</v>
      </c>
      <c r="Z15" s="899"/>
    </row>
    <row r="16" spans="1:26" ht="12.75" customHeight="1" x14ac:dyDescent="0.2">
      <c r="A16" s="946" t="s">
        <v>5</v>
      </c>
      <c r="B16" s="945"/>
      <c r="C16" s="955"/>
      <c r="D16" s="1017"/>
      <c r="E16" s="917"/>
      <c r="F16" s="2259"/>
      <c r="G16" s="2260"/>
      <c r="H16" s="2260"/>
      <c r="I16" s="2261"/>
      <c r="J16" s="1153"/>
      <c r="K16" s="1153"/>
      <c r="L16" s="1153"/>
      <c r="M16" s="1175"/>
      <c r="N16" s="1153"/>
      <c r="O16" s="1016"/>
      <c r="P16" s="1179"/>
      <c r="Q16" s="999"/>
      <c r="R16" s="998"/>
      <c r="S16" s="1017"/>
      <c r="T16" s="1126"/>
      <c r="U16" s="2255"/>
      <c r="V16" s="1284"/>
      <c r="W16" s="1948"/>
      <c r="X16" s="1284"/>
      <c r="Y16" s="1284"/>
      <c r="Z16" s="899"/>
    </row>
    <row r="17" spans="1:26" ht="12.75" customHeight="1" x14ac:dyDescent="0.2">
      <c r="A17" s="947"/>
      <c r="B17" s="1126" t="s">
        <v>640</v>
      </c>
      <c r="C17" s="955">
        <v>-3528</v>
      </c>
      <c r="D17" s="1017">
        <v>-0.1311280431146627</v>
      </c>
      <c r="E17" s="917"/>
      <c r="F17" s="1083">
        <v>23377</v>
      </c>
      <c r="G17" s="1153">
        <v>22360</v>
      </c>
      <c r="H17" s="1153">
        <v>24373</v>
      </c>
      <c r="I17" s="1175">
        <v>25895</v>
      </c>
      <c r="J17" s="1153">
        <v>26905</v>
      </c>
      <c r="K17" s="1153">
        <v>23912</v>
      </c>
      <c r="L17" s="1153">
        <v>13890</v>
      </c>
      <c r="M17" s="1175">
        <v>12596</v>
      </c>
      <c r="N17" s="1153">
        <v>11827</v>
      </c>
      <c r="O17" s="1016"/>
      <c r="P17" s="1206">
        <v>96005</v>
      </c>
      <c r="Q17" s="1179">
        <v>77303</v>
      </c>
      <c r="R17" s="998">
        <v>18702</v>
      </c>
      <c r="S17" s="1017">
        <v>0.24193110228581038</v>
      </c>
      <c r="T17" s="1126"/>
      <c r="U17" s="1945">
        <v>96005</v>
      </c>
      <c r="V17" s="1256">
        <v>77303</v>
      </c>
      <c r="W17" s="1271">
        <v>47639</v>
      </c>
      <c r="X17" s="1256">
        <v>50146</v>
      </c>
      <c r="Y17" s="1256">
        <v>45407</v>
      </c>
      <c r="Z17" s="899"/>
    </row>
    <row r="18" spans="1:26" ht="12.75" customHeight="1" x14ac:dyDescent="0.2">
      <c r="A18" s="947"/>
      <c r="B18" s="953" t="s">
        <v>61</v>
      </c>
      <c r="C18" s="955">
        <v>586</v>
      </c>
      <c r="D18" s="1017">
        <v>4.918583179452745E-2</v>
      </c>
      <c r="E18" s="917"/>
      <c r="F18" s="1083">
        <v>12500</v>
      </c>
      <c r="G18" s="1153">
        <v>12292</v>
      </c>
      <c r="H18" s="1153">
        <v>11983</v>
      </c>
      <c r="I18" s="1175">
        <v>12047</v>
      </c>
      <c r="J18" s="1153">
        <v>11914</v>
      </c>
      <c r="K18" s="1153">
        <v>11055</v>
      </c>
      <c r="L18" s="1153">
        <v>6866</v>
      </c>
      <c r="M18" s="1175">
        <v>6379</v>
      </c>
      <c r="N18" s="1153">
        <v>5588</v>
      </c>
      <c r="O18" s="1016"/>
      <c r="P18" s="1206">
        <v>48822</v>
      </c>
      <c r="Q18" s="999">
        <v>36214</v>
      </c>
      <c r="R18" s="998">
        <v>12608</v>
      </c>
      <c r="S18" s="1017">
        <v>0.34815264814712543</v>
      </c>
      <c r="T18" s="1126"/>
      <c r="U18" s="1945">
        <v>48822</v>
      </c>
      <c r="V18" s="1945">
        <v>36214</v>
      </c>
      <c r="W18" s="1479">
        <v>21711</v>
      </c>
      <c r="X18" s="1706">
        <v>23454</v>
      </c>
      <c r="Y18" s="1945">
        <v>18573</v>
      </c>
      <c r="Z18" s="899"/>
    </row>
    <row r="19" spans="1:26" ht="12.75" customHeight="1" x14ac:dyDescent="0.2">
      <c r="A19" s="947"/>
      <c r="B19" s="953" t="s">
        <v>88</v>
      </c>
      <c r="C19" s="955">
        <v>-212</v>
      </c>
      <c r="D19" s="1017">
        <v>-9.8742431299487662E-2</v>
      </c>
      <c r="E19" s="917"/>
      <c r="F19" s="1083">
        <v>1935</v>
      </c>
      <c r="G19" s="1153">
        <v>2322</v>
      </c>
      <c r="H19" s="1153">
        <v>1800</v>
      </c>
      <c r="I19" s="1175">
        <v>2080</v>
      </c>
      <c r="J19" s="1153">
        <v>2147</v>
      </c>
      <c r="K19" s="1153">
        <v>2020</v>
      </c>
      <c r="L19" s="1153">
        <v>1380</v>
      </c>
      <c r="M19" s="1175">
        <v>2133</v>
      </c>
      <c r="N19" s="1153">
        <v>2150</v>
      </c>
      <c r="O19" s="1016"/>
      <c r="P19" s="1206">
        <v>8137</v>
      </c>
      <c r="Q19" s="999">
        <v>7680</v>
      </c>
      <c r="R19" s="998">
        <v>457</v>
      </c>
      <c r="S19" s="1017">
        <v>5.950520833333333E-2</v>
      </c>
      <c r="T19" s="1126"/>
      <c r="U19" s="1945">
        <v>8137</v>
      </c>
      <c r="V19" s="1945">
        <v>7680</v>
      </c>
      <c r="W19" s="1479">
        <v>6600</v>
      </c>
      <c r="X19" s="1706">
        <v>5233</v>
      </c>
      <c r="Y19" s="1945">
        <v>4205</v>
      </c>
      <c r="Z19" s="899"/>
    </row>
    <row r="20" spans="1:26" ht="12.75" customHeight="1" x14ac:dyDescent="0.2">
      <c r="A20" s="947"/>
      <c r="B20" s="953" t="s">
        <v>63</v>
      </c>
      <c r="C20" s="955">
        <v>152</v>
      </c>
      <c r="D20" s="1017">
        <v>6.5602071644367724E-2</v>
      </c>
      <c r="E20" s="917"/>
      <c r="F20" s="1083">
        <v>2469</v>
      </c>
      <c r="G20" s="1153">
        <v>2012</v>
      </c>
      <c r="H20" s="1153">
        <v>2238</v>
      </c>
      <c r="I20" s="1175">
        <v>1905</v>
      </c>
      <c r="J20" s="1153">
        <v>2317</v>
      </c>
      <c r="K20" s="1153">
        <v>2070</v>
      </c>
      <c r="L20" s="1153">
        <v>1488</v>
      </c>
      <c r="M20" s="1175">
        <v>1422</v>
      </c>
      <c r="N20" s="1153">
        <v>1380</v>
      </c>
      <c r="O20" s="1016"/>
      <c r="P20" s="1206">
        <v>8624</v>
      </c>
      <c r="Q20" s="999">
        <v>7297</v>
      </c>
      <c r="R20" s="998">
        <v>1327</v>
      </c>
      <c r="S20" s="1017">
        <v>0.18185555707825132</v>
      </c>
      <c r="T20" s="1126"/>
      <c r="U20" s="1945">
        <v>8624</v>
      </c>
      <c r="V20" s="1945">
        <v>7297</v>
      </c>
      <c r="W20" s="1479">
        <v>5095</v>
      </c>
      <c r="X20" s="1706">
        <v>4944</v>
      </c>
      <c r="Y20" s="1945">
        <v>5738</v>
      </c>
      <c r="Z20" s="899"/>
    </row>
    <row r="21" spans="1:26" ht="12.75" customHeight="1" x14ac:dyDescent="0.2">
      <c r="A21" s="947"/>
      <c r="B21" s="953" t="s">
        <v>64</v>
      </c>
      <c r="C21" s="955">
        <v>300</v>
      </c>
      <c r="D21" s="1017">
        <v>7.9893475366178426E-2</v>
      </c>
      <c r="E21" s="917"/>
      <c r="F21" s="1083">
        <v>4055</v>
      </c>
      <c r="G21" s="1153">
        <v>3723</v>
      </c>
      <c r="H21" s="1153">
        <v>3941</v>
      </c>
      <c r="I21" s="1175">
        <v>3821</v>
      </c>
      <c r="J21" s="1153">
        <v>3755</v>
      </c>
      <c r="K21" s="1153">
        <v>3220</v>
      </c>
      <c r="L21" s="1153">
        <v>2104</v>
      </c>
      <c r="M21" s="1175">
        <v>1883</v>
      </c>
      <c r="N21" s="1153">
        <v>1605</v>
      </c>
      <c r="O21" s="1016"/>
      <c r="P21" s="1206">
        <v>15540</v>
      </c>
      <c r="Q21" s="999">
        <v>10962</v>
      </c>
      <c r="R21" s="998">
        <v>4578</v>
      </c>
      <c r="S21" s="1017">
        <v>0.41762452107279696</v>
      </c>
      <c r="T21" s="1126"/>
      <c r="U21" s="1945">
        <v>15540</v>
      </c>
      <c r="V21" s="1945">
        <v>10962</v>
      </c>
      <c r="W21" s="1479">
        <v>7096</v>
      </c>
      <c r="X21" s="1706">
        <v>8574</v>
      </c>
      <c r="Y21" s="1945">
        <v>7240</v>
      </c>
      <c r="Z21" s="899"/>
    </row>
    <row r="22" spans="1:26" ht="12.75" customHeight="1" x14ac:dyDescent="0.2">
      <c r="A22" s="947"/>
      <c r="B22" s="953" t="s">
        <v>59</v>
      </c>
      <c r="C22" s="955">
        <v>-147</v>
      </c>
      <c r="D22" s="1017">
        <v>-0.1860759493670886</v>
      </c>
      <c r="E22" s="917"/>
      <c r="F22" s="1083">
        <v>643</v>
      </c>
      <c r="G22" s="1130">
        <v>600</v>
      </c>
      <c r="H22" s="1130">
        <v>596</v>
      </c>
      <c r="I22" s="1283">
        <v>744</v>
      </c>
      <c r="J22" s="1153">
        <v>790</v>
      </c>
      <c r="K22" s="1130">
        <v>727</v>
      </c>
      <c r="L22" s="1130">
        <v>124</v>
      </c>
      <c r="M22" s="1283">
        <v>48</v>
      </c>
      <c r="N22" s="1153">
        <v>28</v>
      </c>
      <c r="O22" s="1016"/>
      <c r="P22" s="1206">
        <v>2583</v>
      </c>
      <c r="Q22" s="999">
        <v>1689</v>
      </c>
      <c r="R22" s="998">
        <v>894</v>
      </c>
      <c r="S22" s="1017">
        <v>0.52930728241563052</v>
      </c>
      <c r="T22" s="1126"/>
      <c r="U22" s="1945">
        <v>2583</v>
      </c>
      <c r="V22" s="1945">
        <v>1689</v>
      </c>
      <c r="W22" s="1479">
        <v>18</v>
      </c>
      <c r="X22" s="1706">
        <v>127</v>
      </c>
      <c r="Y22" s="1945">
        <v>407</v>
      </c>
      <c r="Z22" s="899"/>
    </row>
    <row r="23" spans="1:26" ht="12.75" customHeight="1" x14ac:dyDescent="0.2">
      <c r="A23" s="947"/>
      <c r="B23" s="953" t="s">
        <v>65</v>
      </c>
      <c r="C23" s="955">
        <v>-660</v>
      </c>
      <c r="D23" s="1017">
        <v>-0.12253991830672113</v>
      </c>
      <c r="E23" s="917"/>
      <c r="F23" s="1086">
        <v>4726</v>
      </c>
      <c r="G23" s="1153">
        <v>6156</v>
      </c>
      <c r="H23" s="1153">
        <v>4220</v>
      </c>
      <c r="I23" s="1175">
        <v>4034</v>
      </c>
      <c r="J23" s="1153">
        <v>5386</v>
      </c>
      <c r="K23" s="1153">
        <v>4784</v>
      </c>
      <c r="L23" s="1153">
        <v>3040</v>
      </c>
      <c r="M23" s="1175">
        <v>3979</v>
      </c>
      <c r="N23" s="1153">
        <v>2632</v>
      </c>
      <c r="O23" s="1016"/>
      <c r="P23" s="1206">
        <v>19136</v>
      </c>
      <c r="Q23" s="999">
        <v>17189</v>
      </c>
      <c r="R23" s="998">
        <v>1947</v>
      </c>
      <c r="S23" s="1017">
        <v>0.11327011460817965</v>
      </c>
      <c r="T23" s="1126"/>
      <c r="U23" s="1945">
        <v>19136</v>
      </c>
      <c r="V23" s="1945">
        <v>17189</v>
      </c>
      <c r="W23" s="1479">
        <v>11982</v>
      </c>
      <c r="X23" s="1706">
        <v>12393</v>
      </c>
      <c r="Y23" s="1945">
        <v>12608</v>
      </c>
      <c r="Z23" s="899"/>
    </row>
    <row r="24" spans="1:26" ht="12.75" customHeight="1" x14ac:dyDescent="0.2">
      <c r="A24" s="947"/>
      <c r="B24" s="953" t="s">
        <v>66</v>
      </c>
      <c r="C24" s="955">
        <v>-31</v>
      </c>
      <c r="D24" s="1017">
        <v>-8.0165502973881565E-3</v>
      </c>
      <c r="E24" s="917"/>
      <c r="F24" s="1083">
        <v>3836</v>
      </c>
      <c r="G24" s="1153">
        <v>3729</v>
      </c>
      <c r="H24" s="1153">
        <v>3732</v>
      </c>
      <c r="I24" s="1175">
        <v>3871</v>
      </c>
      <c r="J24" s="1153">
        <v>3867</v>
      </c>
      <c r="K24" s="1153">
        <v>3714</v>
      </c>
      <c r="L24" s="1153">
        <v>1976</v>
      </c>
      <c r="M24" s="1175">
        <v>2000</v>
      </c>
      <c r="N24" s="1153">
        <v>1929</v>
      </c>
      <c r="O24" s="1016"/>
      <c r="P24" s="1206">
        <v>15168</v>
      </c>
      <c r="Q24" s="999">
        <v>11557</v>
      </c>
      <c r="R24" s="998">
        <v>3611</v>
      </c>
      <c r="S24" s="1017">
        <v>0.31245132819935967</v>
      </c>
      <c r="T24" s="1126"/>
      <c r="U24" s="1945">
        <v>15168</v>
      </c>
      <c r="V24" s="1945">
        <v>11557</v>
      </c>
      <c r="W24" s="1479">
        <v>8033</v>
      </c>
      <c r="X24" s="1706">
        <v>9166</v>
      </c>
      <c r="Y24" s="1945">
        <v>8696</v>
      </c>
      <c r="Z24" s="899"/>
    </row>
    <row r="25" spans="1:26" ht="12.75" customHeight="1" x14ac:dyDescent="0.2">
      <c r="A25" s="945"/>
      <c r="B25" s="953" t="s">
        <v>67</v>
      </c>
      <c r="C25" s="955">
        <v>-1403</v>
      </c>
      <c r="D25" s="1017">
        <v>-0.66905102527420124</v>
      </c>
      <c r="E25" s="1091"/>
      <c r="F25" s="1083">
        <v>694</v>
      </c>
      <c r="G25" s="999">
        <v>2156</v>
      </c>
      <c r="H25" s="999">
        <v>2022</v>
      </c>
      <c r="I25" s="1177">
        <v>1938</v>
      </c>
      <c r="J25" s="999">
        <v>2097</v>
      </c>
      <c r="K25" s="999">
        <v>297</v>
      </c>
      <c r="L25" s="999">
        <v>90</v>
      </c>
      <c r="M25" s="1177">
        <v>141</v>
      </c>
      <c r="N25" s="999">
        <v>1359</v>
      </c>
      <c r="O25" s="1016"/>
      <c r="P25" s="1206">
        <v>6810</v>
      </c>
      <c r="Q25" s="999">
        <v>2625</v>
      </c>
      <c r="R25" s="998">
        <v>4185</v>
      </c>
      <c r="S25" s="1017">
        <v>1.5942857142857143</v>
      </c>
      <c r="T25" s="1126"/>
      <c r="U25" s="1945">
        <v>6810</v>
      </c>
      <c r="V25" s="1945">
        <v>2625</v>
      </c>
      <c r="W25" s="1479">
        <v>3050</v>
      </c>
      <c r="X25" s="1706">
        <v>4306</v>
      </c>
      <c r="Y25" s="1945">
        <v>4495</v>
      </c>
      <c r="Z25" s="899"/>
    </row>
    <row r="26" spans="1:26" ht="12.75" customHeight="1" x14ac:dyDescent="0.2">
      <c r="A26" s="945"/>
      <c r="B26" s="945" t="s">
        <v>149</v>
      </c>
      <c r="C26" s="955">
        <v>-939</v>
      </c>
      <c r="D26" s="1017">
        <v>-1</v>
      </c>
      <c r="E26" s="917"/>
      <c r="F26" s="1654">
        <v>0</v>
      </c>
      <c r="G26" s="999">
        <v>0</v>
      </c>
      <c r="H26" s="999">
        <v>0</v>
      </c>
      <c r="I26" s="1177">
        <v>0</v>
      </c>
      <c r="J26" s="999">
        <v>939</v>
      </c>
      <c r="K26" s="999">
        <v>0</v>
      </c>
      <c r="L26" s="999">
        <v>2000</v>
      </c>
      <c r="M26" s="1177">
        <v>0</v>
      </c>
      <c r="N26" s="999">
        <v>0</v>
      </c>
      <c r="O26" s="1016"/>
      <c r="P26" s="1622">
        <v>0</v>
      </c>
      <c r="Q26" s="999">
        <v>2939</v>
      </c>
      <c r="R26" s="998">
        <v>-2939</v>
      </c>
      <c r="S26" s="1017">
        <v>-1</v>
      </c>
      <c r="T26" s="1126"/>
      <c r="U26" s="1945">
        <v>0</v>
      </c>
      <c r="V26" s="1945">
        <v>2939</v>
      </c>
      <c r="W26" s="1479">
        <v>0</v>
      </c>
      <c r="X26" s="1706">
        <v>0</v>
      </c>
      <c r="Y26" s="1945">
        <v>783</v>
      </c>
      <c r="Z26" s="899"/>
    </row>
    <row r="27" spans="1:26" ht="12.75" customHeight="1" x14ac:dyDescent="0.2">
      <c r="A27" s="945"/>
      <c r="B27" s="953" t="s">
        <v>169</v>
      </c>
      <c r="C27" s="955">
        <v>734</v>
      </c>
      <c r="D27" s="1017" t="s">
        <v>38</v>
      </c>
      <c r="E27" s="917"/>
      <c r="F27" s="1083">
        <v>918</v>
      </c>
      <c r="G27" s="999">
        <v>170</v>
      </c>
      <c r="H27" s="999">
        <v>0</v>
      </c>
      <c r="I27" s="1177">
        <v>0</v>
      </c>
      <c r="J27" s="999">
        <v>184</v>
      </c>
      <c r="K27" s="999">
        <v>0</v>
      </c>
      <c r="L27" s="999">
        <v>4364</v>
      </c>
      <c r="M27" s="1177">
        <v>2184</v>
      </c>
      <c r="N27" s="999">
        <v>0</v>
      </c>
      <c r="O27" s="1016"/>
      <c r="P27" s="1206">
        <v>1088</v>
      </c>
      <c r="Q27" s="999">
        <v>6732</v>
      </c>
      <c r="R27" s="998">
        <v>-5644</v>
      </c>
      <c r="S27" s="1017">
        <v>-0.83838383838383834</v>
      </c>
      <c r="T27" s="1126"/>
      <c r="U27" s="1945">
        <v>1088</v>
      </c>
      <c r="V27" s="1945">
        <v>6732</v>
      </c>
      <c r="W27" s="1479">
        <v>0</v>
      </c>
      <c r="X27" s="1706">
        <v>0</v>
      </c>
      <c r="Y27" s="1945">
        <v>0</v>
      </c>
      <c r="Z27" s="899"/>
    </row>
    <row r="28" spans="1:26" ht="12.75" customHeight="1" x14ac:dyDescent="0.2">
      <c r="A28" s="945"/>
      <c r="B28" s="1126" t="s">
        <v>625</v>
      </c>
      <c r="C28" s="1116">
        <v>-3390</v>
      </c>
      <c r="D28" s="1117">
        <v>-1</v>
      </c>
      <c r="E28" s="917"/>
      <c r="F28" s="1654">
        <v>0</v>
      </c>
      <c r="G28" s="999">
        <v>0</v>
      </c>
      <c r="H28" s="999">
        <v>0</v>
      </c>
      <c r="I28" s="1177">
        <v>0</v>
      </c>
      <c r="J28" s="999">
        <v>3390</v>
      </c>
      <c r="K28" s="999">
        <v>0</v>
      </c>
      <c r="L28" s="999">
        <v>0</v>
      </c>
      <c r="M28" s="1177">
        <v>0</v>
      </c>
      <c r="N28" s="999">
        <v>0</v>
      </c>
      <c r="O28" s="1016"/>
      <c r="P28" s="1622">
        <v>0</v>
      </c>
      <c r="Q28" s="999">
        <v>3390</v>
      </c>
      <c r="R28" s="998">
        <v>-3390</v>
      </c>
      <c r="S28" s="1017">
        <v>0</v>
      </c>
      <c r="T28" s="1126"/>
      <c r="U28" s="1945">
        <v>0</v>
      </c>
      <c r="V28" s="1945">
        <v>3390</v>
      </c>
      <c r="W28" s="1479">
        <v>0</v>
      </c>
      <c r="X28" s="1706">
        <v>0</v>
      </c>
      <c r="Y28" s="1941">
        <v>783</v>
      </c>
      <c r="Z28" s="899"/>
    </row>
    <row r="29" spans="1:26" ht="12.75" customHeight="1" x14ac:dyDescent="0.2">
      <c r="A29" s="947"/>
      <c r="B29" s="939"/>
      <c r="C29" s="1114">
        <v>-8538</v>
      </c>
      <c r="D29" s="1115">
        <v>-0.13405347694336719</v>
      </c>
      <c r="E29" s="917"/>
      <c r="F29" s="1085">
        <v>55153</v>
      </c>
      <c r="G29" s="1160">
        <v>55520</v>
      </c>
      <c r="H29" s="1160">
        <v>54905</v>
      </c>
      <c r="I29" s="1161">
        <v>56335</v>
      </c>
      <c r="J29" s="1160">
        <v>63691</v>
      </c>
      <c r="K29" s="1160">
        <v>51799</v>
      </c>
      <c r="L29" s="1160">
        <v>37322</v>
      </c>
      <c r="M29" s="1161">
        <v>32765</v>
      </c>
      <c r="N29" s="1160">
        <v>28498</v>
      </c>
      <c r="O29" s="1016"/>
      <c r="P29" s="1160">
        <v>221913</v>
      </c>
      <c r="Q29" s="1160">
        <v>185577</v>
      </c>
      <c r="R29" s="1263">
        <v>36336</v>
      </c>
      <c r="S29" s="1115">
        <v>0.19580012609321198</v>
      </c>
      <c r="T29" s="1036"/>
      <c r="U29" s="1949">
        <v>221913</v>
      </c>
      <c r="V29" s="1648">
        <v>185577</v>
      </c>
      <c r="W29" s="1160">
        <v>111224</v>
      </c>
      <c r="X29" s="1648">
        <v>118343</v>
      </c>
      <c r="Y29" s="1164">
        <v>108152</v>
      </c>
      <c r="Z29" s="899"/>
    </row>
    <row r="30" spans="1:26" s="1772" customFormat="1" x14ac:dyDescent="0.2">
      <c r="A30" s="2427" t="s">
        <v>193</v>
      </c>
      <c r="B30" s="2428"/>
      <c r="C30" s="1114">
        <v>7109</v>
      </c>
      <c r="D30" s="1115" t="s">
        <v>38</v>
      </c>
      <c r="E30" s="917"/>
      <c r="F30" s="1095">
        <v>8341</v>
      </c>
      <c r="G30" s="1187">
        <v>6257</v>
      </c>
      <c r="H30" s="1187">
        <v>9022</v>
      </c>
      <c r="I30" s="1154">
        <v>9452</v>
      </c>
      <c r="J30" s="1187">
        <v>1232</v>
      </c>
      <c r="K30" s="1187">
        <v>9146</v>
      </c>
      <c r="L30" s="1187">
        <v>160</v>
      </c>
      <c r="M30" s="1154">
        <v>5268</v>
      </c>
      <c r="N30" s="1187">
        <v>4567</v>
      </c>
      <c r="O30" s="1016"/>
      <c r="P30" s="1183">
        <v>33072</v>
      </c>
      <c r="Q30" s="998">
        <v>15806</v>
      </c>
      <c r="R30" s="1529">
        <v>17266</v>
      </c>
      <c r="S30" s="1115">
        <v>1.092369986081235</v>
      </c>
      <c r="T30" s="1036"/>
      <c r="U30" s="1949">
        <v>33072</v>
      </c>
      <c r="V30" s="1949">
        <v>15806</v>
      </c>
      <c r="W30" s="1950">
        <v>23595</v>
      </c>
      <c r="X30" s="1949">
        <v>20016</v>
      </c>
      <c r="Y30" s="1164">
        <v>17399</v>
      </c>
      <c r="Z30" s="899"/>
    </row>
    <row r="31" spans="1:26" s="1772" customFormat="1" ht="15" customHeight="1" x14ac:dyDescent="0.2">
      <c r="A31" s="1954"/>
      <c r="B31" s="1944" t="s">
        <v>313</v>
      </c>
      <c r="C31" s="1114">
        <v>22</v>
      </c>
      <c r="D31" s="1115">
        <v>5.8510638297872342E-2</v>
      </c>
      <c r="E31" s="917"/>
      <c r="F31" s="1229">
        <v>398</v>
      </c>
      <c r="G31" s="1280">
        <v>305</v>
      </c>
      <c r="H31" s="1280">
        <v>308</v>
      </c>
      <c r="I31" s="1273">
        <v>304</v>
      </c>
      <c r="J31" s="1280">
        <v>376</v>
      </c>
      <c r="K31" s="1280">
        <v>322</v>
      </c>
      <c r="L31" s="1280">
        <v>315</v>
      </c>
      <c r="M31" s="1273">
        <v>316</v>
      </c>
      <c r="N31" s="1280">
        <v>302</v>
      </c>
      <c r="O31" s="1584"/>
      <c r="P31" s="1179">
        <v>1315</v>
      </c>
      <c r="Q31" s="1280">
        <v>1329</v>
      </c>
      <c r="R31" s="1529">
        <v>-14</v>
      </c>
      <c r="S31" s="1115">
        <v>-1.0534236267870579E-2</v>
      </c>
      <c r="T31" s="2268"/>
      <c r="U31" s="1949">
        <v>1315</v>
      </c>
      <c r="V31" s="1945">
        <v>1329</v>
      </c>
      <c r="W31" s="1479">
        <v>1292</v>
      </c>
      <c r="X31" s="1945">
        <v>2190</v>
      </c>
      <c r="Y31" s="1589">
        <v>4200</v>
      </c>
      <c r="Z31" s="899"/>
    </row>
    <row r="32" spans="1:26" s="1772" customFormat="1" ht="13.5" thickBot="1" x14ac:dyDescent="0.25">
      <c r="A32" s="1946" t="s">
        <v>69</v>
      </c>
      <c r="B32" s="946"/>
      <c r="C32" s="1244">
        <v>7087</v>
      </c>
      <c r="D32" s="1125" t="s">
        <v>38</v>
      </c>
      <c r="E32" s="917"/>
      <c r="F32" s="1232">
        <v>7943</v>
      </c>
      <c r="G32" s="1294">
        <v>5952</v>
      </c>
      <c r="H32" s="1294">
        <v>8714</v>
      </c>
      <c r="I32" s="1297">
        <v>9148</v>
      </c>
      <c r="J32" s="1296">
        <v>856</v>
      </c>
      <c r="K32" s="1296">
        <v>8824</v>
      </c>
      <c r="L32" s="1294">
        <v>-155</v>
      </c>
      <c r="M32" s="1297">
        <v>4952</v>
      </c>
      <c r="N32" s="1296">
        <v>4265</v>
      </c>
      <c r="O32" s="1584"/>
      <c r="P32" s="1296">
        <v>31757</v>
      </c>
      <c r="Q32" s="1296">
        <v>14477</v>
      </c>
      <c r="R32" s="1278">
        <v>17280</v>
      </c>
      <c r="S32" s="1586">
        <v>1.1936174621813911</v>
      </c>
      <c r="T32" s="2268"/>
      <c r="U32" s="2207">
        <v>31757</v>
      </c>
      <c r="V32" s="1301">
        <v>14477</v>
      </c>
      <c r="W32" s="1296">
        <v>22303</v>
      </c>
      <c r="X32" s="1301">
        <v>17826</v>
      </c>
      <c r="Y32" s="1590">
        <v>13199</v>
      </c>
      <c r="Z32" s="899"/>
    </row>
    <row r="33" spans="1:26" ht="12.75" customHeight="1" thickTop="1" x14ac:dyDescent="0.2">
      <c r="A33" s="1126"/>
      <c r="B33" s="1126"/>
      <c r="C33" s="998"/>
      <c r="D33" s="951"/>
      <c r="E33" s="899"/>
      <c r="F33" s="899"/>
      <c r="G33" s="945"/>
      <c r="H33" s="945"/>
      <c r="I33" s="945"/>
      <c r="J33" s="945"/>
      <c r="K33" s="945"/>
      <c r="L33" s="945"/>
      <c r="M33" s="945"/>
      <c r="N33" s="945"/>
      <c r="O33" s="945"/>
      <c r="P33" s="945"/>
      <c r="Q33" s="945"/>
      <c r="R33" s="998"/>
      <c r="S33" s="951"/>
      <c r="T33" s="945"/>
      <c r="U33" s="945"/>
      <c r="V33" s="945"/>
      <c r="W33" s="945"/>
      <c r="X33" s="945"/>
      <c r="Y33" s="945"/>
      <c r="Z33" s="899"/>
    </row>
    <row r="34" spans="1:26" ht="13.5" customHeight="1" x14ac:dyDescent="0.2">
      <c r="A34" s="1129" t="s">
        <v>645</v>
      </c>
      <c r="B34" s="1126"/>
      <c r="C34" s="1563">
        <v>6.0980948762446303</v>
      </c>
      <c r="D34" s="951"/>
      <c r="E34" s="920"/>
      <c r="F34" s="920">
        <v>0.73398094876244635</v>
      </c>
      <c r="G34" s="1018">
        <v>0.73699999999999999</v>
      </c>
      <c r="H34" s="1018">
        <v>0.73299999999999998</v>
      </c>
      <c r="I34" s="1018">
        <v>0.70199999999999996</v>
      </c>
      <c r="J34" s="1018">
        <v>0.67300000000000004</v>
      </c>
      <c r="K34" s="1018">
        <v>0.68799999999999994</v>
      </c>
      <c r="L34" s="1018">
        <v>0.72499999999999998</v>
      </c>
      <c r="M34" s="1018">
        <v>0.66300000000000003</v>
      </c>
      <c r="N34" s="1018">
        <v>0.70499999999999996</v>
      </c>
      <c r="O34" s="945"/>
      <c r="P34" s="1018">
        <v>0.72636025867002141</v>
      </c>
      <c r="Q34" s="1018">
        <v>0.68500000000000005</v>
      </c>
      <c r="R34" s="1563">
        <v>4.1360258670021359</v>
      </c>
      <c r="S34" s="951"/>
      <c r="T34" s="945"/>
      <c r="U34" s="1018">
        <v>0.72636025867002141</v>
      </c>
      <c r="V34" s="1018">
        <v>0.68500000000000005</v>
      </c>
      <c r="W34" s="1018">
        <v>0.69199999999999995</v>
      </c>
      <c r="X34" s="1018">
        <v>0.70099999999999996</v>
      </c>
      <c r="Y34" s="1018">
        <v>0.67100000000000004</v>
      </c>
      <c r="Z34" s="1082"/>
    </row>
    <row r="35" spans="1:26" ht="12.75" customHeight="1" x14ac:dyDescent="0.2">
      <c r="A35" s="1128" t="s">
        <v>71</v>
      </c>
      <c r="B35" s="1126"/>
      <c r="C35" s="1563">
        <v>-4.6237477504729618</v>
      </c>
      <c r="D35" s="951"/>
      <c r="E35" s="920"/>
      <c r="F35" s="920">
        <v>0.36817652061612122</v>
      </c>
      <c r="G35" s="1018">
        <v>0.36194700292989301</v>
      </c>
      <c r="H35" s="1018">
        <v>0.38126300311292566</v>
      </c>
      <c r="I35" s="1018">
        <v>0.39361880006688249</v>
      </c>
      <c r="J35" s="1018">
        <v>0.41441399812085083</v>
      </c>
      <c r="K35" s="1018">
        <v>0.39235376158831736</v>
      </c>
      <c r="L35" s="1018">
        <v>0.37057787738114295</v>
      </c>
      <c r="M35" s="1018">
        <v>0.33118607525044041</v>
      </c>
      <c r="N35" s="1018">
        <v>0.35768939966732194</v>
      </c>
      <c r="O35" s="945"/>
      <c r="P35" s="1018">
        <v>0.37651234386336452</v>
      </c>
      <c r="Q35" s="1018">
        <v>0.38386060392386645</v>
      </c>
      <c r="R35" s="1563">
        <v>-0.73482600605019321</v>
      </c>
      <c r="S35" s="951"/>
      <c r="T35" s="1133"/>
      <c r="U35" s="1018">
        <v>0.37651234386336452</v>
      </c>
      <c r="V35" s="1018">
        <v>0.38386060392386645</v>
      </c>
      <c r="W35" s="1018">
        <v>0.35335523924669371</v>
      </c>
      <c r="X35" s="1018">
        <v>0.36243395803670164</v>
      </c>
      <c r="Y35" s="1018">
        <v>0.3616617948084842</v>
      </c>
      <c r="Z35" s="1082"/>
    </row>
    <row r="36" spans="1:26" ht="13.5" customHeight="1" x14ac:dyDescent="0.2">
      <c r="A36" s="1128" t="s">
        <v>627</v>
      </c>
      <c r="B36" s="1126"/>
      <c r="C36" s="1563">
        <v>-3.2878178110627987</v>
      </c>
      <c r="D36" s="951"/>
      <c r="E36" s="920"/>
      <c r="F36" s="920">
        <v>0.56504551611175857</v>
      </c>
      <c r="G36" s="1018">
        <v>0.56092073101639772</v>
      </c>
      <c r="H36" s="1018">
        <v>0.56871118619675565</v>
      </c>
      <c r="I36" s="1018">
        <v>0.57674008542721211</v>
      </c>
      <c r="J36" s="1018">
        <v>0.59792369422238656</v>
      </c>
      <c r="K36" s="1018">
        <v>0.5737468209040939</v>
      </c>
      <c r="L36" s="1018">
        <v>0.55375913771943863</v>
      </c>
      <c r="M36" s="1018">
        <v>0.49890884232114219</v>
      </c>
      <c r="N36" s="1018">
        <v>0.52668985331921969</v>
      </c>
      <c r="O36" s="945"/>
      <c r="P36" s="1018">
        <v>0.5679824303390395</v>
      </c>
      <c r="Q36" s="1018">
        <v>0.56368710367806618</v>
      </c>
      <c r="R36" s="1563">
        <v>0.42953266609733198</v>
      </c>
      <c r="S36" s="951"/>
      <c r="T36" s="1133"/>
      <c r="U36" s="1018">
        <v>0.5679824303390395</v>
      </c>
      <c r="V36" s="1018">
        <v>0.56368710367806618</v>
      </c>
      <c r="W36" s="1018">
        <v>0.51439337185411549</v>
      </c>
      <c r="X36" s="1018">
        <v>0.53194949370839628</v>
      </c>
      <c r="Y36" s="1018">
        <v>0.50959371092225469</v>
      </c>
      <c r="Z36" s="1082"/>
    </row>
    <row r="37" spans="1:26" ht="12.75" customHeight="1" x14ac:dyDescent="0.2">
      <c r="A37" s="1126" t="s">
        <v>72</v>
      </c>
      <c r="B37" s="1126"/>
      <c r="C37" s="1563">
        <v>-7.9512239402367122</v>
      </c>
      <c r="D37" s="951"/>
      <c r="E37" s="920"/>
      <c r="F37" s="920">
        <v>0.30358774057391247</v>
      </c>
      <c r="G37" s="1018">
        <v>0.33779561972902539</v>
      </c>
      <c r="H37" s="1018">
        <v>0.29015908770941856</v>
      </c>
      <c r="I37" s="1018">
        <v>0.27958411236262481</v>
      </c>
      <c r="J37" s="1018">
        <v>0.38309997997627959</v>
      </c>
      <c r="K37" s="1018">
        <v>0.27618344408893264</v>
      </c>
      <c r="L37" s="1018">
        <v>0.44197214663038259</v>
      </c>
      <c r="M37" s="1018">
        <v>0.36257986485420557</v>
      </c>
      <c r="N37" s="1018">
        <v>0.33518826553757752</v>
      </c>
      <c r="O37" s="945"/>
      <c r="P37" s="1018">
        <v>0.30231582249936273</v>
      </c>
      <c r="Q37" s="1018">
        <v>0.35782563572893444</v>
      </c>
      <c r="R37" s="1563">
        <v>-5.5509813229571714</v>
      </c>
      <c r="S37" s="951"/>
      <c r="T37" s="1133"/>
      <c r="U37" s="1018">
        <v>0.30231582249936273</v>
      </c>
      <c r="V37" s="1018">
        <v>0.35782563572893444</v>
      </c>
      <c r="W37" s="1018">
        <v>0.31059420408102717</v>
      </c>
      <c r="X37" s="1018">
        <v>0.32338337224177682</v>
      </c>
      <c r="Y37" s="1018">
        <v>0.34558864525173039</v>
      </c>
      <c r="Z37" s="1082"/>
    </row>
    <row r="38" spans="1:26" ht="12.75" customHeight="1" x14ac:dyDescent="0.2">
      <c r="A38" s="1126" t="s">
        <v>73</v>
      </c>
      <c r="B38" s="1126"/>
      <c r="C38" s="1563">
        <v>-11.239041751299506</v>
      </c>
      <c r="D38" s="951"/>
      <c r="E38" s="920"/>
      <c r="F38" s="920">
        <v>0.86863325668567104</v>
      </c>
      <c r="G38" s="1018">
        <v>0.89871635074542311</v>
      </c>
      <c r="H38" s="1018">
        <v>0.85887027390617421</v>
      </c>
      <c r="I38" s="1018">
        <v>0.85632419778983693</v>
      </c>
      <c r="J38" s="1018">
        <v>0.9810236741986661</v>
      </c>
      <c r="K38" s="1018">
        <v>0.84993026499302649</v>
      </c>
      <c r="L38" s="1018">
        <v>0.99573128434982128</v>
      </c>
      <c r="M38" s="1018">
        <v>0.86148870717534776</v>
      </c>
      <c r="N38" s="1018">
        <v>0.86187811885679722</v>
      </c>
      <c r="O38" s="945"/>
      <c r="P38" s="1018">
        <v>0.87029825283840223</v>
      </c>
      <c r="Q38" s="1018">
        <v>0.92151273940700063</v>
      </c>
      <c r="R38" s="1563">
        <v>-5.1214486568598394</v>
      </c>
      <c r="S38" s="951"/>
      <c r="T38" s="1133"/>
      <c r="U38" s="1018">
        <v>0.87029825283840223</v>
      </c>
      <c r="V38" s="1018">
        <v>0.92151273940700063</v>
      </c>
      <c r="W38" s="1018">
        <v>0.82498757593514271</v>
      </c>
      <c r="X38" s="1018">
        <v>0.8553328659501731</v>
      </c>
      <c r="Y38" s="1018">
        <v>0.86141886564025771</v>
      </c>
      <c r="Z38" s="1082"/>
    </row>
    <row r="39" spans="1:26" ht="14.25" customHeight="1" x14ac:dyDescent="0.2">
      <c r="A39" s="1128" t="s">
        <v>167</v>
      </c>
      <c r="B39" s="1126"/>
      <c r="C39" s="1563">
        <v>11.239041751299501</v>
      </c>
      <c r="D39" s="951"/>
      <c r="E39" s="920"/>
      <c r="F39" s="920">
        <v>0.1313667433143289</v>
      </c>
      <c r="G39" s="1018">
        <v>0.10128364925457695</v>
      </c>
      <c r="H39" s="1018">
        <v>0.14112972609382576</v>
      </c>
      <c r="I39" s="1018">
        <v>0.1436758022101631</v>
      </c>
      <c r="J39" s="1018">
        <v>1.8976325801333887E-2</v>
      </c>
      <c r="K39" s="1018">
        <v>0.15006973500697349</v>
      </c>
      <c r="L39" s="1018">
        <v>4.2687156501787522E-3</v>
      </c>
      <c r="M39" s="1018">
        <v>0.13851129282465227</v>
      </c>
      <c r="N39" s="1018">
        <v>0.13812188114320278</v>
      </c>
      <c r="O39" s="945"/>
      <c r="P39" s="1018">
        <v>0.12970174716159774</v>
      </c>
      <c r="Q39" s="1018">
        <v>7.8487260592999403E-2</v>
      </c>
      <c r="R39" s="1563">
        <v>5.1214486568598341</v>
      </c>
      <c r="S39" s="951"/>
      <c r="T39" s="1133"/>
      <c r="U39" s="1018">
        <v>0.12970174716159774</v>
      </c>
      <c r="V39" s="1018">
        <v>7.8487260592999403E-2</v>
      </c>
      <c r="W39" s="1018">
        <v>0.17501242406485731</v>
      </c>
      <c r="X39" s="1018">
        <v>0.1446671340498269</v>
      </c>
      <c r="Y39" s="1018">
        <v>0.13858113435974226</v>
      </c>
      <c r="Z39" s="1082"/>
    </row>
    <row r="40" spans="1:26" ht="12.75" customHeight="1" x14ac:dyDescent="0.2">
      <c r="A40" s="1128" t="s">
        <v>74</v>
      </c>
      <c r="B40" s="1126"/>
      <c r="C40" s="1563">
        <v>11.191358475266519</v>
      </c>
      <c r="D40" s="951"/>
      <c r="E40" s="920"/>
      <c r="F40" s="920">
        <v>0.12509843449774782</v>
      </c>
      <c r="G40" s="1018">
        <v>9.6346536736973312E-2</v>
      </c>
      <c r="H40" s="1018">
        <v>0.13631173056767876</v>
      </c>
      <c r="I40" s="1018">
        <v>0.13905482846155015</v>
      </c>
      <c r="J40" s="1018">
        <v>1.3184849745082636E-2</v>
      </c>
      <c r="K40" s="1018">
        <v>0.14478628271392238</v>
      </c>
      <c r="L40" s="1018">
        <v>-4.1353182861106662E-3</v>
      </c>
      <c r="M40" s="1018">
        <v>0.1302027186916625</v>
      </c>
      <c r="N40" s="1018">
        <v>0.12898835626795704</v>
      </c>
      <c r="O40" s="1565"/>
      <c r="P40" s="1018">
        <v>0.12454458105378748</v>
      </c>
      <c r="Q40" s="1018">
        <v>7.1887895204659782E-2</v>
      </c>
      <c r="R40" s="1563">
        <v>5.2656685849127696</v>
      </c>
      <c r="S40" s="951"/>
      <c r="T40" s="1299"/>
      <c r="U40" s="1018">
        <v>0.12454458105378748</v>
      </c>
      <c r="V40" s="1018">
        <v>7.1887895204659782E-2</v>
      </c>
      <c r="W40" s="1018">
        <v>0.16542920508236969</v>
      </c>
      <c r="X40" s="1018">
        <v>0.128838745582145</v>
      </c>
      <c r="Y40" s="1018">
        <v>0.10512859316134479</v>
      </c>
      <c r="Z40" s="1082"/>
    </row>
    <row r="41" spans="1:26" ht="12.75" customHeight="1" x14ac:dyDescent="0.2">
      <c r="A41" s="1126"/>
      <c r="B41" s="1126"/>
      <c r="C41" s="998"/>
      <c r="D41" s="951"/>
      <c r="E41" s="907"/>
      <c r="F41" s="907"/>
      <c r="G41" s="951"/>
      <c r="H41" s="951"/>
      <c r="I41" s="951"/>
      <c r="J41" s="951"/>
      <c r="K41" s="951"/>
      <c r="L41" s="951"/>
      <c r="M41" s="951"/>
      <c r="N41" s="951"/>
      <c r="O41" s="945"/>
      <c r="P41" s="945"/>
      <c r="Q41" s="1133"/>
      <c r="R41" s="998"/>
      <c r="S41" s="951"/>
      <c r="T41" s="1133"/>
      <c r="U41" s="1186"/>
      <c r="V41" s="1018"/>
      <c r="W41" s="1018"/>
      <c r="X41" s="1018"/>
      <c r="Y41" s="1018"/>
      <c r="Z41" s="1082"/>
    </row>
    <row r="42" spans="1:26" ht="13.5" customHeight="1" x14ac:dyDescent="0.2">
      <c r="A42" s="953" t="s">
        <v>247</v>
      </c>
      <c r="B42" s="1587"/>
      <c r="C42" s="998">
        <v>-682</v>
      </c>
      <c r="D42" s="951">
        <v>-1.5197094279920671E-2</v>
      </c>
      <c r="E42" s="912"/>
      <c r="F42" s="912">
        <v>44195</v>
      </c>
      <c r="G42" s="998">
        <v>41153</v>
      </c>
      <c r="H42" s="998">
        <v>45230</v>
      </c>
      <c r="I42" s="998">
        <v>46434</v>
      </c>
      <c r="J42" s="998">
        <v>44877</v>
      </c>
      <c r="K42" s="998">
        <v>43791</v>
      </c>
      <c r="L42" s="998">
        <v>40797</v>
      </c>
      <c r="M42" s="998">
        <v>25755</v>
      </c>
      <c r="N42" s="998">
        <v>24526</v>
      </c>
      <c r="O42" s="945"/>
      <c r="P42" s="999">
        <v>44195</v>
      </c>
      <c r="Q42" s="1158">
        <v>44877</v>
      </c>
      <c r="R42" s="998">
        <v>-682</v>
      </c>
      <c r="S42" s="951">
        <v>-1.5197094279920671E-2</v>
      </c>
      <c r="T42" s="1133"/>
      <c r="U42" s="1186">
        <v>44195</v>
      </c>
      <c r="V42" s="998">
        <v>44877</v>
      </c>
      <c r="W42" s="998">
        <v>24526</v>
      </c>
      <c r="X42" s="998">
        <v>22791</v>
      </c>
      <c r="Y42" s="998">
        <v>21763</v>
      </c>
      <c r="Z42" s="1082"/>
    </row>
    <row r="43" spans="1:26" ht="12.75" customHeight="1" x14ac:dyDescent="0.2">
      <c r="A43" s="1128"/>
      <c r="B43" s="1129"/>
      <c r="C43" s="998"/>
      <c r="D43" s="951"/>
      <c r="E43" s="912"/>
      <c r="F43" s="912"/>
      <c r="G43" s="998"/>
      <c r="H43" s="998"/>
      <c r="I43" s="998"/>
      <c r="J43" s="998"/>
      <c r="K43" s="998"/>
      <c r="L43" s="998"/>
      <c r="M43" s="998"/>
      <c r="N43" s="998"/>
      <c r="O43" s="1133"/>
      <c r="P43" s="1133"/>
      <c r="Q43" s="1133"/>
      <c r="R43" s="998"/>
      <c r="S43" s="951"/>
      <c r="T43" s="1133"/>
      <c r="U43" s="1186"/>
      <c r="V43" s="998"/>
      <c r="W43" s="998"/>
      <c r="X43" s="998"/>
      <c r="Y43" s="998"/>
      <c r="Z43" s="1082"/>
    </row>
    <row r="44" spans="1:26" ht="12.75" customHeight="1" x14ac:dyDescent="0.2">
      <c r="A44" s="1128" t="s">
        <v>84</v>
      </c>
      <c r="B44" s="1129"/>
      <c r="C44" s="998">
        <v>6</v>
      </c>
      <c r="D44" s="951">
        <v>1.0733452593917709E-2</v>
      </c>
      <c r="E44" s="912"/>
      <c r="F44" s="912">
        <v>565</v>
      </c>
      <c r="G44" s="998">
        <v>548</v>
      </c>
      <c r="H44" s="998">
        <v>559</v>
      </c>
      <c r="I44" s="998">
        <v>559</v>
      </c>
      <c r="J44" s="998">
        <v>559</v>
      </c>
      <c r="K44" s="998">
        <v>574</v>
      </c>
      <c r="L44" s="998">
        <v>586</v>
      </c>
      <c r="M44" s="998">
        <v>314</v>
      </c>
      <c r="N44" s="998">
        <v>313</v>
      </c>
      <c r="O44" s="1133"/>
      <c r="P44" s="999">
        <v>565</v>
      </c>
      <c r="Q44" s="1158">
        <v>559</v>
      </c>
      <c r="R44" s="998">
        <v>6</v>
      </c>
      <c r="S44" s="951">
        <v>1.0733452593917709E-2</v>
      </c>
      <c r="T44" s="1133"/>
      <c r="U44" s="1186">
        <v>565</v>
      </c>
      <c r="V44" s="998">
        <v>559</v>
      </c>
      <c r="W44" s="998">
        <v>313</v>
      </c>
      <c r="X44" s="998">
        <v>312</v>
      </c>
      <c r="Y44" s="998">
        <v>303</v>
      </c>
      <c r="Z44" s="1082"/>
    </row>
    <row r="45" spans="1:26" ht="13.5" customHeight="1" x14ac:dyDescent="0.2">
      <c r="A45" s="1258" t="s">
        <v>644</v>
      </c>
      <c r="B45" s="1128"/>
      <c r="C45" s="998">
        <v>12</v>
      </c>
      <c r="D45" s="951">
        <v>6.3829787234042548E-2</v>
      </c>
      <c r="E45" s="912"/>
      <c r="F45" s="912">
        <v>200</v>
      </c>
      <c r="G45" s="998">
        <v>188</v>
      </c>
      <c r="H45" s="998">
        <v>193</v>
      </c>
      <c r="I45" s="998">
        <v>190</v>
      </c>
      <c r="J45" s="998">
        <v>188</v>
      </c>
      <c r="K45" s="998">
        <v>197</v>
      </c>
      <c r="L45" s="998">
        <v>200</v>
      </c>
      <c r="M45" s="998">
        <v>119</v>
      </c>
      <c r="N45" s="998">
        <v>118</v>
      </c>
      <c r="O45" s="1133"/>
      <c r="P45" s="999">
        <v>200</v>
      </c>
      <c r="Q45" s="1158">
        <v>188</v>
      </c>
      <c r="R45" s="998">
        <v>12</v>
      </c>
      <c r="S45" s="951">
        <v>6.3829787234042548E-2</v>
      </c>
      <c r="T45" s="1133"/>
      <c r="U45" s="1186">
        <v>200</v>
      </c>
      <c r="V45" s="998">
        <v>188</v>
      </c>
      <c r="W45" s="998">
        <v>118</v>
      </c>
      <c r="X45" s="998">
        <v>118</v>
      </c>
      <c r="Y45" s="998">
        <v>114</v>
      </c>
      <c r="Z45" s="1082"/>
    </row>
    <row r="46" spans="1:26" ht="12.75" customHeight="1" x14ac:dyDescent="0.2">
      <c r="A46" s="945"/>
      <c r="B46" s="945"/>
      <c r="C46" s="1133"/>
      <c r="D46" s="1133"/>
      <c r="E46" s="1082"/>
      <c r="F46" s="1082"/>
      <c r="G46" s="1133"/>
      <c r="H46" s="1133"/>
      <c r="I46" s="1133"/>
      <c r="J46" s="1133"/>
      <c r="K46" s="945"/>
      <c r="L46" s="1133"/>
      <c r="M46" s="1133"/>
      <c r="N46" s="1133"/>
      <c r="O46" s="1133"/>
      <c r="P46" s="1133"/>
      <c r="Q46" s="1133"/>
      <c r="R46" s="1133"/>
      <c r="S46" s="1133"/>
      <c r="T46" s="1133"/>
      <c r="U46" s="1166"/>
      <c r="V46" s="1133"/>
      <c r="W46" s="1133"/>
      <c r="X46" s="1133"/>
      <c r="Y46" s="1133"/>
      <c r="Z46" s="1082"/>
    </row>
    <row r="47" spans="1:26" ht="18" customHeight="1" x14ac:dyDescent="0.2">
      <c r="A47" s="1247" t="s">
        <v>622</v>
      </c>
      <c r="B47" s="945"/>
      <c r="C47" s="1118"/>
      <c r="D47" s="1118"/>
      <c r="E47" s="1082"/>
      <c r="F47" s="1082"/>
      <c r="G47" s="1133"/>
      <c r="H47" s="1133"/>
      <c r="I47" s="1133"/>
      <c r="J47" s="1133"/>
      <c r="K47" s="945"/>
      <c r="L47" s="1133"/>
      <c r="M47" s="1133"/>
      <c r="N47" s="1133"/>
      <c r="O47" s="1133"/>
      <c r="P47" s="1304"/>
      <c r="Q47" s="1118"/>
      <c r="R47" s="1133"/>
      <c r="S47" s="1133"/>
      <c r="T47" s="1118"/>
      <c r="U47" s="1118"/>
      <c r="V47" s="1118"/>
      <c r="W47" s="1118"/>
      <c r="X47" s="1118"/>
      <c r="Y47" s="1118"/>
      <c r="Z47" s="1082"/>
    </row>
    <row r="48" spans="1:26" ht="12.75" customHeight="1" x14ac:dyDescent="0.2">
      <c r="A48" s="1248"/>
      <c r="B48" s="945"/>
      <c r="C48" s="1118"/>
      <c r="D48" s="1118"/>
      <c r="E48" s="1082"/>
      <c r="F48" s="1234"/>
      <c r="G48" s="1305"/>
      <c r="H48" s="1305"/>
      <c r="I48" s="1305"/>
      <c r="J48" s="1305"/>
      <c r="K48" s="1201"/>
      <c r="L48" s="1305"/>
      <c r="M48" s="1305"/>
      <c r="N48" s="1305"/>
      <c r="O48" s="1133"/>
      <c r="P48" s="1118"/>
      <c r="Q48" s="1118"/>
      <c r="R48" s="1133"/>
      <c r="S48" s="1133"/>
      <c r="T48" s="1118"/>
      <c r="U48" s="1118"/>
      <c r="V48" s="1118"/>
      <c r="W48" s="1118"/>
      <c r="X48" s="1118"/>
      <c r="Y48" s="1118"/>
      <c r="Z48" s="1082"/>
    </row>
    <row r="49" spans="1:26" ht="12.75" customHeight="1" x14ac:dyDescent="0.2">
      <c r="A49" s="944"/>
      <c r="B49" s="945"/>
      <c r="C49" s="2306" t="s">
        <v>667</v>
      </c>
      <c r="D49" s="2307"/>
      <c r="E49" s="900"/>
      <c r="F49" s="902"/>
      <c r="G49" s="975"/>
      <c r="H49" s="975"/>
      <c r="I49" s="976"/>
      <c r="J49" s="975"/>
      <c r="K49" s="975"/>
      <c r="L49" s="975"/>
      <c r="M49" s="976"/>
      <c r="N49" s="975"/>
      <c r="O49" s="1146"/>
      <c r="P49" s="981" t="s">
        <v>668</v>
      </c>
      <c r="Q49" s="981"/>
      <c r="R49" s="981" t="s">
        <v>551</v>
      </c>
      <c r="S49" s="982"/>
      <c r="T49" s="983"/>
      <c r="U49" s="984"/>
      <c r="V49" s="984"/>
      <c r="W49" s="984"/>
      <c r="X49" s="984"/>
      <c r="Y49" s="984"/>
      <c r="Z49" s="1668"/>
    </row>
    <row r="50" spans="1:26" ht="12.75" customHeight="1" x14ac:dyDescent="0.2">
      <c r="A50" s="944" t="s">
        <v>2</v>
      </c>
      <c r="B50" s="945"/>
      <c r="C50" s="2408" t="s">
        <v>35</v>
      </c>
      <c r="D50" s="2409"/>
      <c r="E50" s="905"/>
      <c r="F50" s="906" t="s">
        <v>546</v>
      </c>
      <c r="G50" s="985" t="s">
        <v>547</v>
      </c>
      <c r="H50" s="985" t="s">
        <v>548</v>
      </c>
      <c r="I50" s="986" t="s">
        <v>549</v>
      </c>
      <c r="J50" s="985" t="s">
        <v>497</v>
      </c>
      <c r="K50" s="985" t="s">
        <v>496</v>
      </c>
      <c r="L50" s="985" t="s">
        <v>495</v>
      </c>
      <c r="M50" s="986" t="s">
        <v>494</v>
      </c>
      <c r="N50" s="985" t="s">
        <v>363</v>
      </c>
      <c r="O50" s="989"/>
      <c r="P50" s="983" t="s">
        <v>546</v>
      </c>
      <c r="Q50" s="983" t="s">
        <v>497</v>
      </c>
      <c r="R50" s="2310" t="s">
        <v>35</v>
      </c>
      <c r="S50" s="2311"/>
      <c r="T50" s="1203"/>
      <c r="U50" s="987" t="s">
        <v>550</v>
      </c>
      <c r="V50" s="987" t="s">
        <v>498</v>
      </c>
      <c r="W50" s="987" t="s">
        <v>490</v>
      </c>
      <c r="X50" s="987" t="s">
        <v>360</v>
      </c>
      <c r="Y50" s="987" t="s">
        <v>342</v>
      </c>
      <c r="Z50" s="1668"/>
    </row>
    <row r="51" spans="1:26" ht="12.75" customHeight="1" x14ac:dyDescent="0.2">
      <c r="A51" s="1132"/>
      <c r="B51" s="1133" t="s">
        <v>4</v>
      </c>
      <c r="C51" s="1251">
        <v>-1429</v>
      </c>
      <c r="D51" s="1135">
        <v>-2.2010689586125103E-2</v>
      </c>
      <c r="E51" s="1076"/>
      <c r="F51" s="1084">
        <v>63494</v>
      </c>
      <c r="G51" s="1166">
        <v>61777</v>
      </c>
      <c r="H51" s="1166">
        <v>63927</v>
      </c>
      <c r="I51" s="1168">
        <v>65787</v>
      </c>
      <c r="J51" s="1157">
        <v>64923</v>
      </c>
      <c r="K51" s="1186">
        <v>60945</v>
      </c>
      <c r="L51" s="1166">
        <v>37482</v>
      </c>
      <c r="M51" s="1168">
        <v>38033</v>
      </c>
      <c r="N51" s="1157">
        <v>33065</v>
      </c>
      <c r="O51" s="1113"/>
      <c r="P51" s="1321">
        <v>254985</v>
      </c>
      <c r="Q51" s="2167">
        <v>201383</v>
      </c>
      <c r="R51" s="1591">
        <v>53602</v>
      </c>
      <c r="S51" s="1135">
        <v>0.26616943833392093</v>
      </c>
      <c r="T51" s="1118"/>
      <c r="U51" s="2252">
        <v>254985</v>
      </c>
      <c r="V51" s="1532">
        <v>201383</v>
      </c>
      <c r="W51" s="1532">
        <v>134819</v>
      </c>
      <c r="X51" s="1532">
        <v>138359</v>
      </c>
      <c r="Y51" s="1532">
        <v>125551</v>
      </c>
      <c r="Z51" s="1668"/>
    </row>
    <row r="52" spans="1:26" ht="12.75" customHeight="1" x14ac:dyDescent="0.2">
      <c r="A52" s="1118"/>
      <c r="B52" s="1133" t="s">
        <v>77</v>
      </c>
      <c r="C52" s="1134">
        <v>-3099</v>
      </c>
      <c r="D52" s="1017">
        <v>-5.6582070476538252E-2</v>
      </c>
      <c r="E52" s="1968"/>
      <c r="F52" s="1092">
        <v>51671</v>
      </c>
      <c r="G52" s="1187">
        <v>50870</v>
      </c>
      <c r="H52" s="1186">
        <v>50656</v>
      </c>
      <c r="I52" s="1165">
        <v>51936</v>
      </c>
      <c r="J52" s="2216">
        <v>54770</v>
      </c>
      <c r="K52" s="1186">
        <v>48979</v>
      </c>
      <c r="L52" s="1186">
        <v>29696</v>
      </c>
      <c r="M52" s="1165">
        <v>29257</v>
      </c>
      <c r="N52" s="1179">
        <v>27238</v>
      </c>
      <c r="O52" s="1113"/>
      <c r="P52" s="1311">
        <v>205133</v>
      </c>
      <c r="Q52" s="1158">
        <v>162702</v>
      </c>
      <c r="R52" s="998">
        <v>42431</v>
      </c>
      <c r="S52" s="1017">
        <v>0.2607896645400794</v>
      </c>
      <c r="T52" s="1118"/>
      <c r="U52" s="1588">
        <v>205133</v>
      </c>
      <c r="V52" s="1532">
        <v>162702</v>
      </c>
      <c r="W52" s="1532">
        <v>105962</v>
      </c>
      <c r="X52" s="1532">
        <v>112288</v>
      </c>
      <c r="Y52" s="1532">
        <v>99778</v>
      </c>
      <c r="Z52" s="1668"/>
    </row>
    <row r="53" spans="1:26" ht="12.75" customHeight="1" x14ac:dyDescent="0.2">
      <c r="A53" s="1118"/>
      <c r="B53" s="1242" t="s">
        <v>313</v>
      </c>
      <c r="C53" s="1134">
        <v>22</v>
      </c>
      <c r="D53" s="1017">
        <v>5.8510638297872342E-2</v>
      </c>
      <c r="E53" s="1968"/>
      <c r="F53" s="1094">
        <v>398</v>
      </c>
      <c r="G53" s="1186">
        <v>305</v>
      </c>
      <c r="H53" s="1186">
        <v>308</v>
      </c>
      <c r="I53" s="1165">
        <v>304</v>
      </c>
      <c r="J53" s="1186">
        <v>376</v>
      </c>
      <c r="K53" s="1186">
        <v>322</v>
      </c>
      <c r="L53" s="1186">
        <v>315</v>
      </c>
      <c r="M53" s="1165">
        <v>316</v>
      </c>
      <c r="N53" s="1186">
        <v>302</v>
      </c>
      <c r="O53" s="1113"/>
      <c r="P53" s="1311">
        <v>1315</v>
      </c>
      <c r="Q53" s="1158">
        <v>1329</v>
      </c>
      <c r="R53" s="998">
        <v>-14</v>
      </c>
      <c r="S53" s="1017">
        <v>-1.0534236267870579E-2</v>
      </c>
      <c r="T53" s="1118"/>
      <c r="U53" s="1588">
        <v>1315</v>
      </c>
      <c r="V53" s="1532">
        <v>1329</v>
      </c>
      <c r="W53" s="1532">
        <v>1292</v>
      </c>
      <c r="X53" s="1532">
        <v>2190</v>
      </c>
      <c r="Y53" s="1532">
        <v>4200</v>
      </c>
      <c r="Z53" s="1668"/>
    </row>
    <row r="54" spans="1:26" x14ac:dyDescent="0.2">
      <c r="A54" s="1118"/>
      <c r="B54" s="1242" t="s">
        <v>69</v>
      </c>
      <c r="C54" s="1136">
        <v>1648</v>
      </c>
      <c r="D54" s="1117">
        <v>0.16855886263680064</v>
      </c>
      <c r="E54" s="1968"/>
      <c r="F54" s="1106">
        <v>11425</v>
      </c>
      <c r="G54" s="1212">
        <v>10602</v>
      </c>
      <c r="H54" s="1212">
        <v>12963</v>
      </c>
      <c r="I54" s="1171">
        <v>13547</v>
      </c>
      <c r="J54" s="1212">
        <v>9777</v>
      </c>
      <c r="K54" s="1212">
        <v>11644</v>
      </c>
      <c r="L54" s="1212">
        <v>7471</v>
      </c>
      <c r="M54" s="1171">
        <v>8460</v>
      </c>
      <c r="N54" s="1212">
        <v>5525</v>
      </c>
      <c r="O54" s="1113"/>
      <c r="P54" s="1705">
        <v>48537</v>
      </c>
      <c r="Q54" s="1174">
        <v>37352</v>
      </c>
      <c r="R54" s="1211">
        <v>11185</v>
      </c>
      <c r="S54" s="1117">
        <v>0.29944849004069396</v>
      </c>
      <c r="T54" s="1118"/>
      <c r="U54" s="1581">
        <v>48537</v>
      </c>
      <c r="V54" s="1213">
        <v>37352</v>
      </c>
      <c r="W54" s="1213">
        <v>27565</v>
      </c>
      <c r="X54" s="1213">
        <v>23881</v>
      </c>
      <c r="Y54" s="1581">
        <v>21573</v>
      </c>
      <c r="Z54" s="1668"/>
    </row>
    <row r="55" spans="1:26" ht="12.75" customHeight="1" x14ac:dyDescent="0.2">
      <c r="A55" s="1118"/>
      <c r="B55" s="1133"/>
      <c r="C55" s="999"/>
      <c r="D55" s="957"/>
      <c r="E55" s="926"/>
      <c r="F55" s="926"/>
      <c r="G55" s="957"/>
      <c r="H55" s="957"/>
      <c r="I55" s="957"/>
      <c r="J55" s="957"/>
      <c r="K55" s="957"/>
      <c r="L55" s="957"/>
      <c r="M55" s="957"/>
      <c r="N55" s="957"/>
      <c r="O55" s="1133"/>
      <c r="P55" s="1133"/>
      <c r="Q55" s="1158"/>
      <c r="R55" s="999"/>
      <c r="S55" s="957"/>
      <c r="T55" s="1133"/>
      <c r="U55" s="1133"/>
      <c r="V55" s="1133"/>
      <c r="W55" s="1133"/>
      <c r="X55" s="1133"/>
      <c r="Y55" s="1133"/>
      <c r="Z55" s="1082"/>
    </row>
    <row r="56" spans="1:26" ht="12.75" customHeight="1" x14ac:dyDescent="0.2">
      <c r="A56" s="1118"/>
      <c r="B56" s="1128" t="s">
        <v>627</v>
      </c>
      <c r="C56" s="1563">
        <v>-3.2878178110627987</v>
      </c>
      <c r="D56" s="957"/>
      <c r="E56" s="926"/>
      <c r="F56" s="926">
        <v>0.56504551611175857</v>
      </c>
      <c r="G56" s="957">
        <v>0.56092073101639772</v>
      </c>
      <c r="H56" s="957">
        <v>0.56871118619675565</v>
      </c>
      <c r="I56" s="957">
        <v>0.57674008542721211</v>
      </c>
      <c r="J56" s="957">
        <v>0.59792369422238656</v>
      </c>
      <c r="K56" s="957">
        <v>0.5737468209040939</v>
      </c>
      <c r="L56" s="957">
        <v>0.55375913771943863</v>
      </c>
      <c r="M56" s="957">
        <v>0.49890884232114219</v>
      </c>
      <c r="N56" s="957">
        <v>0.52668985331921969</v>
      </c>
      <c r="O56" s="1133"/>
      <c r="P56" s="957">
        <v>0.5679824303390395</v>
      </c>
      <c r="Q56" s="957">
        <v>0.56368710367806618</v>
      </c>
      <c r="R56" s="1563">
        <v>0.42953266609733198</v>
      </c>
      <c r="S56" s="957"/>
      <c r="T56" s="1133"/>
      <c r="U56" s="957">
        <v>0.5679824303390395</v>
      </c>
      <c r="V56" s="957">
        <v>0.56368710367806618</v>
      </c>
      <c r="W56" s="957">
        <v>0.51439337185411549</v>
      </c>
      <c r="X56" s="957">
        <v>0.53194949370839628</v>
      </c>
      <c r="Y56" s="957">
        <v>0.50959371092225469</v>
      </c>
      <c r="Z56" s="1082"/>
    </row>
    <row r="57" spans="1:26" ht="12.75" customHeight="1" x14ac:dyDescent="0.2">
      <c r="A57" s="1118"/>
      <c r="B57" s="1128" t="s">
        <v>72</v>
      </c>
      <c r="C57" s="1563">
        <v>0.3056863791669806</v>
      </c>
      <c r="D57" s="957"/>
      <c r="E57" s="926"/>
      <c r="F57" s="926">
        <v>0.24874791318864775</v>
      </c>
      <c r="G57" s="957">
        <v>0.26252488790326495</v>
      </c>
      <c r="H57" s="957">
        <v>0.22369264942825409</v>
      </c>
      <c r="I57" s="957">
        <v>0.21271679815161051</v>
      </c>
      <c r="J57" s="957">
        <v>0.24569104939697795</v>
      </c>
      <c r="K57" s="957">
        <v>0.22991221593239805</v>
      </c>
      <c r="L57" s="957">
        <v>0.23851448695373778</v>
      </c>
      <c r="M57" s="957">
        <v>0.27034417479557227</v>
      </c>
      <c r="N57" s="957">
        <v>0.29708150612430062</v>
      </c>
      <c r="O57" s="1133"/>
      <c r="P57" s="957">
        <v>0.23650802988411082</v>
      </c>
      <c r="Q57" s="957">
        <v>0.24423610731789674</v>
      </c>
      <c r="R57" s="1563">
        <v>-0.77280774337859237</v>
      </c>
      <c r="S57" s="957"/>
      <c r="T57" s="1133"/>
      <c r="U57" s="957">
        <v>0.23650802988411082</v>
      </c>
      <c r="V57" s="957">
        <v>0.24423610731789674</v>
      </c>
      <c r="W57" s="957">
        <v>0.2715640970486356</v>
      </c>
      <c r="X57" s="957">
        <v>0.27962040777976133</v>
      </c>
      <c r="Y57" s="957">
        <v>0.2851271594810077</v>
      </c>
      <c r="Z57" s="1082"/>
    </row>
    <row r="58" spans="1:26" ht="12.75" customHeight="1" x14ac:dyDescent="0.2">
      <c r="A58" s="1118"/>
      <c r="B58" s="1128" t="s">
        <v>73</v>
      </c>
      <c r="C58" s="1563">
        <v>-2.9821314318958181</v>
      </c>
      <c r="D58" s="957"/>
      <c r="E58" s="926"/>
      <c r="F58" s="926">
        <v>0.81379342930040632</v>
      </c>
      <c r="G58" s="957">
        <v>0.82344561891966261</v>
      </c>
      <c r="H58" s="957">
        <v>0.79240383562500982</v>
      </c>
      <c r="I58" s="957">
        <v>0.7894568835788226</v>
      </c>
      <c r="J58" s="957">
        <v>0.8436147436193645</v>
      </c>
      <c r="K58" s="957">
        <v>0.80365903683649187</v>
      </c>
      <c r="L58" s="957">
        <v>0.79227362467317641</v>
      </c>
      <c r="M58" s="957">
        <v>0.76925301711671445</v>
      </c>
      <c r="N58" s="957">
        <v>0.82377135944352031</v>
      </c>
      <c r="O58" s="1133"/>
      <c r="P58" s="957">
        <v>0.80449046022315041</v>
      </c>
      <c r="Q58" s="957">
        <v>0.80792321099596287</v>
      </c>
      <c r="R58" s="1563">
        <v>-0.34327507728124651</v>
      </c>
      <c r="S58" s="957"/>
      <c r="T58" s="1133"/>
      <c r="U58" s="957">
        <v>0.80449046022315041</v>
      </c>
      <c r="V58" s="957">
        <v>0.80792321099596287</v>
      </c>
      <c r="W58" s="957">
        <v>0.78595746890275109</v>
      </c>
      <c r="X58" s="957">
        <v>0.81156990148815766</v>
      </c>
      <c r="Y58" s="957">
        <v>0.79472087040326245</v>
      </c>
      <c r="Z58" s="1082"/>
    </row>
    <row r="59" spans="1:26" ht="12.75" customHeight="1" x14ac:dyDescent="0.2">
      <c r="A59" s="1118"/>
      <c r="B59" s="1128" t="s">
        <v>74</v>
      </c>
      <c r="C59" s="1563">
        <v>2.934448155862829</v>
      </c>
      <c r="D59" s="957"/>
      <c r="E59" s="926"/>
      <c r="F59" s="926">
        <v>0.17993826188301257</v>
      </c>
      <c r="G59" s="957">
        <v>0.17161726856273371</v>
      </c>
      <c r="H59" s="957">
        <v>0.2027781688488432</v>
      </c>
      <c r="I59" s="957">
        <v>0.20592214267256448</v>
      </c>
      <c r="J59" s="957">
        <v>0.15059378032438428</v>
      </c>
      <c r="K59" s="957">
        <v>0.19105751087045697</v>
      </c>
      <c r="L59" s="957">
        <v>0.19932234139053412</v>
      </c>
      <c r="M59" s="957">
        <v>0.2224384087502958</v>
      </c>
      <c r="N59" s="957">
        <v>0.16709511568123395</v>
      </c>
      <c r="O59" s="1133"/>
      <c r="P59" s="957">
        <v>0.19035237366903934</v>
      </c>
      <c r="Q59" s="957">
        <v>0.18547742361569744</v>
      </c>
      <c r="R59" s="1563">
        <v>0.48749500533419032</v>
      </c>
      <c r="S59" s="957"/>
      <c r="T59" s="1133"/>
      <c r="U59" s="957">
        <v>0.19035237366903934</v>
      </c>
      <c r="V59" s="957">
        <v>0.18547742361569744</v>
      </c>
      <c r="W59" s="957">
        <v>0.20445931211476126</v>
      </c>
      <c r="X59" s="957">
        <v>0.17260171004416047</v>
      </c>
      <c r="Y59" s="957">
        <v>0.17182658839834011</v>
      </c>
      <c r="Z59" s="1082"/>
    </row>
    <row r="60" spans="1:26" ht="12.75" customHeight="1" x14ac:dyDescent="0.2">
      <c r="A60" s="1118"/>
      <c r="B60" s="1128"/>
      <c r="C60" s="1563"/>
      <c r="D60" s="957"/>
      <c r="E60" s="926"/>
      <c r="F60" s="926"/>
      <c r="G60" s="957"/>
      <c r="H60" s="957"/>
      <c r="I60" s="957"/>
      <c r="J60" s="957"/>
      <c r="K60" s="957"/>
      <c r="L60" s="957"/>
      <c r="M60" s="957"/>
      <c r="N60" s="957"/>
      <c r="O60" s="1133"/>
      <c r="P60" s="1133"/>
      <c r="Q60" s="1133"/>
      <c r="R60" s="1563"/>
      <c r="S60" s="957"/>
      <c r="T60" s="1133"/>
      <c r="U60" s="1018"/>
      <c r="V60" s="1018"/>
      <c r="W60" s="1018"/>
      <c r="X60" s="1018"/>
      <c r="Y60" s="1018"/>
      <c r="Z60" s="1082"/>
    </row>
    <row r="61" spans="1:26" ht="12.75" customHeight="1" x14ac:dyDescent="0.2">
      <c r="A61" s="1247" t="s">
        <v>177</v>
      </c>
      <c r="B61" s="1128"/>
      <c r="C61" s="1133"/>
      <c r="D61" s="1133"/>
      <c r="E61" s="1082"/>
      <c r="F61" s="1082"/>
      <c r="G61" s="1133"/>
      <c r="H61" s="1133"/>
      <c r="I61" s="1133"/>
      <c r="J61" s="1133"/>
      <c r="K61" s="945"/>
      <c r="L61" s="1133"/>
      <c r="M61" s="1133"/>
      <c r="N61" s="1133"/>
      <c r="O61" s="1133"/>
      <c r="P61" s="1133"/>
      <c r="Q61" s="1133"/>
      <c r="R61" s="1133"/>
      <c r="S61" s="1133"/>
      <c r="T61" s="1133"/>
      <c r="U61" s="1133"/>
      <c r="V61" s="1133"/>
      <c r="W61" s="1133"/>
      <c r="X61" s="1133"/>
      <c r="Y61" s="1133"/>
      <c r="Z61" s="1082"/>
    </row>
    <row r="62" spans="1:26" ht="12.75" customHeight="1" x14ac:dyDescent="0.2">
      <c r="C62" s="2306" t="s">
        <v>667</v>
      </c>
      <c r="D62" s="2307"/>
      <c r="E62" s="900"/>
      <c r="F62" s="902"/>
      <c r="G62" s="975"/>
      <c r="H62" s="975"/>
      <c r="I62" s="976"/>
      <c r="J62" s="975"/>
      <c r="K62" s="975"/>
      <c r="L62" s="975"/>
      <c r="M62" s="976"/>
      <c r="N62" s="975"/>
      <c r="O62" s="1146"/>
      <c r="P62" s="981" t="s">
        <v>668</v>
      </c>
      <c r="Q62" s="981"/>
      <c r="R62" s="981" t="s">
        <v>551</v>
      </c>
      <c r="S62" s="982"/>
      <c r="T62" s="1133"/>
      <c r="U62" s="984"/>
      <c r="V62" s="984"/>
      <c r="W62" s="984"/>
      <c r="X62" s="984"/>
      <c r="Y62" s="984"/>
      <c r="Z62" s="1668"/>
    </row>
    <row r="63" spans="1:26" ht="12.75" customHeight="1" x14ac:dyDescent="0.2">
      <c r="C63" s="2308" t="s">
        <v>35</v>
      </c>
      <c r="D63" s="2309"/>
      <c r="E63" s="905"/>
      <c r="F63" s="906" t="s">
        <v>546</v>
      </c>
      <c r="G63" s="985" t="s">
        <v>547</v>
      </c>
      <c r="H63" s="985" t="s">
        <v>548</v>
      </c>
      <c r="I63" s="986" t="s">
        <v>549</v>
      </c>
      <c r="J63" s="985" t="s">
        <v>497</v>
      </c>
      <c r="K63" s="985" t="s">
        <v>496</v>
      </c>
      <c r="L63" s="985" t="s">
        <v>495</v>
      </c>
      <c r="M63" s="986" t="s">
        <v>494</v>
      </c>
      <c r="N63" s="985" t="s">
        <v>363</v>
      </c>
      <c r="O63" s="989"/>
      <c r="P63" s="985" t="s">
        <v>546</v>
      </c>
      <c r="Q63" s="985" t="s">
        <v>497</v>
      </c>
      <c r="R63" s="2304" t="s">
        <v>35</v>
      </c>
      <c r="S63" s="2305"/>
      <c r="T63" s="1133"/>
      <c r="U63" s="987" t="s">
        <v>550</v>
      </c>
      <c r="V63" s="987" t="s">
        <v>498</v>
      </c>
      <c r="W63" s="987" t="s">
        <v>490</v>
      </c>
      <c r="X63" s="987" t="s">
        <v>360</v>
      </c>
      <c r="Y63" s="987" t="s">
        <v>342</v>
      </c>
      <c r="Z63" s="1668"/>
    </row>
    <row r="64" spans="1:26" ht="12.75" customHeight="1" x14ac:dyDescent="0.2">
      <c r="A64" s="1118"/>
      <c r="B64" s="945" t="s">
        <v>609</v>
      </c>
      <c r="C64" s="1251">
        <v>-2178</v>
      </c>
      <c r="D64" s="1135">
        <v>-3.4053065244922527E-2</v>
      </c>
      <c r="E64" s="1076"/>
      <c r="F64" s="1083">
        <v>61781</v>
      </c>
      <c r="G64" s="1179">
        <v>59847</v>
      </c>
      <c r="H64" s="1179">
        <v>62823</v>
      </c>
      <c r="I64" s="1189">
        <v>64537</v>
      </c>
      <c r="J64" s="1179">
        <v>63959</v>
      </c>
      <c r="K64" s="1179">
        <v>59993</v>
      </c>
      <c r="L64" s="1179">
        <v>36768</v>
      </c>
      <c r="M64" s="1189">
        <v>36957</v>
      </c>
      <c r="N64" s="1179">
        <v>32376</v>
      </c>
      <c r="O64" s="1152"/>
      <c r="P64" s="1157">
        <v>248988</v>
      </c>
      <c r="Q64" s="1158">
        <v>197677</v>
      </c>
      <c r="R64" s="1308">
        <v>51311</v>
      </c>
      <c r="S64" s="1135">
        <v>0.25956990444007144</v>
      </c>
      <c r="T64" s="1133"/>
      <c r="U64" s="1532">
        <v>248988</v>
      </c>
      <c r="V64" s="1532">
        <v>197677</v>
      </c>
      <c r="W64" s="1532">
        <v>131369</v>
      </c>
      <c r="X64" s="1532">
        <v>134172</v>
      </c>
      <c r="Y64" s="1532">
        <v>121274</v>
      </c>
      <c r="Z64" s="1668"/>
    </row>
    <row r="65" spans="1:26" ht="12.75" customHeight="1" x14ac:dyDescent="0.2">
      <c r="A65" s="1118"/>
      <c r="B65" s="945" t="s">
        <v>610</v>
      </c>
      <c r="C65" s="1134">
        <v>0</v>
      </c>
      <c r="D65" s="1017">
        <v>0</v>
      </c>
      <c r="E65" s="1076"/>
      <c r="F65" s="1654">
        <v>0</v>
      </c>
      <c r="G65" s="1158">
        <v>0</v>
      </c>
      <c r="H65" s="1158">
        <v>0</v>
      </c>
      <c r="I65" s="1155">
        <v>0</v>
      </c>
      <c r="J65" s="1158">
        <v>0</v>
      </c>
      <c r="K65" s="999">
        <v>0</v>
      </c>
      <c r="L65" s="1158">
        <v>0</v>
      </c>
      <c r="M65" s="1155">
        <v>0</v>
      </c>
      <c r="N65" s="1158">
        <v>0</v>
      </c>
      <c r="O65" s="1152"/>
      <c r="P65" s="1629">
        <v>0</v>
      </c>
      <c r="Q65" s="1629">
        <v>0</v>
      </c>
      <c r="R65" s="1585">
        <v>0</v>
      </c>
      <c r="S65" s="1017">
        <v>0</v>
      </c>
      <c r="T65" s="1133"/>
      <c r="U65" s="1532">
        <v>0</v>
      </c>
      <c r="V65" s="1532">
        <v>0</v>
      </c>
      <c r="W65" s="1532">
        <v>0</v>
      </c>
      <c r="X65" s="1532">
        <v>5</v>
      </c>
      <c r="Y65" s="1532">
        <v>125</v>
      </c>
      <c r="Z65" s="1668"/>
    </row>
    <row r="66" spans="1:26" ht="12.75" customHeight="1" x14ac:dyDescent="0.2">
      <c r="A66" s="1118"/>
      <c r="B66" s="945" t="s">
        <v>611</v>
      </c>
      <c r="C66" s="1134">
        <v>0</v>
      </c>
      <c r="D66" s="1017">
        <v>0</v>
      </c>
      <c r="E66" s="1076"/>
      <c r="F66" s="1654">
        <v>0</v>
      </c>
      <c r="G66" s="1158">
        <v>0</v>
      </c>
      <c r="H66" s="1158">
        <v>0</v>
      </c>
      <c r="I66" s="1155">
        <v>0</v>
      </c>
      <c r="J66" s="1158">
        <v>0</v>
      </c>
      <c r="K66" s="999">
        <v>0</v>
      </c>
      <c r="L66" s="1158">
        <v>0</v>
      </c>
      <c r="M66" s="1155">
        <v>0</v>
      </c>
      <c r="N66" s="1158">
        <v>0</v>
      </c>
      <c r="O66" s="1156"/>
      <c r="P66" s="1629">
        <v>0</v>
      </c>
      <c r="Q66" s="1629">
        <v>0</v>
      </c>
      <c r="R66" s="1585">
        <v>0</v>
      </c>
      <c r="S66" s="1017">
        <v>0</v>
      </c>
      <c r="T66" s="1158"/>
      <c r="U66" s="1532">
        <v>0</v>
      </c>
      <c r="V66" s="1532">
        <v>0</v>
      </c>
      <c r="W66" s="1532">
        <v>0</v>
      </c>
      <c r="X66" s="1532">
        <v>0</v>
      </c>
      <c r="Y66" s="1532">
        <v>0</v>
      </c>
      <c r="Z66" s="1668"/>
    </row>
    <row r="67" spans="1:26" ht="12.75" customHeight="1" x14ac:dyDescent="0.2">
      <c r="A67" s="1118"/>
      <c r="B67" s="945" t="s">
        <v>612</v>
      </c>
      <c r="C67" s="1134">
        <v>0</v>
      </c>
      <c r="D67" s="1017">
        <v>0</v>
      </c>
      <c r="E67" s="1076"/>
      <c r="F67" s="1654">
        <v>0</v>
      </c>
      <c r="G67" s="1158">
        <v>0</v>
      </c>
      <c r="H67" s="1158">
        <v>0</v>
      </c>
      <c r="I67" s="1155">
        <v>0</v>
      </c>
      <c r="J67" s="1158">
        <v>0</v>
      </c>
      <c r="K67" s="999">
        <v>0</v>
      </c>
      <c r="L67" s="1158">
        <v>0</v>
      </c>
      <c r="M67" s="1155">
        <v>0</v>
      </c>
      <c r="N67" s="1158">
        <v>0</v>
      </c>
      <c r="O67" s="1152"/>
      <c r="P67" s="1629">
        <v>0</v>
      </c>
      <c r="Q67" s="1629">
        <v>0</v>
      </c>
      <c r="R67" s="1585">
        <v>0</v>
      </c>
      <c r="S67" s="1017">
        <v>0</v>
      </c>
      <c r="T67" s="1133"/>
      <c r="U67" s="1532">
        <v>0</v>
      </c>
      <c r="V67" s="1532">
        <v>0</v>
      </c>
      <c r="W67" s="1532">
        <v>0</v>
      </c>
      <c r="X67" s="1532">
        <v>0</v>
      </c>
      <c r="Y67" s="1532">
        <v>0</v>
      </c>
      <c r="Z67" s="1668"/>
    </row>
    <row r="68" spans="1:26" ht="12.75" customHeight="1" x14ac:dyDescent="0.2">
      <c r="A68" s="1118"/>
      <c r="B68" s="945" t="s">
        <v>613</v>
      </c>
      <c r="C68" s="1134">
        <v>631</v>
      </c>
      <c r="D68" s="1017">
        <v>1.601522842639594</v>
      </c>
      <c r="E68" s="1076"/>
      <c r="F68" s="1083">
        <v>1025</v>
      </c>
      <c r="G68" s="1179">
        <v>781</v>
      </c>
      <c r="H68" s="1179">
        <v>693</v>
      </c>
      <c r="I68" s="1189">
        <v>651</v>
      </c>
      <c r="J68" s="1179">
        <v>394</v>
      </c>
      <c r="K68" s="999">
        <v>426</v>
      </c>
      <c r="L68" s="1179">
        <v>277</v>
      </c>
      <c r="M68" s="1189">
        <v>332</v>
      </c>
      <c r="N68" s="1179">
        <v>279</v>
      </c>
      <c r="O68" s="1152"/>
      <c r="P68" s="1157">
        <v>3150</v>
      </c>
      <c r="Q68" s="1158">
        <v>1429</v>
      </c>
      <c r="R68" s="1166">
        <v>1721</v>
      </c>
      <c r="S68" s="1017">
        <v>1.2043386983904829</v>
      </c>
      <c r="T68" s="1133"/>
      <c r="U68" s="1532">
        <v>3150</v>
      </c>
      <c r="V68" s="1532">
        <v>1429</v>
      </c>
      <c r="W68" s="1532">
        <v>1187</v>
      </c>
      <c r="X68" s="1532">
        <v>1771</v>
      </c>
      <c r="Y68" s="1532">
        <v>1982</v>
      </c>
      <c r="Z68" s="1668"/>
    </row>
    <row r="69" spans="1:26" ht="12.75" customHeight="1" x14ac:dyDescent="0.2">
      <c r="A69" s="1248"/>
      <c r="B69" s="945" t="s">
        <v>614</v>
      </c>
      <c r="C69" s="1136">
        <v>118</v>
      </c>
      <c r="D69" s="1117">
        <v>0.20701754385964913</v>
      </c>
      <c r="E69" s="2219"/>
      <c r="F69" s="1083">
        <v>688</v>
      </c>
      <c r="G69" s="1210">
        <v>1149</v>
      </c>
      <c r="H69" s="1210">
        <v>411</v>
      </c>
      <c r="I69" s="1209">
        <v>599</v>
      </c>
      <c r="J69" s="1210">
        <v>570</v>
      </c>
      <c r="K69" s="1210">
        <v>526</v>
      </c>
      <c r="L69" s="1210">
        <v>437</v>
      </c>
      <c r="M69" s="1209">
        <v>744</v>
      </c>
      <c r="N69" s="1210">
        <v>410</v>
      </c>
      <c r="O69" s="1152"/>
      <c r="P69" s="1157">
        <v>2847</v>
      </c>
      <c r="Q69" s="1158">
        <v>2277</v>
      </c>
      <c r="R69" s="1172">
        <v>570</v>
      </c>
      <c r="S69" s="1017">
        <v>0.25032938076416339</v>
      </c>
      <c r="T69" s="1118"/>
      <c r="U69" s="1532">
        <v>2847</v>
      </c>
      <c r="V69" s="1532">
        <v>2277</v>
      </c>
      <c r="W69" s="1532">
        <v>2263</v>
      </c>
      <c r="X69" s="1532">
        <v>2411</v>
      </c>
      <c r="Y69" s="1532">
        <v>2170</v>
      </c>
      <c r="Z69" s="1668"/>
    </row>
    <row r="70" spans="1:26" ht="12.75" customHeight="1" x14ac:dyDescent="0.2">
      <c r="A70" s="1248"/>
      <c r="B70" s="945"/>
      <c r="C70" s="1136">
        <v>-1429</v>
      </c>
      <c r="D70" s="1117">
        <v>-2.2010689586125103E-2</v>
      </c>
      <c r="E70" s="1078"/>
      <c r="F70" s="1236">
        <v>63494</v>
      </c>
      <c r="G70" s="1197">
        <v>61777</v>
      </c>
      <c r="H70" s="1197">
        <v>63927</v>
      </c>
      <c r="I70" s="1546">
        <v>65787</v>
      </c>
      <c r="J70" s="1313">
        <v>64923</v>
      </c>
      <c r="K70" s="1192">
        <v>60945</v>
      </c>
      <c r="L70" s="1197">
        <v>37482</v>
      </c>
      <c r="M70" s="1546">
        <v>38033</v>
      </c>
      <c r="N70" s="1313">
        <v>33065</v>
      </c>
      <c r="O70" s="1146"/>
      <c r="P70" s="1313">
        <v>254985</v>
      </c>
      <c r="Q70" s="1163">
        <v>201383</v>
      </c>
      <c r="R70" s="1316">
        <v>53602</v>
      </c>
      <c r="S70" s="1115">
        <v>0.26616943833392093</v>
      </c>
      <c r="U70" s="2253">
        <v>254985</v>
      </c>
      <c r="V70" s="1318">
        <v>201383</v>
      </c>
      <c r="W70" s="1318">
        <v>134819</v>
      </c>
      <c r="X70" s="1318">
        <v>138359</v>
      </c>
      <c r="Y70" s="1315">
        <v>125551</v>
      </c>
      <c r="Z70" s="1668"/>
    </row>
    <row r="71" spans="1:26" ht="12.75" customHeight="1" x14ac:dyDescent="0.2">
      <c r="A71" s="945" t="s">
        <v>339</v>
      </c>
      <c r="B71" s="969"/>
      <c r="C71" s="969"/>
      <c r="D71" s="969"/>
      <c r="E71" s="937"/>
      <c r="F71" s="937"/>
      <c r="G71" s="969"/>
      <c r="H71" s="969"/>
      <c r="I71" s="969"/>
      <c r="J71" s="969"/>
      <c r="K71" s="969"/>
      <c r="L71" s="969"/>
      <c r="M71" s="969"/>
      <c r="N71" s="969"/>
      <c r="P71" s="1109"/>
      <c r="Q71" s="1109"/>
      <c r="R71" s="1118"/>
      <c r="S71" s="1118"/>
      <c r="Z71" s="1075"/>
    </row>
    <row r="72" spans="1:26" x14ac:dyDescent="0.2">
      <c r="A72" s="968" t="s">
        <v>25</v>
      </c>
      <c r="B72" s="1109"/>
      <c r="C72" s="1109"/>
      <c r="D72" s="1109"/>
      <c r="I72" s="1140"/>
      <c r="L72" s="1253"/>
      <c r="M72" s="1253"/>
      <c r="N72" s="1253"/>
      <c r="O72" s="998"/>
      <c r="P72" s="998"/>
      <c r="Q72" s="998"/>
      <c r="R72" s="998"/>
      <c r="S72" s="998"/>
      <c r="T72" s="998"/>
      <c r="U72" s="998"/>
      <c r="V72" s="998"/>
      <c r="W72" s="998"/>
      <c r="X72" s="998"/>
      <c r="Y72" s="998"/>
      <c r="Z72" s="1075"/>
    </row>
    <row r="73" spans="1:26" x14ac:dyDescent="0.2">
      <c r="A73" s="940"/>
      <c r="G73" s="1158"/>
      <c r="I73" s="1140"/>
      <c r="L73" s="1253"/>
      <c r="M73" s="1253"/>
      <c r="N73" s="1253"/>
      <c r="P73" s="1140"/>
      <c r="Q73" s="1109"/>
      <c r="R73" s="1109"/>
      <c r="S73" s="1109"/>
      <c r="T73" s="1109"/>
      <c r="U73" s="1109"/>
      <c r="V73" s="998"/>
      <c r="W73" s="998"/>
      <c r="X73" s="998"/>
      <c r="Y73" s="998"/>
      <c r="Z73" s="1075"/>
    </row>
    <row r="74" spans="1:26" x14ac:dyDescent="0.2">
      <c r="A74" s="945" t="s">
        <v>552</v>
      </c>
      <c r="G74" s="1158"/>
      <c r="I74" s="1140"/>
      <c r="L74" s="1253"/>
      <c r="M74" s="1253"/>
      <c r="N74" s="1253"/>
      <c r="P74" s="1109"/>
      <c r="Q74" s="1109"/>
      <c r="R74" s="1109"/>
      <c r="S74" s="1109"/>
      <c r="T74" s="1109"/>
      <c r="U74" s="1109"/>
      <c r="V74" s="998"/>
      <c r="W74" s="998"/>
      <c r="X74" s="998"/>
      <c r="Y74" s="998"/>
      <c r="Z74" s="1075"/>
    </row>
    <row r="75" spans="1:26" x14ac:dyDescent="0.2">
      <c r="G75" s="1158"/>
      <c r="I75" s="1140"/>
      <c r="L75" s="1253"/>
      <c r="M75" s="1253"/>
      <c r="N75" s="1253"/>
      <c r="P75" s="1109"/>
      <c r="Q75" s="1109"/>
      <c r="R75" s="998"/>
      <c r="S75" s="951"/>
      <c r="T75" s="1109"/>
      <c r="U75" s="1109"/>
      <c r="V75" s="998"/>
      <c r="W75" s="998"/>
      <c r="X75" s="998"/>
      <c r="Y75" s="998"/>
    </row>
    <row r="76" spans="1:26" x14ac:dyDescent="0.2">
      <c r="G76" s="1158"/>
      <c r="I76" s="1140"/>
      <c r="L76" s="1253"/>
      <c r="M76" s="1253"/>
      <c r="N76" s="1253"/>
      <c r="P76" s="1109"/>
      <c r="Q76" s="1109"/>
      <c r="R76" s="998"/>
      <c r="S76" s="951"/>
      <c r="T76" s="1109"/>
      <c r="U76" s="1109"/>
      <c r="V76" s="998"/>
      <c r="W76" s="998"/>
      <c r="X76" s="998"/>
      <c r="Y76" s="998"/>
    </row>
    <row r="77" spans="1:26" x14ac:dyDescent="0.2">
      <c r="G77" s="1158"/>
      <c r="I77" s="1140"/>
      <c r="L77" s="1253"/>
      <c r="M77" s="1253"/>
      <c r="N77" s="1253"/>
      <c r="P77" s="1109"/>
      <c r="Q77" s="1109"/>
      <c r="R77" s="998"/>
      <c r="S77" s="951"/>
      <c r="T77" s="1109"/>
      <c r="U77" s="1109"/>
      <c r="V77" s="998"/>
      <c r="W77" s="998"/>
      <c r="X77" s="998"/>
      <c r="Y77" s="998"/>
    </row>
    <row r="78" spans="1:26" x14ac:dyDescent="0.2">
      <c r="C78" s="1577"/>
      <c r="G78" s="1158"/>
      <c r="I78" s="1140"/>
      <c r="L78" s="1253"/>
      <c r="M78" s="1253"/>
      <c r="N78" s="1253"/>
      <c r="P78" s="1109"/>
      <c r="Q78" s="1109"/>
      <c r="R78" s="1109"/>
      <c r="S78" s="1109"/>
      <c r="T78" s="1109"/>
      <c r="U78" s="1109"/>
      <c r="V78" s="998"/>
      <c r="W78" s="998"/>
      <c r="X78" s="998"/>
      <c r="Y78" s="998"/>
    </row>
    <row r="79" spans="1:26" x14ac:dyDescent="0.2">
      <c r="G79" s="1158"/>
      <c r="P79" s="1109"/>
      <c r="Q79" s="1109"/>
      <c r="R79" s="1109"/>
      <c r="S79" s="1109"/>
      <c r="T79" s="1109"/>
      <c r="U79" s="1109"/>
      <c r="V79" s="1140"/>
      <c r="W79" s="1140"/>
      <c r="X79" s="1140"/>
      <c r="Y79" s="1140"/>
    </row>
    <row r="80" spans="1:26" x14ac:dyDescent="0.2">
      <c r="G80" s="1158"/>
      <c r="P80" s="1109"/>
      <c r="Q80" s="1109"/>
    </row>
    <row r="81" spans="7:25" x14ac:dyDescent="0.2">
      <c r="G81" s="1158"/>
      <c r="P81" s="1109"/>
      <c r="Q81" s="1109"/>
    </row>
    <row r="82" spans="7:25" x14ac:dyDescent="0.2">
      <c r="G82" s="1158"/>
      <c r="P82" s="1109"/>
      <c r="Q82" s="1109"/>
    </row>
    <row r="83" spans="7:25" x14ac:dyDescent="0.2">
      <c r="P83" s="1109"/>
      <c r="Q83" s="1109"/>
    </row>
    <row r="84" spans="7:25" x14ac:dyDescent="0.2">
      <c r="P84" s="1109"/>
      <c r="Q84" s="1109"/>
    </row>
    <row r="85" spans="7:25" x14ac:dyDescent="0.2">
      <c r="P85" s="1109"/>
      <c r="Q85" s="1109"/>
      <c r="V85" s="1219"/>
      <c r="W85" s="1219"/>
      <c r="X85" s="1219"/>
      <c r="Y85" s="1219"/>
    </row>
    <row r="86" spans="7:25" x14ac:dyDescent="0.2">
      <c r="P86" s="1109"/>
      <c r="Q86" s="1109"/>
    </row>
    <row r="87" spans="7:25" x14ac:dyDescent="0.2">
      <c r="P87" s="1109"/>
      <c r="Q87" s="1109"/>
    </row>
    <row r="88" spans="7:25" x14ac:dyDescent="0.2">
      <c r="P88" s="1109"/>
      <c r="Q88" s="1109"/>
    </row>
    <row r="89" spans="7:25" x14ac:dyDescent="0.2">
      <c r="P89" s="1109"/>
      <c r="Q89" s="1109"/>
    </row>
    <row r="90" spans="7:25" x14ac:dyDescent="0.2">
      <c r="P90" s="1109"/>
      <c r="Q90" s="1109"/>
    </row>
    <row r="91" spans="7:25" x14ac:dyDescent="0.2">
      <c r="P91" s="1109"/>
      <c r="Q91" s="1109"/>
    </row>
    <row r="92" spans="7:25" x14ac:dyDescent="0.2">
      <c r="P92" s="1109"/>
      <c r="Q92" s="1109"/>
    </row>
    <row r="93" spans="7:25" x14ac:dyDescent="0.2">
      <c r="P93" s="1109"/>
      <c r="Q93" s="1109"/>
    </row>
    <row r="94" spans="7:25" x14ac:dyDescent="0.2">
      <c r="P94" s="1109"/>
      <c r="Q94" s="1109"/>
    </row>
    <row r="95" spans="7:25" x14ac:dyDescent="0.2">
      <c r="P95" s="1109"/>
      <c r="Q95" s="1109"/>
    </row>
    <row r="96" spans="7:25" x14ac:dyDescent="0.2">
      <c r="P96" s="1109"/>
      <c r="Q96" s="1109"/>
    </row>
    <row r="97" spans="16:17" x14ac:dyDescent="0.2">
      <c r="P97" s="1109"/>
      <c r="Q97" s="1109"/>
    </row>
  </sheetData>
  <mergeCells count="10">
    <mergeCell ref="C63:D63"/>
    <mergeCell ref="R63:S63"/>
    <mergeCell ref="C10:D10"/>
    <mergeCell ref="C11:D11"/>
    <mergeCell ref="R11:S11"/>
    <mergeCell ref="A30:B30"/>
    <mergeCell ref="C49:D49"/>
    <mergeCell ref="C50:D50"/>
    <mergeCell ref="R50:S50"/>
    <mergeCell ref="C62:D62"/>
  </mergeCells>
  <printOptions horizontalCentered="1" verticalCentered="1"/>
  <pageMargins left="0" right="0" top="0" bottom="0" header="0" footer="0"/>
  <pageSetup scale="58" orientation="landscape" r:id="rId1"/>
  <headerFooter alignWithMargins="0">
    <oddFooter>&amp;L&amp;F&amp;CPage 11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Z71"/>
  <sheetViews>
    <sheetView topLeftCell="A25" zoomScale="110" zoomScaleNormal="110" workbookViewId="0">
      <selection activeCell="J10" sqref="J10"/>
    </sheetView>
  </sheetViews>
  <sheetFormatPr defaultColWidth="9.140625" defaultRowHeight="12.75" x14ac:dyDescent="0.2"/>
  <cols>
    <col min="1" max="1" width="2.7109375" style="1108" customWidth="1"/>
    <col min="2" max="2" width="46.7109375" style="1108" customWidth="1"/>
    <col min="3" max="3" width="9.5703125" style="1108" customWidth="1"/>
    <col min="4" max="4" width="9.7109375" style="1627" customWidth="1"/>
    <col min="5" max="5" width="1.5703125" style="1221" customWidth="1"/>
    <col min="6" max="6" width="9.85546875" style="1221" customWidth="1"/>
    <col min="7" max="10" width="9.85546875" style="1253" customWidth="1"/>
    <col min="11" max="11" width="9.85546875" style="1218" customWidth="1"/>
    <col min="12" max="14" width="9.85546875" style="1253" customWidth="1"/>
    <col min="15" max="15" width="1.5703125" style="1253" customWidth="1"/>
    <col min="16" max="17" width="10.42578125" style="1627" hidden="1" customWidth="1"/>
    <col min="18" max="19" width="10.42578125" style="1627" customWidth="1"/>
    <col min="20" max="20" width="1.5703125" style="1627" customWidth="1"/>
    <col min="21" max="21" width="9.5703125" style="1627" customWidth="1"/>
    <col min="22" max="25" width="9.7109375" style="1627" customWidth="1"/>
    <col min="26" max="26" width="1.5703125" style="1104" customWidth="1"/>
    <col min="27" max="16384" width="9.140625" style="1104"/>
  </cols>
  <sheetData>
    <row r="1" spans="1:26" x14ac:dyDescent="0.2">
      <c r="D1" s="1108"/>
      <c r="E1" s="1075"/>
      <c r="F1" s="1075"/>
      <c r="G1" s="1109"/>
      <c r="H1" s="1109"/>
      <c r="I1" s="1109"/>
      <c r="J1" s="1109"/>
      <c r="K1" s="940"/>
      <c r="L1" s="1109"/>
      <c r="M1" s="1109"/>
      <c r="N1" s="1109"/>
      <c r="O1" s="1109"/>
      <c r="P1" s="1108"/>
      <c r="Q1" s="1108"/>
      <c r="R1" s="1108"/>
      <c r="S1" s="1108"/>
      <c r="T1" s="1108"/>
      <c r="U1" s="1108"/>
      <c r="V1" s="1108"/>
      <c r="W1" s="1108"/>
      <c r="X1" s="1108"/>
      <c r="Y1" s="1108"/>
      <c r="Z1" s="1074"/>
    </row>
    <row r="2" spans="1:26" x14ac:dyDescent="0.2">
      <c r="D2" s="1108"/>
      <c r="E2" s="1075"/>
      <c r="F2" s="1075"/>
      <c r="G2" s="940"/>
      <c r="H2" s="940"/>
      <c r="I2" s="940"/>
      <c r="J2" s="1109"/>
      <c r="K2" s="940"/>
      <c r="L2" s="940"/>
      <c r="M2" s="940"/>
      <c r="N2" s="1109"/>
      <c r="O2" s="1109"/>
      <c r="P2" s="1108"/>
      <c r="Q2" s="1108"/>
      <c r="R2" s="1108"/>
      <c r="S2" s="1108"/>
      <c r="T2" s="1108"/>
      <c r="U2" s="1108"/>
      <c r="V2" s="1108"/>
      <c r="W2" s="1108"/>
      <c r="X2" s="1108"/>
      <c r="Y2" s="1108"/>
      <c r="Z2" s="1074"/>
    </row>
    <row r="3" spans="1:26" x14ac:dyDescent="0.2">
      <c r="D3" s="1108"/>
      <c r="E3" s="1075"/>
      <c r="F3" s="1075"/>
      <c r="G3" s="1854"/>
      <c r="H3" s="1854"/>
      <c r="I3" s="940"/>
      <c r="J3" s="1109"/>
      <c r="K3" s="1854"/>
      <c r="L3" s="1854"/>
      <c r="M3" s="940"/>
      <c r="N3" s="1109"/>
      <c r="O3" s="1109"/>
      <c r="P3" s="1108"/>
      <c r="Q3" s="1108"/>
      <c r="R3" s="1108"/>
      <c r="S3" s="1108"/>
      <c r="T3" s="1108"/>
      <c r="U3" s="1108"/>
      <c r="V3" s="1108"/>
      <c r="W3" s="1108"/>
      <c r="X3" s="1108"/>
      <c r="Y3" s="1108"/>
      <c r="Z3" s="1074"/>
    </row>
    <row r="4" spans="1:26" x14ac:dyDescent="0.2">
      <c r="D4" s="1108"/>
      <c r="E4" s="1075"/>
      <c r="F4" s="1075"/>
      <c r="G4" s="940"/>
      <c r="H4" s="940"/>
      <c r="I4" s="940"/>
      <c r="J4" s="1109"/>
      <c r="K4" s="940"/>
      <c r="L4" s="940"/>
      <c r="M4" s="940"/>
      <c r="N4" s="1109"/>
      <c r="O4" s="1109"/>
      <c r="P4" s="1108"/>
      <c r="Q4" s="1108"/>
      <c r="R4" s="1108"/>
      <c r="S4" s="1108"/>
      <c r="T4" s="1108"/>
      <c r="U4" s="1108"/>
      <c r="V4" s="1108"/>
      <c r="W4" s="1108"/>
      <c r="X4" s="1108"/>
      <c r="Y4" s="1108"/>
      <c r="Z4" s="1074"/>
    </row>
    <row r="5" spans="1:26" ht="9" customHeight="1" x14ac:dyDescent="0.2">
      <c r="A5" s="1109"/>
      <c r="B5" s="1109"/>
      <c r="C5" s="1109"/>
      <c r="D5" s="1109"/>
      <c r="E5" s="1075"/>
      <c r="F5" s="1075"/>
      <c r="G5" s="1109"/>
      <c r="H5" s="1109"/>
      <c r="I5" s="1109"/>
      <c r="J5" s="1109"/>
      <c r="K5" s="940"/>
      <c r="L5" s="1109"/>
      <c r="M5" s="1109"/>
      <c r="N5" s="1109"/>
      <c r="O5" s="1109"/>
      <c r="P5" s="1108"/>
      <c r="Q5" s="1108"/>
      <c r="R5" s="1108"/>
      <c r="S5" s="1108"/>
      <c r="T5" s="1108"/>
      <c r="U5" s="1108"/>
      <c r="V5" s="1108"/>
      <c r="W5" s="1108"/>
      <c r="X5" s="1108"/>
      <c r="Y5" s="1108"/>
      <c r="Z5" s="1074"/>
    </row>
    <row r="6" spans="1:26" ht="18" customHeight="1" x14ac:dyDescent="0.2">
      <c r="A6" s="1110" t="s">
        <v>86</v>
      </c>
      <c r="B6" s="1109"/>
      <c r="C6" s="1109"/>
      <c r="D6" s="1109"/>
      <c r="E6" s="1075"/>
      <c r="F6" s="1075"/>
      <c r="I6" s="1109"/>
      <c r="J6" s="1109"/>
      <c r="K6" s="940"/>
      <c r="L6" s="1109"/>
      <c r="M6" s="1109"/>
      <c r="N6" s="1109"/>
      <c r="O6" s="1109"/>
      <c r="P6" s="1108"/>
      <c r="Q6" s="1108"/>
      <c r="R6" s="1108"/>
      <c r="S6" s="1108"/>
      <c r="T6" s="1108"/>
      <c r="U6" s="1108"/>
      <c r="V6" s="1108"/>
      <c r="W6" s="1108"/>
      <c r="X6" s="1108"/>
      <c r="Y6" s="1108"/>
      <c r="Z6" s="1074"/>
    </row>
    <row r="7" spans="1:26" ht="18" customHeight="1" x14ac:dyDescent="0.2">
      <c r="A7" s="1701" t="s">
        <v>325</v>
      </c>
      <c r="B7" s="940"/>
      <c r="C7" s="940"/>
      <c r="D7" s="940"/>
      <c r="E7" s="896"/>
      <c r="F7" s="896"/>
      <c r="G7" s="940"/>
      <c r="H7" s="940"/>
      <c r="I7" s="940"/>
      <c r="J7" s="940"/>
      <c r="K7" s="940"/>
      <c r="L7" s="940"/>
      <c r="M7" s="940"/>
      <c r="N7" s="940"/>
      <c r="O7" s="1109"/>
      <c r="P7" s="1108"/>
      <c r="Q7" s="1108"/>
      <c r="R7" s="1108"/>
      <c r="S7" s="1108"/>
      <c r="T7" s="1108"/>
      <c r="U7" s="1272"/>
      <c r="V7" s="2276"/>
      <c r="W7" s="1108"/>
      <c r="X7" s="1108"/>
      <c r="Y7" s="1108"/>
      <c r="Z7" s="1074"/>
    </row>
    <row r="8" spans="1:26" ht="18" customHeight="1" x14ac:dyDescent="0.2">
      <c r="A8" s="1701"/>
      <c r="B8" s="940"/>
      <c r="C8" s="940"/>
      <c r="D8" s="940"/>
      <c r="E8" s="896"/>
      <c r="F8" s="896"/>
      <c r="G8" s="940"/>
      <c r="H8" s="940"/>
      <c r="I8" s="940"/>
      <c r="J8" s="940"/>
      <c r="K8" s="940"/>
      <c r="L8" s="940"/>
      <c r="M8" s="940"/>
      <c r="N8" s="940"/>
      <c r="O8" s="1109"/>
      <c r="P8" s="1108"/>
      <c r="Q8" s="1108"/>
      <c r="R8" s="1108"/>
      <c r="S8" s="1108"/>
      <c r="T8" s="1108"/>
      <c r="U8" s="1108"/>
      <c r="V8" s="1108"/>
      <c r="W8" s="1108"/>
      <c r="X8" s="1108"/>
      <c r="Y8" s="1108"/>
      <c r="Z8" s="1074"/>
    </row>
    <row r="9" spans="1:26" ht="9.75" customHeight="1" x14ac:dyDescent="0.2">
      <c r="A9" s="940"/>
      <c r="B9" s="940"/>
      <c r="C9" s="940"/>
      <c r="D9" s="940"/>
      <c r="E9" s="896"/>
      <c r="F9" s="896"/>
      <c r="G9" s="940"/>
      <c r="H9" s="940"/>
      <c r="I9" s="940"/>
      <c r="J9" s="940"/>
      <c r="K9" s="940"/>
      <c r="L9" s="940"/>
      <c r="M9" s="940"/>
      <c r="N9" s="940"/>
      <c r="O9" s="940"/>
      <c r="P9" s="939"/>
      <c r="Q9" s="939"/>
      <c r="R9" s="969"/>
      <c r="S9" s="969"/>
      <c r="T9" s="939"/>
      <c r="U9" s="939"/>
      <c r="V9" s="939"/>
      <c r="W9" s="939"/>
      <c r="X9" s="939"/>
      <c r="Y9" s="939"/>
      <c r="Z9" s="1074"/>
    </row>
    <row r="10" spans="1:26" x14ac:dyDescent="0.2">
      <c r="A10" s="944" t="s">
        <v>1</v>
      </c>
      <c r="B10" s="945"/>
      <c r="C10" s="2306" t="s">
        <v>667</v>
      </c>
      <c r="D10" s="2307"/>
      <c r="E10" s="900"/>
      <c r="F10" s="902"/>
      <c r="G10" s="975"/>
      <c r="H10" s="975"/>
      <c r="I10" s="975"/>
      <c r="J10" s="977"/>
      <c r="K10" s="975"/>
      <c r="L10" s="975"/>
      <c r="M10" s="976"/>
      <c r="N10" s="975"/>
      <c r="O10" s="979"/>
      <c r="P10" s="981" t="s">
        <v>668</v>
      </c>
      <c r="Q10" s="981"/>
      <c r="R10" s="981" t="s">
        <v>551</v>
      </c>
      <c r="S10" s="982"/>
      <c r="T10" s="983"/>
      <c r="U10" s="984"/>
      <c r="V10" s="984"/>
      <c r="W10" s="984"/>
      <c r="X10" s="984"/>
      <c r="Y10" s="984"/>
      <c r="Z10" s="1079"/>
    </row>
    <row r="11" spans="1:26" ht="13.5" x14ac:dyDescent="0.2">
      <c r="A11" s="944" t="s">
        <v>2</v>
      </c>
      <c r="B11" s="945"/>
      <c r="C11" s="2308" t="s">
        <v>35</v>
      </c>
      <c r="D11" s="2305"/>
      <c r="E11" s="905"/>
      <c r="F11" s="906" t="s">
        <v>546</v>
      </c>
      <c r="G11" s="985" t="s">
        <v>547</v>
      </c>
      <c r="H11" s="985" t="s">
        <v>548</v>
      </c>
      <c r="I11" s="985" t="s">
        <v>549</v>
      </c>
      <c r="J11" s="987" t="s">
        <v>497</v>
      </c>
      <c r="K11" s="985" t="s">
        <v>496</v>
      </c>
      <c r="L11" s="985" t="s">
        <v>495</v>
      </c>
      <c r="M11" s="986" t="s">
        <v>494</v>
      </c>
      <c r="N11" s="985" t="s">
        <v>363</v>
      </c>
      <c r="O11" s="989"/>
      <c r="P11" s="985" t="s">
        <v>546</v>
      </c>
      <c r="Q11" s="985" t="s">
        <v>497</v>
      </c>
      <c r="R11" s="2304" t="s">
        <v>35</v>
      </c>
      <c r="S11" s="2305"/>
      <c r="T11" s="990"/>
      <c r="U11" s="987" t="s">
        <v>550</v>
      </c>
      <c r="V11" s="987" t="s">
        <v>498</v>
      </c>
      <c r="W11" s="987" t="s">
        <v>490</v>
      </c>
      <c r="X11" s="987" t="s">
        <v>360</v>
      </c>
      <c r="Y11" s="987" t="s">
        <v>342</v>
      </c>
      <c r="Z11" s="1079"/>
    </row>
    <row r="12" spans="1:26" x14ac:dyDescent="0.2">
      <c r="A12" s="944"/>
      <c r="B12" s="945"/>
      <c r="C12" s="1666"/>
      <c r="D12" s="1112"/>
      <c r="E12" s="905"/>
      <c r="F12" s="1080"/>
      <c r="G12" s="1148"/>
      <c r="H12" s="1148"/>
      <c r="I12" s="1148"/>
      <c r="J12" s="1150"/>
      <c r="K12" s="1148"/>
      <c r="L12" s="1148"/>
      <c r="M12" s="1149"/>
      <c r="N12" s="1148"/>
      <c r="O12" s="989"/>
      <c r="P12" s="1148"/>
      <c r="Q12" s="1148"/>
      <c r="R12" s="975"/>
      <c r="S12" s="976"/>
      <c r="T12" s="990"/>
      <c r="U12" s="1150"/>
      <c r="V12" s="1150"/>
      <c r="W12" s="1150"/>
      <c r="X12" s="1150"/>
      <c r="Y12" s="1150"/>
      <c r="Z12" s="1079"/>
    </row>
    <row r="13" spans="1:26" x14ac:dyDescent="0.2">
      <c r="A13" s="946" t="s">
        <v>56</v>
      </c>
      <c r="B13" s="947"/>
      <c r="C13" s="1889"/>
      <c r="D13" s="1036"/>
      <c r="E13" s="918"/>
      <c r="F13" s="899"/>
      <c r="G13" s="945"/>
      <c r="H13" s="945"/>
      <c r="I13" s="945"/>
      <c r="J13" s="1889"/>
      <c r="K13" s="945"/>
      <c r="L13" s="945"/>
      <c r="M13" s="1036"/>
      <c r="N13" s="945"/>
      <c r="O13" s="1016"/>
      <c r="P13" s="945"/>
      <c r="Q13" s="945"/>
      <c r="R13" s="945"/>
      <c r="S13" s="1036"/>
      <c r="T13" s="1126"/>
      <c r="U13" s="1016"/>
      <c r="V13" s="1016"/>
      <c r="W13" s="1016"/>
      <c r="X13" s="1016"/>
      <c r="Y13" s="1016"/>
      <c r="Z13" s="1079"/>
    </row>
    <row r="14" spans="1:26" ht="12.75" customHeight="1" x14ac:dyDescent="0.2">
      <c r="A14" s="945"/>
      <c r="B14" s="953" t="s">
        <v>81</v>
      </c>
      <c r="C14" s="955">
        <v>2616</v>
      </c>
      <c r="D14" s="1017">
        <v>0.52163509471585245</v>
      </c>
      <c r="E14" s="917"/>
      <c r="F14" s="1257">
        <v>7631</v>
      </c>
      <c r="G14" s="1179">
        <v>6248</v>
      </c>
      <c r="H14" s="1179">
        <v>5176</v>
      </c>
      <c r="I14" s="1179">
        <v>5375</v>
      </c>
      <c r="J14" s="1257">
        <v>5015</v>
      </c>
      <c r="K14" s="1130">
        <v>3866</v>
      </c>
      <c r="L14" s="1130">
        <v>3104</v>
      </c>
      <c r="M14" s="1154">
        <v>3071</v>
      </c>
      <c r="N14" s="1153">
        <v>4803</v>
      </c>
      <c r="O14" s="1016"/>
      <c r="P14" s="1179">
        <v>24430</v>
      </c>
      <c r="Q14" s="1179">
        <v>15056</v>
      </c>
      <c r="R14" s="998">
        <v>9374</v>
      </c>
      <c r="S14" s="1017">
        <v>0.62260892667375134</v>
      </c>
      <c r="T14" s="1126"/>
      <c r="U14" s="1256">
        <v>24430</v>
      </c>
      <c r="V14" s="1256">
        <v>15056</v>
      </c>
      <c r="W14" s="1256">
        <v>14044</v>
      </c>
      <c r="X14" s="1256">
        <v>8968</v>
      </c>
      <c r="Y14" s="1256">
        <v>16768</v>
      </c>
      <c r="Z14" s="1075"/>
    </row>
    <row r="15" spans="1:26" ht="12.75" customHeight="1" x14ac:dyDescent="0.2">
      <c r="A15" s="947"/>
      <c r="B15" s="945"/>
      <c r="C15" s="1114">
        <v>2616</v>
      </c>
      <c r="D15" s="1115">
        <v>0.52163509471585245</v>
      </c>
      <c r="E15" s="917"/>
      <c r="F15" s="1120">
        <v>7631</v>
      </c>
      <c r="G15" s="1192">
        <v>6248</v>
      </c>
      <c r="H15" s="1192">
        <v>5176</v>
      </c>
      <c r="I15" s="1183">
        <v>5375</v>
      </c>
      <c r="J15" s="1120">
        <v>5015</v>
      </c>
      <c r="K15" s="1192">
        <v>3866</v>
      </c>
      <c r="L15" s="1192">
        <v>3104</v>
      </c>
      <c r="M15" s="1162">
        <v>3071</v>
      </c>
      <c r="N15" s="1192">
        <v>4803</v>
      </c>
      <c r="O15" s="1159"/>
      <c r="P15" s="1183">
        <v>24430</v>
      </c>
      <c r="Q15" s="1183">
        <v>15056</v>
      </c>
      <c r="R15" s="1263">
        <v>9374</v>
      </c>
      <c r="S15" s="1115">
        <v>0.62260892667375134</v>
      </c>
      <c r="T15" s="1126"/>
      <c r="U15" s="1264">
        <v>24430</v>
      </c>
      <c r="V15" s="1262">
        <v>15056</v>
      </c>
      <c r="W15" s="1262">
        <v>14044</v>
      </c>
      <c r="X15" s="1262">
        <v>8968</v>
      </c>
      <c r="Y15" s="1262">
        <v>16768</v>
      </c>
      <c r="Z15" s="1079"/>
    </row>
    <row r="16" spans="1:26" ht="12.75" customHeight="1" x14ac:dyDescent="0.2">
      <c r="A16" s="946" t="s">
        <v>5</v>
      </c>
      <c r="B16" s="945"/>
      <c r="C16" s="955"/>
      <c r="D16" s="1017"/>
      <c r="E16" s="917"/>
      <c r="F16" s="2259"/>
      <c r="G16" s="2260"/>
      <c r="H16" s="2260"/>
      <c r="I16" s="1261"/>
      <c r="J16" s="1257"/>
      <c r="K16" s="1153"/>
      <c r="L16" s="1153"/>
      <c r="M16" s="1154"/>
      <c r="N16" s="1153"/>
      <c r="O16" s="1016"/>
      <c r="P16" s="945"/>
      <c r="Q16" s="945"/>
      <c r="R16" s="998"/>
      <c r="S16" s="1017"/>
      <c r="T16" s="1126"/>
      <c r="U16" s="1951"/>
      <c r="V16" s="1951"/>
      <c r="W16" s="1951"/>
      <c r="X16" s="1592"/>
      <c r="Y16" s="1592"/>
      <c r="Z16" s="1075"/>
    </row>
    <row r="17" spans="1:26" ht="12.75" customHeight="1" x14ac:dyDescent="0.2">
      <c r="A17" s="947"/>
      <c r="B17" s="1126" t="s">
        <v>640</v>
      </c>
      <c r="C17" s="955">
        <v>3592</v>
      </c>
      <c r="D17" s="1017">
        <v>1.1011649294911097</v>
      </c>
      <c r="E17" s="917"/>
      <c r="F17" s="1086">
        <v>6854</v>
      </c>
      <c r="G17" s="1130">
        <v>5149</v>
      </c>
      <c r="H17" s="1130">
        <v>4890</v>
      </c>
      <c r="I17" s="1165">
        <v>2487</v>
      </c>
      <c r="J17" s="1270">
        <v>3262</v>
      </c>
      <c r="K17" s="1130">
        <v>3849</v>
      </c>
      <c r="L17" s="1130">
        <v>1717</v>
      </c>
      <c r="M17" s="1165">
        <v>2643</v>
      </c>
      <c r="N17" s="1130">
        <v>957</v>
      </c>
      <c r="O17" s="1182"/>
      <c r="P17" s="1130">
        <v>19380</v>
      </c>
      <c r="Q17" s="1130">
        <v>11471</v>
      </c>
      <c r="R17" s="1186">
        <v>7909</v>
      </c>
      <c r="S17" s="1017">
        <v>0.68947781361694704</v>
      </c>
      <c r="T17" s="1126"/>
      <c r="U17" s="1256">
        <v>19380</v>
      </c>
      <c r="V17" s="1178">
        <v>11471</v>
      </c>
      <c r="W17" s="1178">
        <v>10314</v>
      </c>
      <c r="X17" s="1156">
        <v>8535</v>
      </c>
      <c r="Y17" s="1156">
        <v>11744</v>
      </c>
      <c r="Z17" s="1075"/>
    </row>
    <row r="18" spans="1:26" ht="12.75" customHeight="1" x14ac:dyDescent="0.2">
      <c r="A18" s="947"/>
      <c r="B18" s="1126" t="s">
        <v>61</v>
      </c>
      <c r="C18" s="955">
        <v>947</v>
      </c>
      <c r="D18" s="1017">
        <v>0.1373658253553815</v>
      </c>
      <c r="E18" s="917"/>
      <c r="F18" s="1086">
        <v>7841</v>
      </c>
      <c r="G18" s="1153">
        <v>7216</v>
      </c>
      <c r="H18" s="1153">
        <v>6797</v>
      </c>
      <c r="I18" s="1165">
        <v>7457</v>
      </c>
      <c r="J18" s="1257">
        <v>6894</v>
      </c>
      <c r="K18" s="1153">
        <v>6479</v>
      </c>
      <c r="L18" s="1153">
        <v>6163</v>
      </c>
      <c r="M18" s="1165">
        <v>6662</v>
      </c>
      <c r="N18" s="1153">
        <v>6841</v>
      </c>
      <c r="O18" s="1182"/>
      <c r="P18" s="1130">
        <v>29311</v>
      </c>
      <c r="Q18" s="1130">
        <v>26198</v>
      </c>
      <c r="R18" s="1186">
        <v>3113</v>
      </c>
      <c r="S18" s="1017">
        <v>0.11882586456981449</v>
      </c>
      <c r="T18" s="1126"/>
      <c r="U18" s="1256">
        <v>29311</v>
      </c>
      <c r="V18" s="1256">
        <v>26198</v>
      </c>
      <c r="W18" s="1256">
        <v>26554</v>
      </c>
      <c r="X18" s="1256">
        <v>29350</v>
      </c>
      <c r="Y18" s="1156">
        <v>29356</v>
      </c>
      <c r="Z18" s="1075"/>
    </row>
    <row r="19" spans="1:26" ht="12.75" customHeight="1" x14ac:dyDescent="0.2">
      <c r="A19" s="947"/>
      <c r="B19" s="1126" t="s">
        <v>88</v>
      </c>
      <c r="C19" s="955">
        <v>-1240</v>
      </c>
      <c r="D19" s="1017">
        <v>1</v>
      </c>
      <c r="E19" s="917"/>
      <c r="F19" s="1086">
        <v>-2480</v>
      </c>
      <c r="G19" s="1130">
        <v>-1788</v>
      </c>
      <c r="H19" s="1130">
        <v>-1381</v>
      </c>
      <c r="I19" s="1165">
        <v>-2153</v>
      </c>
      <c r="J19" s="1270">
        <v>-1240</v>
      </c>
      <c r="K19" s="1130">
        <v>-1973</v>
      </c>
      <c r="L19" s="1130">
        <v>-1165</v>
      </c>
      <c r="M19" s="1165">
        <v>-2205</v>
      </c>
      <c r="N19" s="1130">
        <v>-2446</v>
      </c>
      <c r="O19" s="1182"/>
      <c r="P19" s="1130">
        <v>-7802</v>
      </c>
      <c r="Q19" s="1130">
        <v>-6583</v>
      </c>
      <c r="R19" s="1186">
        <v>-1219</v>
      </c>
      <c r="S19" s="1017">
        <v>-0.18517393285735986</v>
      </c>
      <c r="T19" s="1126"/>
      <c r="U19" s="1285">
        <v>-7802</v>
      </c>
      <c r="V19" s="1285">
        <v>-6583</v>
      </c>
      <c r="W19" s="1285">
        <v>-7833</v>
      </c>
      <c r="X19" s="1285">
        <v>-8027</v>
      </c>
      <c r="Y19" s="1156">
        <v>-12953</v>
      </c>
      <c r="Z19" s="1075"/>
    </row>
    <row r="20" spans="1:26" ht="12.75" customHeight="1" x14ac:dyDescent="0.2">
      <c r="A20" s="947"/>
      <c r="B20" s="1126" t="s">
        <v>63</v>
      </c>
      <c r="C20" s="955">
        <v>1005</v>
      </c>
      <c r="D20" s="1017">
        <v>1.7062818336162988</v>
      </c>
      <c r="E20" s="917"/>
      <c r="F20" s="1086">
        <v>1594</v>
      </c>
      <c r="G20" s="1153">
        <v>1550</v>
      </c>
      <c r="H20" s="1153">
        <v>1200</v>
      </c>
      <c r="I20" s="1165">
        <v>1155</v>
      </c>
      <c r="J20" s="1257">
        <v>589</v>
      </c>
      <c r="K20" s="1153">
        <v>972</v>
      </c>
      <c r="L20" s="1153">
        <v>492</v>
      </c>
      <c r="M20" s="1165">
        <v>1095</v>
      </c>
      <c r="N20" s="1153">
        <v>1480</v>
      </c>
      <c r="O20" s="1182"/>
      <c r="P20" s="1130">
        <v>5499</v>
      </c>
      <c r="Q20" s="1130">
        <v>3148</v>
      </c>
      <c r="R20" s="1186">
        <v>2351</v>
      </c>
      <c r="S20" s="1017">
        <v>0.74682337992376113</v>
      </c>
      <c r="T20" s="1126"/>
      <c r="U20" s="1256">
        <v>5499</v>
      </c>
      <c r="V20" s="1256">
        <v>3148</v>
      </c>
      <c r="W20" s="1256">
        <v>7540</v>
      </c>
      <c r="X20" s="1256">
        <v>5262</v>
      </c>
      <c r="Y20" s="1156">
        <v>3953</v>
      </c>
      <c r="Z20" s="1075"/>
    </row>
    <row r="21" spans="1:26" ht="12.75" customHeight="1" x14ac:dyDescent="0.2">
      <c r="A21" s="947"/>
      <c r="B21" s="1126" t="s">
        <v>64</v>
      </c>
      <c r="C21" s="955">
        <v>725</v>
      </c>
      <c r="D21" s="1017">
        <v>0.51309271054493988</v>
      </c>
      <c r="E21" s="917"/>
      <c r="F21" s="1086">
        <v>2138</v>
      </c>
      <c r="G21" s="1153">
        <v>839</v>
      </c>
      <c r="H21" s="1153">
        <v>1214</v>
      </c>
      <c r="I21" s="1165">
        <v>1495</v>
      </c>
      <c r="J21" s="1257">
        <v>1413</v>
      </c>
      <c r="K21" s="1153">
        <v>968</v>
      </c>
      <c r="L21" s="1153">
        <v>869</v>
      </c>
      <c r="M21" s="1165">
        <v>1528</v>
      </c>
      <c r="N21" s="1153">
        <v>1807</v>
      </c>
      <c r="O21" s="1182"/>
      <c r="P21" s="1130">
        <v>5686</v>
      </c>
      <c r="Q21" s="1130">
        <v>4778</v>
      </c>
      <c r="R21" s="1186">
        <v>908</v>
      </c>
      <c r="S21" s="1017">
        <v>0.1900376726663876</v>
      </c>
      <c r="T21" s="1126"/>
      <c r="U21" s="1256">
        <v>5686</v>
      </c>
      <c r="V21" s="1256">
        <v>4778</v>
      </c>
      <c r="W21" s="1256">
        <v>5422</v>
      </c>
      <c r="X21" s="1256">
        <v>4978</v>
      </c>
      <c r="Y21" s="1156">
        <v>4838</v>
      </c>
      <c r="Z21" s="1075"/>
    </row>
    <row r="22" spans="1:26" ht="12.75" customHeight="1" x14ac:dyDescent="0.2">
      <c r="A22" s="947"/>
      <c r="B22" s="1126" t="s">
        <v>59</v>
      </c>
      <c r="C22" s="955">
        <v>549</v>
      </c>
      <c r="D22" s="1017">
        <v>0.26093155893536124</v>
      </c>
      <c r="E22" s="917"/>
      <c r="F22" s="1086">
        <v>2653</v>
      </c>
      <c r="G22" s="1153">
        <v>2624</v>
      </c>
      <c r="H22" s="1153">
        <v>4377</v>
      </c>
      <c r="I22" s="1165">
        <v>1396</v>
      </c>
      <c r="J22" s="1257">
        <v>2104</v>
      </c>
      <c r="K22" s="1153">
        <v>1183</v>
      </c>
      <c r="L22" s="1153">
        <v>1180</v>
      </c>
      <c r="M22" s="1165">
        <v>1758</v>
      </c>
      <c r="N22" s="1153">
        <v>1325</v>
      </c>
      <c r="O22" s="1182"/>
      <c r="P22" s="1130">
        <v>11050</v>
      </c>
      <c r="Q22" s="1130">
        <v>6225</v>
      </c>
      <c r="R22" s="1186">
        <v>4825</v>
      </c>
      <c r="S22" s="1017">
        <v>0.77510040160642568</v>
      </c>
      <c r="T22" s="1126"/>
      <c r="U22" s="1256">
        <v>11050</v>
      </c>
      <c r="V22" s="1256">
        <v>6225</v>
      </c>
      <c r="W22" s="1256">
        <v>2896</v>
      </c>
      <c r="X22" s="1256">
        <v>1439</v>
      </c>
      <c r="Y22" s="1156">
        <v>1418</v>
      </c>
      <c r="Z22" s="1075"/>
    </row>
    <row r="23" spans="1:26" ht="12.75" customHeight="1" x14ac:dyDescent="0.2">
      <c r="A23" s="947"/>
      <c r="B23" s="1126" t="s">
        <v>65</v>
      </c>
      <c r="C23" s="955">
        <v>2722</v>
      </c>
      <c r="D23" s="1017">
        <v>2.0073746312684366</v>
      </c>
      <c r="E23" s="917"/>
      <c r="F23" s="1086">
        <v>4078</v>
      </c>
      <c r="G23" s="1153">
        <v>3289</v>
      </c>
      <c r="H23" s="1153">
        <v>2657</v>
      </c>
      <c r="I23" s="1165">
        <v>3339</v>
      </c>
      <c r="J23" s="1257">
        <v>1356</v>
      </c>
      <c r="K23" s="1153">
        <v>3075</v>
      </c>
      <c r="L23" s="1153">
        <v>2421</v>
      </c>
      <c r="M23" s="1165">
        <v>2611</v>
      </c>
      <c r="N23" s="1153">
        <v>5905</v>
      </c>
      <c r="O23" s="1182"/>
      <c r="P23" s="1130">
        <v>13363</v>
      </c>
      <c r="Q23" s="1130">
        <v>9463</v>
      </c>
      <c r="R23" s="1186">
        <v>3900</v>
      </c>
      <c r="S23" s="1017">
        <v>0.41213145936806511</v>
      </c>
      <c r="T23" s="1126"/>
      <c r="U23" s="1256">
        <v>13363</v>
      </c>
      <c r="V23" s="1256">
        <v>9463</v>
      </c>
      <c r="W23" s="1256">
        <v>14429</v>
      </c>
      <c r="X23" s="1256">
        <v>13013</v>
      </c>
      <c r="Y23" s="1156">
        <v>13974</v>
      </c>
      <c r="Z23" s="1075"/>
    </row>
    <row r="24" spans="1:26" ht="12.75" customHeight="1" x14ac:dyDescent="0.2">
      <c r="A24" s="947"/>
      <c r="B24" s="1126" t="s">
        <v>66</v>
      </c>
      <c r="C24" s="955">
        <v>-272</v>
      </c>
      <c r="D24" s="1017">
        <v>-0.69565217391304346</v>
      </c>
      <c r="E24" s="1091"/>
      <c r="F24" s="1086">
        <v>119</v>
      </c>
      <c r="G24" s="1153">
        <v>126</v>
      </c>
      <c r="H24" s="1153">
        <v>288</v>
      </c>
      <c r="I24" s="1165">
        <v>323</v>
      </c>
      <c r="J24" s="1257">
        <v>391</v>
      </c>
      <c r="K24" s="1153">
        <v>387</v>
      </c>
      <c r="L24" s="1153">
        <v>352</v>
      </c>
      <c r="M24" s="1165">
        <v>261</v>
      </c>
      <c r="N24" s="1153">
        <v>287</v>
      </c>
      <c r="O24" s="1182"/>
      <c r="P24" s="1130">
        <v>856</v>
      </c>
      <c r="Q24" s="1130">
        <v>1391</v>
      </c>
      <c r="R24" s="1186">
        <v>-535</v>
      </c>
      <c r="S24" s="1017">
        <v>-0.38461538461538464</v>
      </c>
      <c r="T24" s="1126"/>
      <c r="U24" s="1256">
        <v>856</v>
      </c>
      <c r="V24" s="1256">
        <v>1391</v>
      </c>
      <c r="W24" s="1256">
        <v>1371</v>
      </c>
      <c r="X24" s="1256">
        <v>1160</v>
      </c>
      <c r="Y24" s="1156">
        <v>1920</v>
      </c>
      <c r="Z24" s="1075"/>
    </row>
    <row r="25" spans="1:26" x14ac:dyDescent="0.2">
      <c r="A25" s="947"/>
      <c r="B25" s="1126" t="s">
        <v>67</v>
      </c>
      <c r="C25" s="955">
        <v>-15</v>
      </c>
      <c r="D25" s="1017">
        <v>-0.28846153846153844</v>
      </c>
      <c r="E25" s="917"/>
      <c r="F25" s="1086">
        <v>37</v>
      </c>
      <c r="G25" s="1153">
        <v>44</v>
      </c>
      <c r="H25" s="1153">
        <v>37</v>
      </c>
      <c r="I25" s="1165">
        <v>37</v>
      </c>
      <c r="J25" s="1257">
        <v>52</v>
      </c>
      <c r="K25" s="1153">
        <v>39</v>
      </c>
      <c r="L25" s="1153">
        <v>39</v>
      </c>
      <c r="M25" s="1165">
        <v>71</v>
      </c>
      <c r="N25" s="1153">
        <v>2435</v>
      </c>
      <c r="O25" s="1182"/>
      <c r="P25" s="1130">
        <v>155</v>
      </c>
      <c r="Q25" s="1130">
        <v>201</v>
      </c>
      <c r="R25" s="1186">
        <v>-46</v>
      </c>
      <c r="S25" s="1017">
        <v>-0.22885572139303484</v>
      </c>
      <c r="T25" s="1126"/>
      <c r="U25" s="1256">
        <v>155</v>
      </c>
      <c r="V25" s="1256">
        <v>201</v>
      </c>
      <c r="W25" s="1256">
        <v>3008</v>
      </c>
      <c r="X25" s="1256">
        <v>11349</v>
      </c>
      <c r="Y25" s="1156">
        <v>6764</v>
      </c>
      <c r="Z25" s="1075"/>
    </row>
    <row r="26" spans="1:26" s="1626" customFormat="1" x14ac:dyDescent="0.2">
      <c r="A26" s="945"/>
      <c r="B26" s="945" t="s">
        <v>149</v>
      </c>
      <c r="C26" s="955">
        <v>0</v>
      </c>
      <c r="D26" s="1017">
        <v>0</v>
      </c>
      <c r="E26" s="917"/>
      <c r="F26" s="1086">
        <v>0</v>
      </c>
      <c r="G26" s="999">
        <v>0</v>
      </c>
      <c r="H26" s="999">
        <v>0</v>
      </c>
      <c r="I26" s="1165">
        <v>0</v>
      </c>
      <c r="J26" s="1134">
        <v>0</v>
      </c>
      <c r="K26" s="999">
        <v>0</v>
      </c>
      <c r="L26" s="999">
        <v>0</v>
      </c>
      <c r="M26" s="1165">
        <v>0</v>
      </c>
      <c r="N26" s="999">
        <v>0</v>
      </c>
      <c r="O26" s="1182"/>
      <c r="P26" s="1130">
        <v>0</v>
      </c>
      <c r="Q26" s="1130">
        <v>0</v>
      </c>
      <c r="R26" s="1186">
        <v>0</v>
      </c>
      <c r="S26" s="1017">
        <v>0</v>
      </c>
      <c r="T26" s="1126"/>
      <c r="U26" s="1625">
        <v>0</v>
      </c>
      <c r="V26" s="1625">
        <v>0</v>
      </c>
      <c r="W26" s="1625">
        <v>0</v>
      </c>
      <c r="X26" s="1256">
        <v>5882</v>
      </c>
      <c r="Y26" s="1156">
        <v>3033</v>
      </c>
      <c r="Z26" s="1560"/>
    </row>
    <row r="27" spans="1:26" x14ac:dyDescent="0.2">
      <c r="A27" s="947"/>
      <c r="B27" s="1126" t="s">
        <v>169</v>
      </c>
      <c r="C27" s="955">
        <v>0</v>
      </c>
      <c r="D27" s="1017">
        <v>0</v>
      </c>
      <c r="E27" s="917"/>
      <c r="F27" s="1086">
        <v>0</v>
      </c>
      <c r="G27" s="999">
        <v>0</v>
      </c>
      <c r="H27" s="999">
        <v>0</v>
      </c>
      <c r="I27" s="999">
        <v>0</v>
      </c>
      <c r="J27" s="1671">
        <v>0</v>
      </c>
      <c r="K27" s="999">
        <v>0</v>
      </c>
      <c r="L27" s="999">
        <v>0</v>
      </c>
      <c r="M27" s="1177">
        <v>0</v>
      </c>
      <c r="N27" s="999"/>
      <c r="O27" s="1182"/>
      <c r="P27" s="1130">
        <v>0</v>
      </c>
      <c r="Q27" s="1130">
        <v>0</v>
      </c>
      <c r="R27" s="1186">
        <v>0</v>
      </c>
      <c r="S27" s="1017">
        <v>0</v>
      </c>
      <c r="T27" s="1126"/>
      <c r="U27" s="1625">
        <v>0</v>
      </c>
      <c r="V27" s="1625">
        <v>0</v>
      </c>
      <c r="W27" s="1625">
        <v>0</v>
      </c>
      <c r="X27" s="1625">
        <v>0</v>
      </c>
      <c r="Y27" s="1156">
        <v>0</v>
      </c>
      <c r="Z27" s="1075"/>
    </row>
    <row r="28" spans="1:26" ht="13.5" x14ac:dyDescent="0.2">
      <c r="A28" s="945"/>
      <c r="B28" s="1126" t="s">
        <v>625</v>
      </c>
      <c r="C28" s="955">
        <v>-1898</v>
      </c>
      <c r="D28" s="1017">
        <v>-1</v>
      </c>
      <c r="E28" s="917"/>
      <c r="F28" s="1086">
        <v>0</v>
      </c>
      <c r="G28" s="999">
        <v>0</v>
      </c>
      <c r="H28" s="999">
        <v>0</v>
      </c>
      <c r="I28" s="1165">
        <v>0</v>
      </c>
      <c r="J28" s="1134">
        <v>1898</v>
      </c>
      <c r="K28" s="999">
        <v>0</v>
      </c>
      <c r="L28" s="999">
        <v>0</v>
      </c>
      <c r="M28" s="1165">
        <v>0</v>
      </c>
      <c r="N28" s="999">
        <v>0</v>
      </c>
      <c r="O28" s="1182"/>
      <c r="P28" s="1130">
        <v>0</v>
      </c>
      <c r="Q28" s="1130">
        <v>1898</v>
      </c>
      <c r="R28" s="1186">
        <v>-1898</v>
      </c>
      <c r="S28" s="1017">
        <v>0</v>
      </c>
      <c r="T28" s="1126"/>
      <c r="U28" s="1285">
        <v>0</v>
      </c>
      <c r="V28" s="1178">
        <v>1898</v>
      </c>
      <c r="W28" s="1178">
        <v>0</v>
      </c>
      <c r="X28" s="1156">
        <v>0</v>
      </c>
      <c r="Y28" s="1156">
        <v>0</v>
      </c>
      <c r="Z28" s="1075"/>
    </row>
    <row r="29" spans="1:26" ht="13.5" x14ac:dyDescent="0.2">
      <c r="A29" s="945"/>
      <c r="B29" s="1126" t="s">
        <v>672</v>
      </c>
      <c r="C29" s="955">
        <v>0</v>
      </c>
      <c r="D29" s="1017">
        <v>0</v>
      </c>
      <c r="E29" s="917"/>
      <c r="F29" s="1086">
        <v>0</v>
      </c>
      <c r="G29" s="999">
        <v>0</v>
      </c>
      <c r="H29" s="999">
        <v>8608</v>
      </c>
      <c r="I29" s="1165">
        <v>0</v>
      </c>
      <c r="J29" s="1134">
        <v>0</v>
      </c>
      <c r="K29" s="999">
        <v>0</v>
      </c>
      <c r="L29" s="999">
        <v>0</v>
      </c>
      <c r="M29" s="1165">
        <v>0</v>
      </c>
      <c r="N29" s="999">
        <v>0</v>
      </c>
      <c r="O29" s="1182"/>
      <c r="P29" s="1130">
        <v>8608</v>
      </c>
      <c r="Q29" s="1130">
        <v>0</v>
      </c>
      <c r="R29" s="1186">
        <v>8608</v>
      </c>
      <c r="S29" s="1017" t="s">
        <v>38</v>
      </c>
      <c r="T29" s="1126"/>
      <c r="U29" s="1285">
        <v>8608</v>
      </c>
      <c r="V29" s="1178">
        <v>0</v>
      </c>
      <c r="W29" s="1178">
        <v>0</v>
      </c>
      <c r="X29" s="1156">
        <v>0</v>
      </c>
      <c r="Y29" s="1156">
        <v>0</v>
      </c>
      <c r="Z29" s="1075"/>
    </row>
    <row r="30" spans="1:26" x14ac:dyDescent="0.2">
      <c r="A30" s="945"/>
      <c r="B30" s="945" t="s">
        <v>521</v>
      </c>
      <c r="C30" s="955">
        <v>-107</v>
      </c>
      <c r="D30" s="1017" t="s">
        <v>38</v>
      </c>
      <c r="E30" s="917"/>
      <c r="F30" s="1086">
        <v>-111</v>
      </c>
      <c r="G30" s="999">
        <v>157</v>
      </c>
      <c r="H30" s="999">
        <v>247</v>
      </c>
      <c r="I30" s="1165">
        <v>11</v>
      </c>
      <c r="J30" s="1134">
        <v>-4</v>
      </c>
      <c r="K30" s="999">
        <v>94</v>
      </c>
      <c r="L30" s="999">
        <v>208</v>
      </c>
      <c r="M30" s="1165">
        <v>0</v>
      </c>
      <c r="N30" s="999">
        <v>0</v>
      </c>
      <c r="O30" s="1182"/>
      <c r="P30" s="1130">
        <v>304</v>
      </c>
      <c r="Q30" s="1130">
        <v>298</v>
      </c>
      <c r="R30" s="1186">
        <v>6</v>
      </c>
      <c r="S30" s="1017">
        <v>2.0134228187919462E-2</v>
      </c>
      <c r="T30" s="1126"/>
      <c r="U30" s="1285">
        <v>304</v>
      </c>
      <c r="V30" s="1940">
        <v>298</v>
      </c>
      <c r="W30" s="1940">
        <v>0</v>
      </c>
      <c r="X30" s="1156">
        <v>0</v>
      </c>
      <c r="Y30" s="1156">
        <v>0</v>
      </c>
      <c r="Z30" s="1075"/>
    </row>
    <row r="31" spans="1:26" ht="12.75" customHeight="1" x14ac:dyDescent="0.2">
      <c r="A31" s="947"/>
      <c r="B31" s="945"/>
      <c r="C31" s="1114">
        <v>6008</v>
      </c>
      <c r="D31" s="1115">
        <v>0.35943763087047564</v>
      </c>
      <c r="E31" s="917"/>
      <c r="F31" s="1224">
        <v>22723</v>
      </c>
      <c r="G31" s="1308">
        <v>19206</v>
      </c>
      <c r="H31" s="1308">
        <v>28934</v>
      </c>
      <c r="I31" s="1261">
        <v>15547</v>
      </c>
      <c r="J31" s="1266">
        <v>16715</v>
      </c>
      <c r="K31" s="1308">
        <v>15073</v>
      </c>
      <c r="L31" s="1308">
        <v>12276</v>
      </c>
      <c r="M31" s="1261">
        <v>14424</v>
      </c>
      <c r="N31" s="1260">
        <v>18591</v>
      </c>
      <c r="O31" s="1016"/>
      <c r="P31" s="1183">
        <v>86410</v>
      </c>
      <c r="Q31" s="1183">
        <v>58488</v>
      </c>
      <c r="R31" s="1591">
        <v>27922</v>
      </c>
      <c r="S31" s="1243">
        <v>0.47739707290384353</v>
      </c>
      <c r="T31" s="1036"/>
      <c r="U31" s="1277">
        <v>86410</v>
      </c>
      <c r="V31" s="1164">
        <v>58488</v>
      </c>
      <c r="W31" s="1183">
        <v>63701</v>
      </c>
      <c r="X31" s="1164">
        <v>72941</v>
      </c>
      <c r="Y31" s="1164">
        <v>64047</v>
      </c>
      <c r="Z31" s="1075"/>
    </row>
    <row r="32" spans="1:26" s="1772" customFormat="1" ht="24.75" customHeight="1" x14ac:dyDescent="0.2">
      <c r="A32" s="2427" t="s">
        <v>181</v>
      </c>
      <c r="B32" s="2428"/>
      <c r="C32" s="1114">
        <v>-3392</v>
      </c>
      <c r="D32" s="1115">
        <v>0.28991452991452993</v>
      </c>
      <c r="E32" s="917"/>
      <c r="F32" s="1096">
        <v>-15092</v>
      </c>
      <c r="G32" s="1192">
        <v>-12958</v>
      </c>
      <c r="H32" s="1192">
        <v>-23758</v>
      </c>
      <c r="I32" s="1193">
        <v>-10172</v>
      </c>
      <c r="J32" s="1120">
        <v>-11700</v>
      </c>
      <c r="K32" s="1192">
        <v>-11207</v>
      </c>
      <c r="L32" s="1192">
        <v>-9172</v>
      </c>
      <c r="M32" s="1193">
        <v>-11353</v>
      </c>
      <c r="N32" s="1192">
        <v>-13788</v>
      </c>
      <c r="O32" s="1016"/>
      <c r="P32" s="1211">
        <v>-61980</v>
      </c>
      <c r="Q32" s="1263">
        <v>-43432</v>
      </c>
      <c r="R32" s="1529">
        <v>-18548</v>
      </c>
      <c r="S32" s="1115">
        <v>-0.42705839012709523</v>
      </c>
      <c r="T32" s="1036"/>
      <c r="U32" s="1277">
        <v>-61980</v>
      </c>
      <c r="V32" s="1191">
        <v>-43432</v>
      </c>
      <c r="W32" s="1211">
        <v>-49657</v>
      </c>
      <c r="X32" s="1191">
        <v>-63973</v>
      </c>
      <c r="Y32" s="1185">
        <v>-47279</v>
      </c>
      <c r="Z32" s="1082"/>
    </row>
    <row r="33" spans="1:26" s="1772" customFormat="1" x14ac:dyDescent="0.2">
      <c r="A33" s="1954"/>
      <c r="B33" s="1944" t="s">
        <v>313</v>
      </c>
      <c r="C33" s="1114">
        <v>-2329</v>
      </c>
      <c r="D33" s="1115">
        <v>0.30105997931747674</v>
      </c>
      <c r="E33" s="917"/>
      <c r="F33" s="1086">
        <v>-10065</v>
      </c>
      <c r="G33" s="1130">
        <v>-7658</v>
      </c>
      <c r="H33" s="1130">
        <v>-7781</v>
      </c>
      <c r="I33" s="1283">
        <v>-7652</v>
      </c>
      <c r="J33" s="1292">
        <v>-7736</v>
      </c>
      <c r="K33" s="1170">
        <v>-7502</v>
      </c>
      <c r="L33" s="1170">
        <v>-7960</v>
      </c>
      <c r="M33" s="1293">
        <v>-8855</v>
      </c>
      <c r="N33" s="1130">
        <v>-9443</v>
      </c>
      <c r="O33" s="1584"/>
      <c r="P33" s="1130">
        <v>-33156</v>
      </c>
      <c r="Q33" s="1130">
        <v>-32053</v>
      </c>
      <c r="R33" s="1130">
        <v>-1103</v>
      </c>
      <c r="S33" s="1115">
        <v>-3.4411755529903595E-2</v>
      </c>
      <c r="T33" s="2268"/>
      <c r="U33" s="1277">
        <v>-33156</v>
      </c>
      <c r="V33" s="1285">
        <v>-32053</v>
      </c>
      <c r="W33" s="1130">
        <v>-35006</v>
      </c>
      <c r="X33" s="1285">
        <v>-38941</v>
      </c>
      <c r="Y33" s="1593">
        <v>-33593</v>
      </c>
      <c r="Z33" s="1075"/>
    </row>
    <row r="34" spans="1:26" s="1772" customFormat="1" ht="13.5" thickBot="1" x14ac:dyDescent="0.25">
      <c r="A34" s="1946" t="s">
        <v>69</v>
      </c>
      <c r="B34" s="946"/>
      <c r="C34" s="1244">
        <v>-1063</v>
      </c>
      <c r="D34" s="1125">
        <v>0.26816347124117051</v>
      </c>
      <c r="E34" s="917"/>
      <c r="F34" s="1231">
        <v>-5027</v>
      </c>
      <c r="G34" s="1294">
        <v>-5300</v>
      </c>
      <c r="H34" s="1294">
        <v>-15977</v>
      </c>
      <c r="I34" s="1298">
        <v>-2520</v>
      </c>
      <c r="J34" s="1294">
        <v>-3964</v>
      </c>
      <c r="K34" s="1294">
        <v>-3705</v>
      </c>
      <c r="L34" s="1294">
        <v>-1212</v>
      </c>
      <c r="M34" s="1298">
        <v>-2498</v>
      </c>
      <c r="N34" s="1294">
        <v>-4345</v>
      </c>
      <c r="O34" s="1584"/>
      <c r="P34" s="1294">
        <v>-28824</v>
      </c>
      <c r="Q34" s="1294">
        <v>-11379</v>
      </c>
      <c r="R34" s="1294">
        <v>-17445</v>
      </c>
      <c r="S34" s="1125" t="s">
        <v>38</v>
      </c>
      <c r="T34" s="2268"/>
      <c r="U34" s="1300">
        <v>-28824</v>
      </c>
      <c r="V34" s="1300">
        <v>-11379</v>
      </c>
      <c r="W34" s="1294">
        <v>-14651</v>
      </c>
      <c r="X34" s="1300">
        <v>-25032</v>
      </c>
      <c r="Y34" s="1300">
        <v>-13686</v>
      </c>
      <c r="Z34" s="1075"/>
    </row>
    <row r="35" spans="1:26" ht="12.75" customHeight="1" thickTop="1" x14ac:dyDescent="0.2">
      <c r="A35" s="1126"/>
      <c r="B35" s="1126"/>
      <c r="C35" s="998"/>
      <c r="D35" s="951"/>
      <c r="E35" s="907"/>
      <c r="F35" s="907"/>
      <c r="G35" s="951"/>
      <c r="H35" s="951"/>
      <c r="I35" s="945"/>
      <c r="J35" s="951"/>
      <c r="K35" s="951"/>
      <c r="L35" s="951"/>
      <c r="M35" s="945"/>
      <c r="N35" s="951"/>
      <c r="O35" s="945"/>
      <c r="P35" s="951"/>
      <c r="Q35" s="951"/>
      <c r="R35" s="998"/>
      <c r="S35" s="951"/>
      <c r="T35" s="945"/>
      <c r="U35" s="945"/>
      <c r="V35" s="945"/>
      <c r="W35" s="945"/>
      <c r="X35" s="1133"/>
      <c r="Y35" s="1133"/>
      <c r="Z35" s="1075"/>
    </row>
    <row r="36" spans="1:26" ht="12.75" customHeight="1" x14ac:dyDescent="0.2">
      <c r="A36" s="1129" t="s">
        <v>84</v>
      </c>
      <c r="B36" s="957"/>
      <c r="C36" s="998">
        <v>20</v>
      </c>
      <c r="D36" s="951">
        <v>6.9444444444444448E-2</v>
      </c>
      <c r="E36" s="907"/>
      <c r="F36" s="912">
        <v>308</v>
      </c>
      <c r="G36" s="998">
        <v>303</v>
      </c>
      <c r="H36" s="998">
        <v>294</v>
      </c>
      <c r="I36" s="998">
        <v>291</v>
      </c>
      <c r="J36" s="998">
        <v>288</v>
      </c>
      <c r="K36" s="998">
        <v>282</v>
      </c>
      <c r="L36" s="998">
        <v>276</v>
      </c>
      <c r="M36" s="998">
        <v>274</v>
      </c>
      <c r="N36" s="998">
        <v>279</v>
      </c>
      <c r="O36" s="945"/>
      <c r="P36" s="998">
        <v>308</v>
      </c>
      <c r="Q36" s="998">
        <v>288</v>
      </c>
      <c r="R36" s="998">
        <v>20</v>
      </c>
      <c r="S36" s="951">
        <v>6.9444444444444448E-2</v>
      </c>
      <c r="T36" s="945"/>
      <c r="U36" s="998">
        <v>308</v>
      </c>
      <c r="V36" s="998">
        <v>288</v>
      </c>
      <c r="W36" s="998">
        <v>279</v>
      </c>
      <c r="X36" s="998">
        <v>288</v>
      </c>
      <c r="Y36" s="998">
        <v>324</v>
      </c>
      <c r="Z36" s="1075"/>
    </row>
    <row r="37" spans="1:26" ht="12.75" customHeight="1" x14ac:dyDescent="0.2">
      <c r="A37" s="1129"/>
      <c r="B37" s="1129"/>
      <c r="C37" s="998"/>
      <c r="D37" s="951"/>
      <c r="E37" s="907"/>
      <c r="F37" s="912"/>
      <c r="G37" s="998"/>
      <c r="H37" s="998"/>
      <c r="I37" s="998"/>
      <c r="J37" s="998"/>
      <c r="K37" s="998"/>
      <c r="L37" s="998"/>
      <c r="M37" s="998"/>
      <c r="N37" s="998"/>
      <c r="O37" s="945"/>
      <c r="P37" s="998"/>
      <c r="Q37" s="998"/>
      <c r="R37" s="998"/>
      <c r="S37" s="951"/>
      <c r="T37" s="945"/>
      <c r="U37" s="998"/>
      <c r="V37" s="998"/>
      <c r="W37" s="998"/>
      <c r="X37" s="998"/>
      <c r="Y37" s="998"/>
      <c r="Z37" s="1075"/>
    </row>
    <row r="38" spans="1:26" ht="12.75" customHeight="1" x14ac:dyDescent="0.2">
      <c r="A38" s="945"/>
      <c r="B38" s="945"/>
      <c r="C38" s="945"/>
      <c r="D38" s="945"/>
      <c r="E38" s="899"/>
      <c r="F38" s="899"/>
      <c r="G38" s="945"/>
      <c r="H38" s="945"/>
      <c r="I38" s="945"/>
      <c r="J38" s="945"/>
      <c r="K38" s="945"/>
      <c r="L38" s="945"/>
      <c r="M38" s="945"/>
      <c r="N38" s="945"/>
      <c r="O38" s="945"/>
      <c r="P38" s="945"/>
      <c r="Q38" s="945"/>
      <c r="R38" s="945"/>
      <c r="S38" s="945"/>
      <c r="T38" s="945"/>
      <c r="U38" s="945"/>
      <c r="V38" s="945"/>
      <c r="W38" s="945"/>
      <c r="X38" s="1133"/>
      <c r="Y38" s="1133"/>
      <c r="Z38" s="1075"/>
    </row>
    <row r="39" spans="1:26" ht="18" customHeight="1" x14ac:dyDescent="0.2">
      <c r="A39" s="1247" t="s">
        <v>622</v>
      </c>
      <c r="B39" s="945"/>
      <c r="C39" s="1126"/>
      <c r="D39" s="1126"/>
      <c r="E39" s="1082"/>
      <c r="F39" s="1082"/>
      <c r="G39" s="1133"/>
      <c r="H39" s="1133"/>
      <c r="I39" s="1133"/>
      <c r="J39" s="1133"/>
      <c r="K39" s="945"/>
      <c r="L39" s="1133"/>
      <c r="M39" s="1133"/>
      <c r="N39" s="1133"/>
      <c r="O39" s="1133"/>
      <c r="P39" s="1133"/>
      <c r="Q39" s="1133"/>
      <c r="R39" s="1133"/>
      <c r="S39" s="1133"/>
      <c r="T39" s="1118"/>
      <c r="U39" s="1594"/>
      <c r="V39" s="1594"/>
      <c r="W39" s="1594"/>
      <c r="X39" s="1594"/>
      <c r="Y39" s="1594"/>
      <c r="Z39" s="1075"/>
    </row>
    <row r="40" spans="1:26" ht="18" customHeight="1" x14ac:dyDescent="0.2">
      <c r="A40" s="1247"/>
      <c r="B40" s="945"/>
      <c r="C40" s="1126"/>
      <c r="D40" s="1126"/>
      <c r="E40" s="1082"/>
      <c r="F40" s="1082"/>
      <c r="G40" s="1133"/>
      <c r="H40" s="1133"/>
      <c r="I40" s="1133"/>
      <c r="J40" s="1133"/>
      <c r="K40" s="945"/>
      <c r="L40" s="1133"/>
      <c r="M40" s="1133"/>
      <c r="N40" s="1133"/>
      <c r="O40" s="1133"/>
      <c r="P40" s="1133"/>
      <c r="Q40" s="1133"/>
      <c r="R40" s="1133"/>
      <c r="S40" s="1133"/>
      <c r="T40" s="1118"/>
      <c r="U40" s="1594"/>
      <c r="V40" s="1594"/>
      <c r="W40" s="1594"/>
      <c r="X40" s="1594"/>
      <c r="Y40" s="1594"/>
      <c r="Z40" s="1075"/>
    </row>
    <row r="41" spans="1:26" ht="12.75" customHeight="1" x14ac:dyDescent="0.2">
      <c r="A41" s="1248"/>
      <c r="B41" s="945"/>
      <c r="C41" s="1126"/>
      <c r="D41" s="1126"/>
      <c r="E41" s="1082"/>
      <c r="F41" s="1082"/>
      <c r="G41" s="1133"/>
      <c r="H41" s="1133"/>
      <c r="I41" s="1133"/>
      <c r="J41" s="1133"/>
      <c r="K41" s="945"/>
      <c r="L41" s="1133"/>
      <c r="M41" s="1133"/>
      <c r="N41" s="1133"/>
      <c r="O41" s="1133"/>
      <c r="P41" s="1305"/>
      <c r="Q41" s="1133"/>
      <c r="R41" s="1133"/>
      <c r="S41" s="1133"/>
      <c r="T41" s="1118"/>
      <c r="U41" s="1118"/>
      <c r="V41" s="1118"/>
      <c r="W41" s="1118"/>
      <c r="X41" s="1118"/>
      <c r="Y41" s="1118"/>
      <c r="Z41" s="1075"/>
    </row>
    <row r="42" spans="1:26" ht="12.75" customHeight="1" x14ac:dyDescent="0.2">
      <c r="A42" s="944"/>
      <c r="B42" s="1564"/>
      <c r="C42" s="2306" t="s">
        <v>667</v>
      </c>
      <c r="D42" s="2307"/>
      <c r="E42" s="900"/>
      <c r="F42" s="902"/>
      <c r="G42" s="975"/>
      <c r="H42" s="975"/>
      <c r="I42" s="1143"/>
      <c r="J42" s="975"/>
      <c r="K42" s="975"/>
      <c r="L42" s="975"/>
      <c r="M42" s="1143"/>
      <c r="N42" s="975"/>
      <c r="O42" s="1146"/>
      <c r="P42" s="981" t="s">
        <v>668</v>
      </c>
      <c r="Q42" s="981"/>
      <c r="R42" s="981" t="s">
        <v>551</v>
      </c>
      <c r="S42" s="982"/>
      <c r="T42" s="983"/>
      <c r="U42" s="984"/>
      <c r="V42" s="984"/>
      <c r="W42" s="984"/>
      <c r="X42" s="984"/>
      <c r="Y42" s="984"/>
      <c r="Z42" s="1079"/>
    </row>
    <row r="43" spans="1:26" ht="12.75" customHeight="1" x14ac:dyDescent="0.2">
      <c r="A43" s="944" t="s">
        <v>2</v>
      </c>
      <c r="B43" s="945"/>
      <c r="C43" s="2408" t="s">
        <v>35</v>
      </c>
      <c r="D43" s="2409"/>
      <c r="E43" s="905"/>
      <c r="F43" s="906" t="s">
        <v>546</v>
      </c>
      <c r="G43" s="985" t="s">
        <v>547</v>
      </c>
      <c r="H43" s="985" t="s">
        <v>548</v>
      </c>
      <c r="I43" s="986" t="s">
        <v>549</v>
      </c>
      <c r="J43" s="985" t="s">
        <v>497</v>
      </c>
      <c r="K43" s="985" t="s">
        <v>496</v>
      </c>
      <c r="L43" s="985" t="s">
        <v>495</v>
      </c>
      <c r="M43" s="986" t="s">
        <v>494</v>
      </c>
      <c r="N43" s="985" t="s">
        <v>363</v>
      </c>
      <c r="O43" s="989"/>
      <c r="P43" s="983" t="s">
        <v>546</v>
      </c>
      <c r="Q43" s="983" t="s">
        <v>497</v>
      </c>
      <c r="R43" s="2310" t="s">
        <v>35</v>
      </c>
      <c r="S43" s="2311"/>
      <c r="T43" s="1203"/>
      <c r="U43" s="1566" t="s">
        <v>550</v>
      </c>
      <c r="V43" s="987" t="s">
        <v>498</v>
      </c>
      <c r="W43" s="987" t="s">
        <v>490</v>
      </c>
      <c r="X43" s="987" t="s">
        <v>360</v>
      </c>
      <c r="Y43" s="987" t="s">
        <v>342</v>
      </c>
      <c r="Z43" s="1079"/>
    </row>
    <row r="44" spans="1:26" ht="12.75" customHeight="1" x14ac:dyDescent="0.2">
      <c r="A44" s="1132"/>
      <c r="B44" s="1133" t="s">
        <v>4</v>
      </c>
      <c r="C44" s="1251">
        <v>2616</v>
      </c>
      <c r="D44" s="1135">
        <v>0.52163509471585245</v>
      </c>
      <c r="E44" s="1076"/>
      <c r="F44" s="1087">
        <v>7631</v>
      </c>
      <c r="G44" s="1166">
        <v>6248</v>
      </c>
      <c r="H44" s="1166">
        <v>5176</v>
      </c>
      <c r="I44" s="1168">
        <v>5375</v>
      </c>
      <c r="J44" s="1166">
        <v>5015</v>
      </c>
      <c r="K44" s="1186">
        <v>3866</v>
      </c>
      <c r="L44" s="1166">
        <v>3104</v>
      </c>
      <c r="M44" s="1168">
        <v>3071</v>
      </c>
      <c r="N44" s="1166">
        <v>4803</v>
      </c>
      <c r="O44" s="1323"/>
      <c r="P44" s="1282">
        <v>24430</v>
      </c>
      <c r="Q44" s="1281">
        <v>15056</v>
      </c>
      <c r="R44" s="2284">
        <v>9374</v>
      </c>
      <c r="S44" s="1205">
        <v>0.62260892667375134</v>
      </c>
      <c r="T44" s="1118"/>
      <c r="U44" s="1291">
        <v>24430</v>
      </c>
      <c r="V44" s="1273">
        <v>15056</v>
      </c>
      <c r="W44" s="1291">
        <v>14044</v>
      </c>
      <c r="X44" s="1291">
        <v>8968</v>
      </c>
      <c r="Y44" s="1156">
        <v>16768</v>
      </c>
      <c r="Z44" s="1075"/>
    </row>
    <row r="45" spans="1:26" ht="12.75" customHeight="1" x14ac:dyDescent="0.2">
      <c r="A45" s="1118"/>
      <c r="B45" s="1133" t="s">
        <v>77</v>
      </c>
      <c r="C45" s="1134">
        <v>7906</v>
      </c>
      <c r="D45" s="1017">
        <v>0.53357629749611934</v>
      </c>
      <c r="E45" s="1968"/>
      <c r="F45" s="1094">
        <v>22723</v>
      </c>
      <c r="G45" s="1187">
        <v>19206</v>
      </c>
      <c r="H45" s="1186">
        <v>20326</v>
      </c>
      <c r="I45" s="1168">
        <v>15547</v>
      </c>
      <c r="J45" s="1186">
        <v>14817</v>
      </c>
      <c r="K45" s="1186">
        <v>15073</v>
      </c>
      <c r="L45" s="1186">
        <v>12276</v>
      </c>
      <c r="M45" s="1168">
        <v>14424</v>
      </c>
      <c r="N45" s="1186">
        <v>18591</v>
      </c>
      <c r="O45" s="1323"/>
      <c r="P45" s="1270">
        <v>77802</v>
      </c>
      <c r="Q45" s="1130">
        <v>56590</v>
      </c>
      <c r="R45" s="999">
        <v>21212</v>
      </c>
      <c r="S45" s="1207">
        <v>0.3748365435589327</v>
      </c>
      <c r="T45" s="1118"/>
      <c r="U45" s="1256">
        <v>77802</v>
      </c>
      <c r="V45" s="1271">
        <v>56590</v>
      </c>
      <c r="W45" s="1256">
        <v>63701</v>
      </c>
      <c r="X45" s="1256">
        <v>60155</v>
      </c>
      <c r="Y45" s="1156">
        <v>55814</v>
      </c>
      <c r="Z45" s="1075"/>
    </row>
    <row r="46" spans="1:26" ht="12.75" customHeight="1" x14ac:dyDescent="0.2">
      <c r="A46" s="1118"/>
      <c r="B46" s="1242" t="s">
        <v>313</v>
      </c>
      <c r="C46" s="1134">
        <v>-2329</v>
      </c>
      <c r="D46" s="1017">
        <v>0.30105997931747674</v>
      </c>
      <c r="E46" s="1968"/>
      <c r="F46" s="1094">
        <v>-10065</v>
      </c>
      <c r="G46" s="1186">
        <v>-7658</v>
      </c>
      <c r="H46" s="1186">
        <v>-7781</v>
      </c>
      <c r="I46" s="1168">
        <v>-7652</v>
      </c>
      <c r="J46" s="1186">
        <v>-7736</v>
      </c>
      <c r="K46" s="1186">
        <v>-7502</v>
      </c>
      <c r="L46" s="1186">
        <v>-7960</v>
      </c>
      <c r="M46" s="1168">
        <v>-8855</v>
      </c>
      <c r="N46" s="1186">
        <v>-9443</v>
      </c>
      <c r="O46" s="1323"/>
      <c r="P46" s="1270">
        <v>-33156</v>
      </c>
      <c r="Q46" s="1130">
        <v>-32053</v>
      </c>
      <c r="R46" s="999">
        <v>-1103</v>
      </c>
      <c r="S46" s="1207">
        <v>-3.4411755529903595E-2</v>
      </c>
      <c r="T46" s="1118"/>
      <c r="U46" s="1285">
        <v>-33156</v>
      </c>
      <c r="V46" s="1283">
        <v>-32053</v>
      </c>
      <c r="W46" s="1285">
        <v>-35006</v>
      </c>
      <c r="X46" s="1285">
        <v>-38941</v>
      </c>
      <c r="Y46" s="1156">
        <v>-33593</v>
      </c>
      <c r="Z46" s="1075"/>
    </row>
    <row r="47" spans="1:26" x14ac:dyDescent="0.2">
      <c r="A47" s="1118"/>
      <c r="B47" s="1242" t="s">
        <v>377</v>
      </c>
      <c r="C47" s="1136">
        <v>-2961</v>
      </c>
      <c r="D47" s="1117">
        <v>1.4332042594385286</v>
      </c>
      <c r="E47" s="1968"/>
      <c r="F47" s="1089">
        <v>-5027</v>
      </c>
      <c r="G47" s="1172">
        <v>-5300</v>
      </c>
      <c r="H47" s="1172">
        <v>-7369</v>
      </c>
      <c r="I47" s="1309">
        <v>-2520</v>
      </c>
      <c r="J47" s="1172">
        <v>-2066</v>
      </c>
      <c r="K47" s="1212">
        <v>-3705</v>
      </c>
      <c r="L47" s="1172">
        <v>-1212</v>
      </c>
      <c r="M47" s="1309">
        <v>-2498</v>
      </c>
      <c r="N47" s="1172">
        <v>-4345</v>
      </c>
      <c r="O47" s="1323"/>
      <c r="P47" s="1292">
        <v>-20216</v>
      </c>
      <c r="Q47" s="1170">
        <v>-9481</v>
      </c>
      <c r="R47" s="1215">
        <v>-10735</v>
      </c>
      <c r="S47" s="1252">
        <v>-1.1322645290581161</v>
      </c>
      <c r="T47" s="1118"/>
      <c r="U47" s="1324">
        <v>-20216</v>
      </c>
      <c r="V47" s="1171">
        <v>-9481</v>
      </c>
      <c r="W47" s="1190">
        <v>-14651</v>
      </c>
      <c r="X47" s="1190">
        <v>-12246</v>
      </c>
      <c r="Y47" s="1325">
        <v>-5453</v>
      </c>
      <c r="Z47" s="1075"/>
    </row>
    <row r="48" spans="1:26" x14ac:dyDescent="0.2">
      <c r="A48" s="1118"/>
      <c r="B48" s="1242"/>
      <c r="C48" s="999"/>
      <c r="D48" s="957"/>
      <c r="E48" s="926"/>
      <c r="F48" s="926"/>
      <c r="G48" s="957"/>
      <c r="H48" s="957"/>
      <c r="I48" s="957"/>
      <c r="J48" s="957"/>
      <c r="K48" s="957"/>
      <c r="L48" s="957"/>
      <c r="M48" s="957"/>
      <c r="N48" s="957"/>
      <c r="O48" s="1133"/>
      <c r="P48" s="1133"/>
      <c r="Q48" s="1133"/>
      <c r="R48" s="999"/>
      <c r="S48" s="1595"/>
      <c r="T48" s="1118"/>
      <c r="U48" s="1118"/>
      <c r="V48" s="1157"/>
      <c r="W48" s="1157"/>
      <c r="X48" s="1157"/>
      <c r="Y48" s="1157"/>
      <c r="Z48" s="1075"/>
    </row>
    <row r="49" spans="1:26" x14ac:dyDescent="0.2">
      <c r="A49" s="945" t="s">
        <v>339</v>
      </c>
      <c r="B49" s="1242"/>
      <c r="C49" s="999"/>
      <c r="D49" s="1042"/>
      <c r="E49" s="1634"/>
      <c r="F49" s="1634"/>
      <c r="G49" s="1042"/>
      <c r="H49" s="1042"/>
      <c r="I49" s="1042"/>
      <c r="J49" s="1042"/>
      <c r="K49" s="1042"/>
      <c r="L49" s="1042"/>
      <c r="M49" s="1042"/>
      <c r="N49" s="1042"/>
      <c r="O49" s="1629"/>
      <c r="P49" s="1629"/>
      <c r="Q49" s="1629"/>
      <c r="R49" s="1042"/>
      <c r="S49" s="1038"/>
      <c r="T49" s="1304"/>
      <c r="U49" s="1304"/>
      <c r="V49" s="1629"/>
      <c r="W49" s="1629"/>
      <c r="X49" s="1629"/>
      <c r="Y49" s="1629"/>
      <c r="Z49" s="1221"/>
    </row>
    <row r="50" spans="1:26" x14ac:dyDescent="0.2">
      <c r="A50" s="968" t="s">
        <v>25</v>
      </c>
      <c r="B50" s="1109"/>
      <c r="C50" s="1109"/>
      <c r="D50" s="1253"/>
      <c r="O50" s="1042"/>
      <c r="P50" s="1042"/>
      <c r="Q50" s="1042"/>
      <c r="R50" s="1042"/>
      <c r="S50" s="1042"/>
      <c r="T50" s="1042"/>
      <c r="U50" s="1042"/>
      <c r="V50" s="1042"/>
      <c r="W50" s="1042"/>
      <c r="X50" s="1042"/>
      <c r="Y50" s="1042"/>
    </row>
    <row r="51" spans="1:26" x14ac:dyDescent="0.2">
      <c r="A51" s="940"/>
      <c r="P51" s="1253"/>
      <c r="Q51" s="1253"/>
    </row>
    <row r="52" spans="1:26" x14ac:dyDescent="0.2">
      <c r="A52" s="945" t="s">
        <v>552</v>
      </c>
      <c r="P52" s="1253"/>
      <c r="Q52" s="1253"/>
    </row>
    <row r="53" spans="1:26" x14ac:dyDescent="0.2">
      <c r="P53" s="1253"/>
      <c r="Q53" s="1253"/>
    </row>
    <row r="54" spans="1:26" x14ac:dyDescent="0.2">
      <c r="P54" s="1253"/>
      <c r="Q54" s="1253"/>
    </row>
    <row r="55" spans="1:26" x14ac:dyDescent="0.2">
      <c r="P55" s="1253"/>
      <c r="Q55" s="1253"/>
    </row>
    <row r="56" spans="1:26" x14ac:dyDescent="0.2">
      <c r="P56" s="1253"/>
      <c r="Q56" s="1253"/>
    </row>
    <row r="57" spans="1:26" x14ac:dyDescent="0.2">
      <c r="P57" s="1253"/>
      <c r="Q57" s="1253"/>
    </row>
    <row r="58" spans="1:26" x14ac:dyDescent="0.2">
      <c r="P58" s="1253"/>
      <c r="Q58" s="1253"/>
    </row>
    <row r="59" spans="1:26" x14ac:dyDescent="0.2">
      <c r="P59" s="1253"/>
      <c r="Q59" s="1253"/>
    </row>
    <row r="60" spans="1:26" x14ac:dyDescent="0.2">
      <c r="P60" s="1253"/>
      <c r="Q60" s="1253"/>
    </row>
    <row r="61" spans="1:26" x14ac:dyDescent="0.2">
      <c r="P61" s="1253"/>
      <c r="Q61" s="1253"/>
    </row>
    <row r="62" spans="1:26" x14ac:dyDescent="0.2">
      <c r="P62" s="1253"/>
      <c r="Q62" s="1253"/>
    </row>
    <row r="63" spans="1:26" x14ac:dyDescent="0.2">
      <c r="P63" s="1253"/>
      <c r="Q63" s="1253"/>
    </row>
    <row r="64" spans="1:26" x14ac:dyDescent="0.2">
      <c r="P64" s="1253"/>
      <c r="Q64" s="1253"/>
    </row>
    <row r="65" spans="16:17" x14ac:dyDescent="0.2">
      <c r="P65" s="1253"/>
      <c r="Q65" s="1253"/>
    </row>
    <row r="66" spans="16:17" x14ac:dyDescent="0.2">
      <c r="P66" s="1253"/>
      <c r="Q66" s="1253"/>
    </row>
    <row r="67" spans="16:17" x14ac:dyDescent="0.2">
      <c r="P67" s="1253"/>
      <c r="Q67" s="1253"/>
    </row>
    <row r="68" spans="16:17" x14ac:dyDescent="0.2">
      <c r="P68" s="1253"/>
      <c r="Q68" s="1253"/>
    </row>
    <row r="69" spans="16:17" x14ac:dyDescent="0.2">
      <c r="P69" s="1253"/>
      <c r="Q69" s="1253"/>
    </row>
    <row r="70" spans="16:17" x14ac:dyDescent="0.2">
      <c r="P70" s="1253"/>
      <c r="Q70" s="1253"/>
    </row>
    <row r="71" spans="16:17" x14ac:dyDescent="0.2">
      <c r="P71" s="1253"/>
      <c r="Q71" s="1253"/>
    </row>
  </sheetData>
  <mergeCells count="7">
    <mergeCell ref="R11:S11"/>
    <mergeCell ref="R43:S43"/>
    <mergeCell ref="A32:B32"/>
    <mergeCell ref="C10:D10"/>
    <mergeCell ref="C11:D11"/>
    <mergeCell ref="C42:D42"/>
    <mergeCell ref="C43:D43"/>
  </mergeCells>
  <phoneticPr fontId="13" type="noConversion"/>
  <conditionalFormatting sqref="A35:B35 A39:A41">
    <cfRule type="cellIs" dxfId="18" priority="1" stopIfTrue="1" operator="equal">
      <formula>0</formula>
    </cfRule>
  </conditionalFormatting>
  <printOptions horizontalCentered="1"/>
  <pageMargins left="0" right="0" top="0.75" bottom="0" header="0" footer="0"/>
  <pageSetup scale="59" orientation="landscape" r:id="rId1"/>
  <headerFooter alignWithMargins="0">
    <oddFooter>&amp;L&amp;F&amp;CPage 12</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71"/>
  <sheetViews>
    <sheetView topLeftCell="A7" zoomScaleNormal="100" workbookViewId="0">
      <selection activeCell="J10" sqref="J10"/>
    </sheetView>
  </sheetViews>
  <sheetFormatPr defaultColWidth="9.140625" defaultRowHeight="12.75" x14ac:dyDescent="0.2"/>
  <cols>
    <col min="1" max="1" width="3.28515625" style="1108" customWidth="1"/>
    <col min="2" max="2" width="42.28515625" style="1108" customWidth="1"/>
    <col min="3" max="3" width="12.85546875" style="1108" bestFit="1" customWidth="1"/>
    <col min="4" max="4" width="9.7109375" style="1108" bestFit="1" customWidth="1"/>
    <col min="5" max="5" width="1.5703125" style="1075" customWidth="1"/>
    <col min="6" max="6" width="11.140625" style="1075" customWidth="1"/>
    <col min="7" max="7" width="11.140625" style="1109" customWidth="1"/>
    <col min="8" max="14" width="11.140625" style="1253" customWidth="1"/>
    <col min="15" max="15" width="1.5703125" style="1627" customWidth="1"/>
    <col min="16" max="18" width="10.7109375" style="1627" customWidth="1"/>
    <col min="19" max="20" width="11.28515625" style="1627" customWidth="1"/>
    <col min="21" max="21" width="1.5703125" style="1104" customWidth="1"/>
    <col min="22" max="16384" width="9.140625" style="1104"/>
  </cols>
  <sheetData>
    <row r="1" spans="1:21" x14ac:dyDescent="0.2">
      <c r="H1" s="1109"/>
      <c r="I1" s="1109"/>
      <c r="J1" s="1109"/>
      <c r="K1" s="1109"/>
      <c r="L1" s="1109"/>
      <c r="M1" s="1109"/>
      <c r="N1" s="1109"/>
      <c r="O1" s="1108"/>
      <c r="P1" s="1108"/>
      <c r="Q1" s="1108"/>
      <c r="R1" s="1108"/>
      <c r="S1" s="1108"/>
      <c r="T1" s="1108"/>
      <c r="U1" s="1074"/>
    </row>
    <row r="2" spans="1:21" x14ac:dyDescent="0.2">
      <c r="G2" s="940"/>
      <c r="H2" s="940"/>
      <c r="I2" s="940"/>
      <c r="J2" s="1109"/>
      <c r="K2" s="940"/>
      <c r="L2" s="940"/>
      <c r="M2" s="940"/>
      <c r="N2" s="1109"/>
      <c r="O2" s="1108"/>
      <c r="P2" s="1108"/>
      <c r="Q2" s="1108"/>
      <c r="R2" s="1108"/>
      <c r="S2" s="1108"/>
      <c r="T2" s="1108"/>
      <c r="U2" s="1074"/>
    </row>
    <row r="3" spans="1:21" ht="9.75" customHeight="1" x14ac:dyDescent="0.2">
      <c r="G3" s="940"/>
      <c r="H3" s="940"/>
      <c r="I3" s="940"/>
      <c r="J3" s="1109"/>
      <c r="K3" s="940"/>
      <c r="L3" s="940"/>
      <c r="M3" s="940"/>
      <c r="N3" s="1109"/>
      <c r="O3" s="1108"/>
      <c r="P3" s="1108"/>
      <c r="Q3" s="1108"/>
      <c r="R3" s="1108"/>
      <c r="S3" s="1108"/>
      <c r="T3" s="1108"/>
      <c r="U3" s="1074"/>
    </row>
    <row r="4" spans="1:21" x14ac:dyDescent="0.2">
      <c r="G4" s="940"/>
      <c r="H4" s="1854"/>
      <c r="I4" s="940"/>
      <c r="J4" s="1109"/>
      <c r="K4" s="940"/>
      <c r="L4" s="1854"/>
      <c r="M4" s="940"/>
      <c r="N4" s="1109"/>
      <c r="O4" s="1108"/>
      <c r="P4" s="1108"/>
      <c r="Q4" s="1108"/>
      <c r="R4" s="1108"/>
      <c r="S4" s="1108"/>
      <c r="T4" s="1108"/>
      <c r="U4" s="1074"/>
    </row>
    <row r="5" spans="1:21" x14ac:dyDescent="0.2">
      <c r="A5" s="1109"/>
      <c r="B5" s="1109"/>
      <c r="C5" s="1109"/>
      <c r="D5" s="1109"/>
      <c r="G5" s="940"/>
      <c r="H5" s="940"/>
      <c r="I5" s="940"/>
      <c r="J5" s="1109"/>
      <c r="K5" s="940"/>
      <c r="L5" s="940"/>
      <c r="M5" s="940"/>
      <c r="N5" s="1109"/>
      <c r="O5" s="1108"/>
      <c r="P5" s="1108"/>
      <c r="Q5" s="1108"/>
      <c r="R5" s="1108"/>
      <c r="S5" s="1108"/>
      <c r="T5" s="1108"/>
      <c r="U5" s="1074"/>
    </row>
    <row r="6" spans="1:21" ht="18" customHeight="1" x14ac:dyDescent="0.2">
      <c r="A6" s="1110" t="s">
        <v>345</v>
      </c>
      <c r="B6" s="1109"/>
      <c r="C6" s="1109"/>
      <c r="D6" s="1109"/>
      <c r="G6" s="940"/>
      <c r="H6" s="940"/>
      <c r="I6" s="940"/>
      <c r="J6" s="1109"/>
      <c r="K6" s="940"/>
      <c r="L6" s="940"/>
      <c r="M6" s="940"/>
      <c r="N6" s="1109"/>
      <c r="O6" s="1108"/>
      <c r="P6" s="1108"/>
      <c r="Q6" s="1108"/>
      <c r="R6" s="1108"/>
      <c r="S6" s="1108"/>
      <c r="T6" s="1108"/>
      <c r="U6" s="1074"/>
    </row>
    <row r="7" spans="1:21" ht="18" customHeight="1" x14ac:dyDescent="0.2">
      <c r="A7" s="1110" t="s">
        <v>646</v>
      </c>
      <c r="B7" s="1109"/>
      <c r="C7" s="1109"/>
      <c r="D7" s="1109"/>
      <c r="H7" s="1109"/>
      <c r="I7" s="1109"/>
      <c r="J7" s="1109"/>
      <c r="K7" s="1109"/>
      <c r="L7" s="1109"/>
      <c r="M7" s="1109"/>
      <c r="N7" s="1109"/>
      <c r="O7" s="1108"/>
      <c r="P7" s="1108"/>
      <c r="Q7" s="1108"/>
      <c r="R7" s="1108"/>
      <c r="S7" s="1108"/>
      <c r="T7" s="1108"/>
      <c r="U7" s="1074"/>
    </row>
    <row r="8" spans="1:21" x14ac:dyDescent="0.2">
      <c r="A8" s="943"/>
      <c r="B8" s="1109"/>
      <c r="C8" s="1109"/>
      <c r="D8" s="1109"/>
      <c r="H8" s="1109"/>
      <c r="I8" s="1109"/>
      <c r="J8" s="1109"/>
      <c r="K8" s="1109"/>
      <c r="L8" s="1109"/>
      <c r="M8" s="1109"/>
      <c r="N8" s="1109"/>
      <c r="O8" s="1108"/>
      <c r="P8" s="1108"/>
      <c r="Q8" s="1108"/>
      <c r="R8" s="1108"/>
      <c r="S8" s="1108"/>
      <c r="T8" s="1108"/>
      <c r="U8" s="1074"/>
    </row>
    <row r="9" spans="1:21" ht="9.75" customHeight="1" x14ac:dyDescent="0.2">
      <c r="A9" s="940"/>
      <c r="B9" s="940"/>
      <c r="C9" s="940"/>
      <c r="D9" s="940"/>
      <c r="E9" s="896"/>
      <c r="F9" s="896"/>
      <c r="G9" s="940"/>
      <c r="H9" s="940"/>
      <c r="I9" s="940"/>
      <c r="J9" s="940"/>
      <c r="K9" s="940"/>
      <c r="L9" s="940"/>
      <c r="M9" s="940"/>
      <c r="N9" s="940"/>
      <c r="O9" s="1108"/>
      <c r="P9" s="1108"/>
      <c r="Q9" s="1108"/>
      <c r="R9" s="1108"/>
      <c r="S9" s="1108"/>
      <c r="T9" s="1108"/>
      <c r="U9" s="1074"/>
    </row>
    <row r="10" spans="1:21" x14ac:dyDescent="0.2">
      <c r="A10" s="944" t="s">
        <v>1</v>
      </c>
      <c r="B10" s="945"/>
      <c r="C10" s="2306" t="s">
        <v>667</v>
      </c>
      <c r="D10" s="2307"/>
      <c r="E10" s="900"/>
      <c r="F10" s="1077"/>
      <c r="G10" s="1144"/>
      <c r="H10" s="1144"/>
      <c r="I10" s="1143"/>
      <c r="J10" s="1144"/>
      <c r="K10" s="1144"/>
      <c r="L10" s="1144"/>
      <c r="M10" s="1143"/>
      <c r="N10" s="1144"/>
      <c r="O10" s="989"/>
      <c r="P10" s="1143"/>
      <c r="Q10" s="1143"/>
      <c r="R10" s="1144"/>
      <c r="S10" s="984"/>
      <c r="T10" s="984"/>
      <c r="U10" s="1079"/>
    </row>
    <row r="11" spans="1:21" x14ac:dyDescent="0.2">
      <c r="A11" s="944" t="s">
        <v>91</v>
      </c>
      <c r="B11" s="945"/>
      <c r="C11" s="2438" t="s">
        <v>35</v>
      </c>
      <c r="D11" s="2305"/>
      <c r="E11" s="905"/>
      <c r="F11" s="906" t="s">
        <v>546</v>
      </c>
      <c r="G11" s="985" t="s">
        <v>547</v>
      </c>
      <c r="H11" s="985" t="s">
        <v>548</v>
      </c>
      <c r="I11" s="986" t="s">
        <v>549</v>
      </c>
      <c r="J11" s="985" t="s">
        <v>497</v>
      </c>
      <c r="K11" s="985" t="s">
        <v>496</v>
      </c>
      <c r="L11" s="985" t="s">
        <v>495</v>
      </c>
      <c r="M11" s="986" t="s">
        <v>494</v>
      </c>
      <c r="N11" s="985" t="s">
        <v>363</v>
      </c>
      <c r="O11" s="1602"/>
      <c r="P11" s="986" t="s">
        <v>550</v>
      </c>
      <c r="Q11" s="986" t="s">
        <v>498</v>
      </c>
      <c r="R11" s="985" t="s">
        <v>490</v>
      </c>
      <c r="S11" s="989" t="s">
        <v>360</v>
      </c>
      <c r="T11" s="989" t="s">
        <v>342</v>
      </c>
      <c r="U11" s="1079"/>
    </row>
    <row r="12" spans="1:21" s="1221" customFormat="1" x14ac:dyDescent="0.2">
      <c r="A12" s="944"/>
      <c r="B12" s="945"/>
      <c r="C12" s="1666"/>
      <c r="D12" s="1664"/>
      <c r="E12" s="905"/>
      <c r="F12" s="1080"/>
      <c r="G12" s="1148"/>
      <c r="H12" s="1148"/>
      <c r="I12" s="1149"/>
      <c r="J12" s="1148"/>
      <c r="K12" s="1148"/>
      <c r="L12" s="1148"/>
      <c r="M12" s="1149"/>
      <c r="N12" s="1148"/>
      <c r="O12" s="1602"/>
      <c r="P12" s="1149"/>
      <c r="Q12" s="1149"/>
      <c r="R12" s="1148"/>
      <c r="S12" s="1151"/>
      <c r="T12" s="1151"/>
      <c r="U12" s="1079"/>
    </row>
    <row r="13" spans="1:21" ht="12.75" customHeight="1" x14ac:dyDescent="0.2">
      <c r="A13" s="1122" t="s">
        <v>92</v>
      </c>
      <c r="B13" s="1599"/>
      <c r="C13" s="1113"/>
      <c r="D13" s="1111"/>
      <c r="E13" s="1081"/>
      <c r="F13" s="1082"/>
      <c r="G13" s="1133"/>
      <c r="H13" s="1133"/>
      <c r="I13" s="1111"/>
      <c r="J13" s="1133"/>
      <c r="K13" s="1133"/>
      <c r="L13" s="1133"/>
      <c r="M13" s="1111"/>
      <c r="N13" s="1133"/>
      <c r="O13" s="1152"/>
      <c r="P13" s="1111"/>
      <c r="Q13" s="1111"/>
      <c r="R13" s="1133"/>
      <c r="S13" s="1152"/>
      <c r="T13" s="1152"/>
      <c r="U13" s="1079"/>
    </row>
    <row r="14" spans="1:21" ht="12.75" customHeight="1" x14ac:dyDescent="0.2">
      <c r="A14" s="1122"/>
      <c r="B14" s="1118" t="s">
        <v>93</v>
      </c>
      <c r="C14" s="955">
        <v>-42099</v>
      </c>
      <c r="D14" s="1017">
        <v>-4.8791314244388866E-2</v>
      </c>
      <c r="E14" s="1223"/>
      <c r="F14" s="1226">
        <v>820739</v>
      </c>
      <c r="G14" s="1272">
        <v>930912</v>
      </c>
      <c r="H14" s="1272">
        <v>897276</v>
      </c>
      <c r="I14" s="1271">
        <v>739311</v>
      </c>
      <c r="J14" s="1272">
        <v>862838</v>
      </c>
      <c r="K14" s="1272">
        <v>592873</v>
      </c>
      <c r="L14" s="1272">
        <v>543109</v>
      </c>
      <c r="M14" s="1271">
        <v>521725</v>
      </c>
      <c r="N14" s="1272">
        <v>677769</v>
      </c>
      <c r="O14" s="1256"/>
      <c r="P14" s="1271">
        <v>820739</v>
      </c>
      <c r="Q14" s="1271">
        <v>862838</v>
      </c>
      <c r="R14" s="1272">
        <v>677769</v>
      </c>
      <c r="S14" s="1020">
        <v>428329</v>
      </c>
      <c r="T14" s="1020">
        <v>322324</v>
      </c>
      <c r="U14" s="1075"/>
    </row>
    <row r="15" spans="1:21" ht="12.75" customHeight="1" x14ac:dyDescent="0.2">
      <c r="A15" s="1122"/>
      <c r="B15" s="1118" t="s">
        <v>248</v>
      </c>
      <c r="C15" s="955">
        <v>221282</v>
      </c>
      <c r="D15" s="1017">
        <v>0.47159842887192921</v>
      </c>
      <c r="E15" s="1223"/>
      <c r="F15" s="1226">
        <v>690499</v>
      </c>
      <c r="G15" s="1272">
        <v>709037</v>
      </c>
      <c r="H15" s="1272">
        <v>654784</v>
      </c>
      <c r="I15" s="1271">
        <v>625799</v>
      </c>
      <c r="J15" s="1272">
        <v>469217</v>
      </c>
      <c r="K15" s="1272">
        <v>514220</v>
      </c>
      <c r="L15" s="1272">
        <v>469433</v>
      </c>
      <c r="M15" s="1271">
        <v>585258</v>
      </c>
      <c r="N15" s="1272">
        <v>784230</v>
      </c>
      <c r="O15" s="1256"/>
      <c r="P15" s="1271">
        <v>690499</v>
      </c>
      <c r="Q15" s="1271">
        <v>469217</v>
      </c>
      <c r="R15" s="1272">
        <v>784230</v>
      </c>
      <c r="S15" s="1020">
        <v>564746</v>
      </c>
      <c r="T15" s="1020">
        <v>848128</v>
      </c>
      <c r="U15" s="1075"/>
    </row>
    <row r="16" spans="1:21" ht="12.75" customHeight="1" x14ac:dyDescent="0.2">
      <c r="A16" s="1122"/>
      <c r="B16" s="1118" t="s">
        <v>94</v>
      </c>
      <c r="C16" s="955">
        <v>440827</v>
      </c>
      <c r="D16" s="1017">
        <v>0.19894378512498889</v>
      </c>
      <c r="E16" s="1223"/>
      <c r="F16" s="1226">
        <v>2656664</v>
      </c>
      <c r="G16" s="1272">
        <v>1888600</v>
      </c>
      <c r="H16" s="1272">
        <v>2209995</v>
      </c>
      <c r="I16" s="1271">
        <v>2388761</v>
      </c>
      <c r="J16" s="1272">
        <v>2215837</v>
      </c>
      <c r="K16" s="1272">
        <v>1758532</v>
      </c>
      <c r="L16" s="1272">
        <v>1944939</v>
      </c>
      <c r="M16" s="1271">
        <v>2171795</v>
      </c>
      <c r="N16" s="1272">
        <v>3395736</v>
      </c>
      <c r="O16" s="1256"/>
      <c r="P16" s="1271">
        <v>2656664</v>
      </c>
      <c r="Q16" s="1271">
        <v>2215837</v>
      </c>
      <c r="R16" s="1272">
        <v>3395736</v>
      </c>
      <c r="S16" s="1020">
        <v>2041150</v>
      </c>
      <c r="T16" s="1020">
        <v>2491488</v>
      </c>
      <c r="U16" s="1075"/>
    </row>
    <row r="17" spans="1:21" ht="12.75" customHeight="1" x14ac:dyDescent="0.2">
      <c r="A17" s="1122"/>
      <c r="B17" s="1118" t="s">
        <v>95</v>
      </c>
      <c r="C17" s="955">
        <v>1332</v>
      </c>
      <c r="D17" s="1017">
        <v>1.1384615384615384</v>
      </c>
      <c r="E17" s="1223"/>
      <c r="F17" s="912">
        <v>2502</v>
      </c>
      <c r="G17" s="998">
        <v>9789</v>
      </c>
      <c r="H17" s="1272">
        <v>5697</v>
      </c>
      <c r="I17" s="1014">
        <v>5362</v>
      </c>
      <c r="J17" s="998">
        <v>1170</v>
      </c>
      <c r="K17" s="998">
        <v>242</v>
      </c>
      <c r="L17" s="1272">
        <v>2716</v>
      </c>
      <c r="M17" s="1014">
        <v>884</v>
      </c>
      <c r="N17" s="998">
        <v>1085</v>
      </c>
      <c r="O17" s="1256"/>
      <c r="P17" s="1271">
        <v>2502</v>
      </c>
      <c r="Q17" s="1014">
        <v>1170</v>
      </c>
      <c r="R17" s="998">
        <v>1085</v>
      </c>
      <c r="S17" s="1020">
        <v>12537</v>
      </c>
      <c r="T17" s="1020">
        <v>5295</v>
      </c>
      <c r="U17" s="1075"/>
    </row>
    <row r="18" spans="1:21" ht="12.75" customHeight="1" x14ac:dyDescent="0.2">
      <c r="A18" s="1122"/>
      <c r="B18" s="1118" t="s">
        <v>249</v>
      </c>
      <c r="C18" s="955">
        <v>2176</v>
      </c>
      <c r="D18" s="1017">
        <v>0.10912190963341858</v>
      </c>
      <c r="E18" s="1223"/>
      <c r="F18" s="1226">
        <v>22117</v>
      </c>
      <c r="G18" s="1272">
        <v>20831</v>
      </c>
      <c r="H18" s="1272">
        <v>20802</v>
      </c>
      <c r="I18" s="1271">
        <v>18200</v>
      </c>
      <c r="J18" s="1272">
        <v>19941</v>
      </c>
      <c r="K18" s="1272">
        <v>12412</v>
      </c>
      <c r="L18" s="1272">
        <v>15006</v>
      </c>
      <c r="M18" s="1271">
        <v>16231</v>
      </c>
      <c r="N18" s="1272">
        <v>15323</v>
      </c>
      <c r="O18" s="1256"/>
      <c r="P18" s="1271">
        <v>22117</v>
      </c>
      <c r="Q18" s="1271">
        <v>19941</v>
      </c>
      <c r="R18" s="1272">
        <v>15323</v>
      </c>
      <c r="S18" s="1020">
        <v>11221</v>
      </c>
      <c r="T18" s="1020">
        <v>10148</v>
      </c>
      <c r="U18" s="1075"/>
    </row>
    <row r="19" spans="1:21" ht="12.75" customHeight="1" x14ac:dyDescent="0.2">
      <c r="A19" s="1122"/>
      <c r="B19" s="1126" t="s">
        <v>96</v>
      </c>
      <c r="C19" s="955">
        <v>4189</v>
      </c>
      <c r="D19" s="1017">
        <v>2.0584766584766583</v>
      </c>
      <c r="E19" s="1223"/>
      <c r="F19" s="1226">
        <v>6224</v>
      </c>
      <c r="G19" s="1272">
        <v>6184</v>
      </c>
      <c r="H19" s="1272">
        <v>2278</v>
      </c>
      <c r="I19" s="1271">
        <v>2191</v>
      </c>
      <c r="J19" s="1272">
        <v>2035</v>
      </c>
      <c r="K19" s="1272">
        <v>2030</v>
      </c>
      <c r="L19" s="1272">
        <v>2321</v>
      </c>
      <c r="M19" s="1271">
        <v>2960</v>
      </c>
      <c r="N19" s="1272">
        <v>2829</v>
      </c>
      <c r="O19" s="1256"/>
      <c r="P19" s="1271">
        <v>6224</v>
      </c>
      <c r="Q19" s="1271">
        <v>2035</v>
      </c>
      <c r="R19" s="1272">
        <v>2829</v>
      </c>
      <c r="S19" s="1020">
        <v>5578</v>
      </c>
      <c r="T19" s="1020">
        <v>8693</v>
      </c>
      <c r="U19" s="1075"/>
    </row>
    <row r="20" spans="1:21" ht="12.75" customHeight="1" x14ac:dyDescent="0.2">
      <c r="A20" s="1122"/>
      <c r="B20" s="1118" t="s">
        <v>97</v>
      </c>
      <c r="C20" s="955">
        <v>-5175</v>
      </c>
      <c r="D20" s="1017">
        <v>-0.16711337875803275</v>
      </c>
      <c r="E20" s="1223"/>
      <c r="F20" s="1226">
        <v>25792</v>
      </c>
      <c r="G20" s="1272">
        <v>25941</v>
      </c>
      <c r="H20" s="1272">
        <v>26014</v>
      </c>
      <c r="I20" s="1271">
        <v>28467</v>
      </c>
      <c r="J20" s="1272">
        <v>30967</v>
      </c>
      <c r="K20" s="1272">
        <v>31966</v>
      </c>
      <c r="L20" s="1272">
        <v>30717</v>
      </c>
      <c r="M20" s="1271">
        <v>30592</v>
      </c>
      <c r="N20" s="1272">
        <v>31479</v>
      </c>
      <c r="O20" s="1256"/>
      <c r="P20" s="1271">
        <v>25792</v>
      </c>
      <c r="Q20" s="1271">
        <v>30967</v>
      </c>
      <c r="R20" s="1272">
        <v>31479</v>
      </c>
      <c r="S20" s="1020">
        <v>37049</v>
      </c>
      <c r="T20" s="1020">
        <v>43373</v>
      </c>
      <c r="U20" s="1075"/>
    </row>
    <row r="21" spans="1:21" ht="12.75" customHeight="1" x14ac:dyDescent="0.2">
      <c r="A21" s="1122"/>
      <c r="B21" s="1118" t="s">
        <v>98</v>
      </c>
      <c r="C21" s="955">
        <v>106026</v>
      </c>
      <c r="D21" s="1017">
        <v>0.25320790674681359</v>
      </c>
      <c r="E21" s="1223"/>
      <c r="F21" s="1105">
        <v>524757</v>
      </c>
      <c r="G21" s="1211">
        <v>406789</v>
      </c>
      <c r="H21" s="998">
        <v>403285</v>
      </c>
      <c r="I21" s="1014">
        <v>413745</v>
      </c>
      <c r="J21" s="1211">
        <v>418731</v>
      </c>
      <c r="K21" s="1211">
        <v>404929</v>
      </c>
      <c r="L21" s="998">
        <v>405157</v>
      </c>
      <c r="M21" s="1014">
        <v>293805</v>
      </c>
      <c r="N21" s="1211">
        <v>295065</v>
      </c>
      <c r="O21" s="1256"/>
      <c r="P21" s="1271">
        <v>524757</v>
      </c>
      <c r="Q21" s="2271">
        <v>418731</v>
      </c>
      <c r="R21" s="1211">
        <v>295065</v>
      </c>
      <c r="S21" s="1020">
        <v>323936</v>
      </c>
      <c r="T21" s="1020">
        <v>640456</v>
      </c>
      <c r="U21" s="1075"/>
    </row>
    <row r="22" spans="1:21" s="1772" customFormat="1" ht="12.75" customHeight="1" thickBot="1" x14ac:dyDescent="0.25">
      <c r="A22" s="1122" t="s">
        <v>9</v>
      </c>
      <c r="B22" s="1122"/>
      <c r="C22" s="2168">
        <v>728558</v>
      </c>
      <c r="D22" s="1600">
        <v>0.18120015837896344</v>
      </c>
      <c r="E22" s="1596"/>
      <c r="F22" s="1597">
        <v>4749294</v>
      </c>
      <c r="G22" s="1604">
        <v>3998083</v>
      </c>
      <c r="H22" s="1604">
        <v>4220131</v>
      </c>
      <c r="I22" s="1605">
        <v>4221836</v>
      </c>
      <c r="J22" s="1604">
        <v>4020736</v>
      </c>
      <c r="K22" s="1604">
        <v>3317204</v>
      </c>
      <c r="L22" s="1604">
        <v>3413398</v>
      </c>
      <c r="M22" s="1605">
        <v>3623250</v>
      </c>
      <c r="N22" s="1604">
        <v>5203516</v>
      </c>
      <c r="O22" s="1607"/>
      <c r="P22" s="1606">
        <v>4749294</v>
      </c>
      <c r="Q22" s="1605">
        <v>4020736</v>
      </c>
      <c r="R22" s="1604">
        <v>5203516</v>
      </c>
      <c r="S22" s="1608">
        <v>3424546</v>
      </c>
      <c r="T22" s="1608">
        <v>4369905</v>
      </c>
      <c r="U22" s="1227"/>
    </row>
    <row r="23" spans="1:21" ht="12.75" customHeight="1" thickTop="1" x14ac:dyDescent="0.2">
      <c r="A23" s="1118"/>
      <c r="B23" s="1118"/>
      <c r="C23" s="1276"/>
      <c r="D23" s="1017"/>
      <c r="E23" s="1223"/>
      <c r="F23" s="1226"/>
      <c r="G23" s="1272"/>
      <c r="H23" s="1272"/>
      <c r="I23" s="1271"/>
      <c r="J23" s="1272"/>
      <c r="K23" s="1272"/>
      <c r="L23" s="1272"/>
      <c r="M23" s="1271"/>
      <c r="N23" s="1272"/>
      <c r="O23" s="1256"/>
      <c r="P23" s="1271"/>
      <c r="Q23" s="1271"/>
      <c r="R23" s="1272"/>
      <c r="S23" s="1020"/>
      <c r="T23" s="1020"/>
      <c r="U23" s="1075"/>
    </row>
    <row r="24" spans="1:21" ht="12.75" customHeight="1" x14ac:dyDescent="0.2">
      <c r="A24" s="1122" t="s">
        <v>229</v>
      </c>
      <c r="B24" s="1118"/>
      <c r="C24" s="1276"/>
      <c r="D24" s="1017"/>
      <c r="E24" s="1223"/>
      <c r="F24" s="1226"/>
      <c r="G24" s="1272"/>
      <c r="H24" s="1272"/>
      <c r="I24" s="1271"/>
      <c r="J24" s="1272"/>
      <c r="K24" s="1272"/>
      <c r="L24" s="1272"/>
      <c r="M24" s="1271"/>
      <c r="N24" s="1272"/>
      <c r="O24" s="1256"/>
      <c r="P24" s="1271"/>
      <c r="Q24" s="1271"/>
      <c r="R24" s="1272"/>
      <c r="S24" s="1020"/>
      <c r="T24" s="1020"/>
      <c r="U24" s="1075"/>
    </row>
    <row r="25" spans="1:21" ht="12.75" customHeight="1" x14ac:dyDescent="0.2">
      <c r="A25" s="1118"/>
      <c r="B25" s="1118" t="s">
        <v>99</v>
      </c>
      <c r="C25" s="955">
        <v>9639</v>
      </c>
      <c r="D25" s="1017" t="s">
        <v>675</v>
      </c>
      <c r="E25" s="1598"/>
      <c r="F25" s="912">
        <v>9639</v>
      </c>
      <c r="G25" s="998">
        <v>5903</v>
      </c>
      <c r="H25" s="998">
        <v>40635</v>
      </c>
      <c r="I25" s="1014">
        <v>14526</v>
      </c>
      <c r="J25" s="998">
        <v>0</v>
      </c>
      <c r="K25" s="998">
        <v>2767</v>
      </c>
      <c r="L25" s="998">
        <v>27300</v>
      </c>
      <c r="M25" s="1014">
        <v>0</v>
      </c>
      <c r="N25" s="998">
        <v>25280</v>
      </c>
      <c r="O25" s="1256"/>
      <c r="P25" s="1014">
        <v>9639</v>
      </c>
      <c r="Q25" s="1014">
        <v>0</v>
      </c>
      <c r="R25" s="998">
        <v>25280</v>
      </c>
      <c r="S25" s="1020">
        <v>14910</v>
      </c>
      <c r="T25" s="1020">
        <v>20264</v>
      </c>
      <c r="U25" s="1075"/>
    </row>
    <row r="26" spans="1:21" ht="12.75" customHeight="1" x14ac:dyDescent="0.2">
      <c r="A26" s="1118"/>
      <c r="B26" s="1118" t="s">
        <v>250</v>
      </c>
      <c r="C26" s="955">
        <v>72413</v>
      </c>
      <c r="D26" s="1017">
        <v>0.2405699554161711</v>
      </c>
      <c r="E26" s="1223"/>
      <c r="F26" s="1226">
        <v>373419</v>
      </c>
      <c r="G26" s="1272">
        <v>438348</v>
      </c>
      <c r="H26" s="1272">
        <v>409623</v>
      </c>
      <c r="I26" s="1271">
        <v>418081</v>
      </c>
      <c r="J26" s="1272">
        <v>301006</v>
      </c>
      <c r="K26" s="1272">
        <v>342754</v>
      </c>
      <c r="L26" s="1272">
        <v>316003</v>
      </c>
      <c r="M26" s="1271">
        <v>410303</v>
      </c>
      <c r="N26" s="1272">
        <v>645742</v>
      </c>
      <c r="O26" s="1256"/>
      <c r="P26" s="1014">
        <v>373419</v>
      </c>
      <c r="Q26" s="1271">
        <v>301006</v>
      </c>
      <c r="R26" s="1272">
        <v>645742</v>
      </c>
      <c r="S26" s="1020">
        <v>427435</v>
      </c>
      <c r="T26" s="1020">
        <v>654639</v>
      </c>
      <c r="U26" s="1075"/>
    </row>
    <row r="27" spans="1:21" s="1772" customFormat="1" ht="12.75" customHeight="1" x14ac:dyDescent="0.2">
      <c r="A27" s="1118"/>
      <c r="B27" s="1118" t="s">
        <v>218</v>
      </c>
      <c r="C27" s="955">
        <v>494595</v>
      </c>
      <c r="D27" s="1017">
        <v>0.18682419084212251</v>
      </c>
      <c r="E27" s="1223"/>
      <c r="F27" s="1226">
        <v>3141977</v>
      </c>
      <c r="G27" s="1272">
        <v>2426381</v>
      </c>
      <c r="H27" s="1272">
        <v>2691837</v>
      </c>
      <c r="I27" s="1271">
        <v>2742571</v>
      </c>
      <c r="J27" s="1272">
        <v>2647382</v>
      </c>
      <c r="K27" s="1272">
        <v>1982336</v>
      </c>
      <c r="L27" s="1272">
        <v>2130560</v>
      </c>
      <c r="M27" s="1271">
        <v>2383957</v>
      </c>
      <c r="N27" s="1272">
        <v>3681676</v>
      </c>
      <c r="O27" s="1256"/>
      <c r="P27" s="1014">
        <v>3141977</v>
      </c>
      <c r="Q27" s="1271">
        <v>2647382</v>
      </c>
      <c r="R27" s="1272">
        <v>3681676</v>
      </c>
      <c r="S27" s="1020">
        <v>2203858</v>
      </c>
      <c r="T27" s="1020">
        <v>2541956</v>
      </c>
      <c r="U27" s="1227"/>
    </row>
    <row r="28" spans="1:21" s="1772" customFormat="1" ht="12.75" customHeight="1" x14ac:dyDescent="0.2">
      <c r="A28" s="1118"/>
      <c r="B28" s="1118" t="s">
        <v>100</v>
      </c>
      <c r="C28" s="955">
        <v>-2436</v>
      </c>
      <c r="D28" s="1017">
        <v>-0.31027894535727935</v>
      </c>
      <c r="E28" s="1223"/>
      <c r="F28" s="912">
        <v>5415</v>
      </c>
      <c r="G28" s="998">
        <v>6527</v>
      </c>
      <c r="H28" s="998">
        <v>4344</v>
      </c>
      <c r="I28" s="1014">
        <v>3739</v>
      </c>
      <c r="J28" s="998">
        <v>7851</v>
      </c>
      <c r="K28" s="998">
        <v>12988</v>
      </c>
      <c r="L28" s="998">
        <v>9666</v>
      </c>
      <c r="M28" s="1014">
        <v>10394</v>
      </c>
      <c r="N28" s="998">
        <v>10093</v>
      </c>
      <c r="O28" s="1256"/>
      <c r="P28" s="1014">
        <v>5415</v>
      </c>
      <c r="Q28" s="1014">
        <v>7851</v>
      </c>
      <c r="R28" s="998">
        <v>10093</v>
      </c>
      <c r="S28" s="1020">
        <v>4242</v>
      </c>
      <c r="T28" s="1020">
        <v>8172</v>
      </c>
      <c r="U28" s="1227"/>
    </row>
    <row r="29" spans="1:21" s="1772" customFormat="1" ht="12.75" customHeight="1" x14ac:dyDescent="0.2">
      <c r="A29" s="1118"/>
      <c r="B29" s="1118" t="s">
        <v>519</v>
      </c>
      <c r="C29" s="955">
        <v>-385</v>
      </c>
      <c r="D29" s="1017">
        <v>-3.9776836450046489E-2</v>
      </c>
      <c r="E29" s="1223"/>
      <c r="F29" s="912">
        <v>9294</v>
      </c>
      <c r="G29" s="998">
        <v>9238</v>
      </c>
      <c r="H29" s="998">
        <v>8982</v>
      </c>
      <c r="I29" s="1014">
        <v>9233</v>
      </c>
      <c r="J29" s="998">
        <v>9679</v>
      </c>
      <c r="K29" s="998">
        <v>4529</v>
      </c>
      <c r="L29" s="998">
        <v>4463</v>
      </c>
      <c r="M29" s="1603">
        <v>0</v>
      </c>
      <c r="N29" s="1073">
        <v>0</v>
      </c>
      <c r="O29" s="1256"/>
      <c r="P29" s="1014">
        <v>9294</v>
      </c>
      <c r="Q29" s="1603">
        <v>9679</v>
      </c>
      <c r="R29" s="1073">
        <v>0</v>
      </c>
      <c r="S29" s="1020">
        <v>0</v>
      </c>
      <c r="T29" s="1020">
        <v>0</v>
      </c>
      <c r="U29" s="1227"/>
    </row>
    <row r="30" spans="1:21" s="1772" customFormat="1" ht="12.75" customHeight="1" x14ac:dyDescent="0.2">
      <c r="A30" s="1118"/>
      <c r="B30" s="1118" t="s">
        <v>523</v>
      </c>
      <c r="C30" s="955">
        <v>12228</v>
      </c>
      <c r="D30" s="1017">
        <v>1.2231669500850255</v>
      </c>
      <c r="E30" s="1223"/>
      <c r="F30" s="912">
        <v>22225</v>
      </c>
      <c r="G30" s="998">
        <v>9553</v>
      </c>
      <c r="H30" s="998">
        <v>9743</v>
      </c>
      <c r="I30" s="1014">
        <v>10117</v>
      </c>
      <c r="J30" s="998">
        <v>9997</v>
      </c>
      <c r="K30" s="998">
        <v>9958</v>
      </c>
      <c r="L30" s="998">
        <v>10030</v>
      </c>
      <c r="M30" s="1014">
        <v>0</v>
      </c>
      <c r="N30" s="998">
        <v>0</v>
      </c>
      <c r="O30" s="1256"/>
      <c r="P30" s="1014">
        <v>22225</v>
      </c>
      <c r="Q30" s="1014">
        <v>9997</v>
      </c>
      <c r="R30" s="998">
        <v>0</v>
      </c>
      <c r="S30" s="1020">
        <v>0</v>
      </c>
      <c r="T30" s="1020">
        <v>0</v>
      </c>
      <c r="U30" s="1227"/>
    </row>
    <row r="31" spans="1:21" s="1772" customFormat="1" ht="12.75" customHeight="1" x14ac:dyDescent="0.2">
      <c r="A31" s="1118"/>
      <c r="B31" s="1118" t="s">
        <v>273</v>
      </c>
      <c r="C31" s="955">
        <v>58475</v>
      </c>
      <c r="D31" s="1017">
        <v>1.173160260011235</v>
      </c>
      <c r="E31" s="1223"/>
      <c r="F31" s="912">
        <v>108319</v>
      </c>
      <c r="G31" s="998">
        <v>51572</v>
      </c>
      <c r="H31" s="998">
        <v>50258</v>
      </c>
      <c r="I31" s="1014">
        <v>51550</v>
      </c>
      <c r="J31" s="998">
        <v>49844</v>
      </c>
      <c r="K31" s="998">
        <v>46643</v>
      </c>
      <c r="L31" s="998">
        <v>45969</v>
      </c>
      <c r="M31" s="1014">
        <v>0</v>
      </c>
      <c r="N31" s="998">
        <v>0</v>
      </c>
      <c r="O31" s="1256"/>
      <c r="P31" s="1014">
        <v>108319</v>
      </c>
      <c r="Q31" s="1014">
        <v>49844</v>
      </c>
      <c r="R31" s="998">
        <v>0</v>
      </c>
      <c r="S31" s="1020">
        <v>0</v>
      </c>
      <c r="T31" s="1020">
        <v>0</v>
      </c>
      <c r="U31" s="1227"/>
    </row>
    <row r="32" spans="1:21" s="1772" customFormat="1" ht="12.75" customHeight="1" x14ac:dyDescent="0.2">
      <c r="A32" s="1118"/>
      <c r="B32" s="1118" t="s">
        <v>585</v>
      </c>
      <c r="C32" s="955">
        <v>5832</v>
      </c>
      <c r="D32" s="1017" t="s">
        <v>675</v>
      </c>
      <c r="E32" s="1223"/>
      <c r="F32" s="912">
        <v>5832</v>
      </c>
      <c r="G32" s="998">
        <v>5733</v>
      </c>
      <c r="H32" s="998">
        <v>5594</v>
      </c>
      <c r="I32" s="1014">
        <v>0</v>
      </c>
      <c r="J32" s="998">
        <v>0</v>
      </c>
      <c r="K32" s="998">
        <v>0</v>
      </c>
      <c r="L32" s="998">
        <v>0</v>
      </c>
      <c r="M32" s="1014">
        <v>0</v>
      </c>
      <c r="N32" s="998">
        <v>0</v>
      </c>
      <c r="O32" s="1256"/>
      <c r="P32" s="1014">
        <v>5832</v>
      </c>
      <c r="Q32" s="1014">
        <v>0</v>
      </c>
      <c r="R32" s="998">
        <v>0</v>
      </c>
      <c r="S32" s="1020">
        <v>0</v>
      </c>
      <c r="T32" s="1020">
        <v>0</v>
      </c>
      <c r="U32" s="1227"/>
    </row>
    <row r="33" spans="1:21" s="1772" customFormat="1" ht="12.75" customHeight="1" x14ac:dyDescent="0.2">
      <c r="A33" s="1118"/>
      <c r="B33" s="1118" t="s">
        <v>671</v>
      </c>
      <c r="C33" s="955">
        <v>1741</v>
      </c>
      <c r="D33" s="1017" t="s">
        <v>675</v>
      </c>
      <c r="E33" s="1223"/>
      <c r="F33" s="912">
        <v>1741</v>
      </c>
      <c r="G33" s="998">
        <v>0</v>
      </c>
      <c r="H33" s="998">
        <v>0</v>
      </c>
      <c r="I33" s="1014">
        <v>0</v>
      </c>
      <c r="J33" s="998">
        <v>0</v>
      </c>
      <c r="K33" s="998">
        <v>0</v>
      </c>
      <c r="L33" s="998">
        <v>0</v>
      </c>
      <c r="M33" s="1014">
        <v>0</v>
      </c>
      <c r="N33" s="998">
        <v>0</v>
      </c>
      <c r="O33" s="1256"/>
      <c r="P33" s="1014">
        <v>1741</v>
      </c>
      <c r="Q33" s="1014">
        <v>0</v>
      </c>
      <c r="R33" s="998">
        <v>0</v>
      </c>
      <c r="S33" s="1020">
        <v>0</v>
      </c>
      <c r="T33" s="1020">
        <v>0</v>
      </c>
      <c r="U33" s="1227"/>
    </row>
    <row r="34" spans="1:21" s="1772" customFormat="1" ht="12.75" customHeight="1" x14ac:dyDescent="0.2">
      <c r="A34" s="1118"/>
      <c r="B34" s="1118" t="s">
        <v>520</v>
      </c>
      <c r="C34" s="955">
        <v>-11388</v>
      </c>
      <c r="D34" s="1017">
        <v>-0.18439716312056736</v>
      </c>
      <c r="E34" s="1223"/>
      <c r="F34" s="912">
        <v>50370</v>
      </c>
      <c r="G34" s="998">
        <v>54596</v>
      </c>
      <c r="H34" s="998">
        <v>53003</v>
      </c>
      <c r="I34" s="1014">
        <v>59009</v>
      </c>
      <c r="J34" s="998">
        <v>61758</v>
      </c>
      <c r="K34" s="998">
        <v>62230</v>
      </c>
      <c r="L34" s="998">
        <v>61244</v>
      </c>
      <c r="M34" s="1014">
        <v>0</v>
      </c>
      <c r="N34" s="998">
        <v>0</v>
      </c>
      <c r="O34" s="1256"/>
      <c r="P34" s="1014">
        <v>50370</v>
      </c>
      <c r="Q34" s="1014">
        <v>61758</v>
      </c>
      <c r="R34" s="998">
        <v>0</v>
      </c>
      <c r="S34" s="1020">
        <v>0</v>
      </c>
      <c r="T34" s="1020">
        <v>0</v>
      </c>
      <c r="U34" s="1227"/>
    </row>
    <row r="35" spans="1:21" s="1772" customFormat="1" ht="12.75" customHeight="1" x14ac:dyDescent="0.2">
      <c r="A35" s="1118"/>
      <c r="B35" s="1118" t="s">
        <v>251</v>
      </c>
      <c r="C35" s="955">
        <v>-5737</v>
      </c>
      <c r="D35" s="1017">
        <v>-0.4183011301494714</v>
      </c>
      <c r="E35" s="1223"/>
      <c r="F35" s="912">
        <v>7978</v>
      </c>
      <c r="G35" s="998">
        <v>14264</v>
      </c>
      <c r="H35" s="998">
        <v>11848</v>
      </c>
      <c r="I35" s="1014">
        <v>13435</v>
      </c>
      <c r="J35" s="998">
        <v>13715</v>
      </c>
      <c r="K35" s="998">
        <v>10220</v>
      </c>
      <c r="L35" s="998">
        <v>10170</v>
      </c>
      <c r="M35" s="1014">
        <v>141</v>
      </c>
      <c r="N35" s="998">
        <v>140</v>
      </c>
      <c r="O35" s="1256"/>
      <c r="P35" s="1014">
        <v>7978</v>
      </c>
      <c r="Q35" s="1014">
        <v>13715</v>
      </c>
      <c r="R35" s="998">
        <v>140</v>
      </c>
      <c r="S35" s="1020">
        <v>450</v>
      </c>
      <c r="T35" s="1020">
        <v>2057</v>
      </c>
      <c r="U35" s="1227"/>
    </row>
    <row r="36" spans="1:21" s="1772" customFormat="1" ht="12.75" customHeight="1" x14ac:dyDescent="0.2">
      <c r="A36" s="1118"/>
      <c r="B36" s="1118" t="s">
        <v>101</v>
      </c>
      <c r="C36" s="955">
        <v>0</v>
      </c>
      <c r="D36" s="1017">
        <v>0</v>
      </c>
      <c r="E36" s="1223"/>
      <c r="F36" s="1226">
        <v>7500</v>
      </c>
      <c r="G36" s="1272">
        <v>7500</v>
      </c>
      <c r="H36" s="1272">
        <v>7500</v>
      </c>
      <c r="I36" s="1271">
        <v>7500</v>
      </c>
      <c r="J36" s="1272">
        <v>7500</v>
      </c>
      <c r="K36" s="1272">
        <v>7500</v>
      </c>
      <c r="L36" s="1272">
        <v>7500</v>
      </c>
      <c r="M36" s="1271">
        <v>7500</v>
      </c>
      <c r="N36" s="1272">
        <v>7500</v>
      </c>
      <c r="O36" s="1256"/>
      <c r="P36" s="1014">
        <v>7500</v>
      </c>
      <c r="Q36" s="1271">
        <v>7500</v>
      </c>
      <c r="R36" s="1272">
        <v>7500</v>
      </c>
      <c r="S36" s="1020">
        <v>15000</v>
      </c>
      <c r="T36" s="1020">
        <v>15000</v>
      </c>
      <c r="U36" s="1227"/>
    </row>
    <row r="37" spans="1:21" s="1772" customFormat="1" ht="12.75" customHeight="1" x14ac:dyDescent="0.2">
      <c r="A37" s="1118"/>
      <c r="B37" s="1118" t="s">
        <v>389</v>
      </c>
      <c r="C37" s="955">
        <v>70144</v>
      </c>
      <c r="D37" s="1017">
        <v>1.2288502303743802</v>
      </c>
      <c r="E37" s="1223"/>
      <c r="F37" s="1226">
        <v>127225</v>
      </c>
      <c r="G37" s="1272">
        <v>126964</v>
      </c>
      <c r="H37" s="1272">
        <v>126707</v>
      </c>
      <c r="I37" s="1271">
        <v>57249</v>
      </c>
      <c r="J37" s="1272">
        <v>57081</v>
      </c>
      <c r="K37" s="1272">
        <v>56916</v>
      </c>
      <c r="L37" s="1272">
        <v>56755</v>
      </c>
      <c r="M37" s="1271">
        <v>56597</v>
      </c>
      <c r="N37" s="1272">
        <v>56442</v>
      </c>
      <c r="O37" s="1256"/>
      <c r="P37" s="1014">
        <v>127225</v>
      </c>
      <c r="Q37" s="1271">
        <v>57081</v>
      </c>
      <c r="R37" s="1272">
        <v>56442</v>
      </c>
      <c r="S37" s="1020">
        <v>0</v>
      </c>
      <c r="T37" s="1020">
        <v>0</v>
      </c>
      <c r="U37" s="1227"/>
    </row>
    <row r="38" spans="1:21" s="1772" customFormat="1" ht="12.75" customHeight="1" x14ac:dyDescent="0.2">
      <c r="A38" s="1118"/>
      <c r="B38" s="1118" t="s">
        <v>626</v>
      </c>
      <c r="C38" s="955">
        <v>-11574</v>
      </c>
      <c r="D38" s="1017">
        <v>-0.85284798467320022</v>
      </c>
      <c r="E38" s="1223"/>
      <c r="F38" s="912">
        <v>1997</v>
      </c>
      <c r="G38" s="998">
        <v>2338</v>
      </c>
      <c r="H38" s="998">
        <v>2004</v>
      </c>
      <c r="I38" s="1014">
        <v>15259</v>
      </c>
      <c r="J38" s="998">
        <v>13571</v>
      </c>
      <c r="K38" s="998">
        <v>12031</v>
      </c>
      <c r="L38" s="998">
        <v>13354</v>
      </c>
      <c r="M38" s="1014">
        <v>12481</v>
      </c>
      <c r="N38" s="998">
        <v>11858</v>
      </c>
      <c r="O38" s="1256"/>
      <c r="P38" s="1014">
        <v>1997</v>
      </c>
      <c r="Q38" s="1014">
        <v>13571</v>
      </c>
      <c r="R38" s="998">
        <v>11858</v>
      </c>
      <c r="S38" s="1020">
        <v>8722</v>
      </c>
      <c r="T38" s="1020">
        <v>10275</v>
      </c>
      <c r="U38" s="1227"/>
    </row>
    <row r="39" spans="1:21" s="1772" customFormat="1" ht="12.75" customHeight="1" x14ac:dyDescent="0.2">
      <c r="A39" s="1118"/>
      <c r="B39" s="1118" t="s">
        <v>102</v>
      </c>
      <c r="C39" s="955">
        <v>35011</v>
      </c>
      <c r="D39" s="1017">
        <v>4.1612785136304425E-2</v>
      </c>
      <c r="E39" s="1223"/>
      <c r="F39" s="1226">
        <v>876363</v>
      </c>
      <c r="G39" s="1272">
        <v>839166</v>
      </c>
      <c r="H39" s="1272">
        <v>798053</v>
      </c>
      <c r="I39" s="1271">
        <v>819567</v>
      </c>
      <c r="J39" s="1272">
        <v>841352</v>
      </c>
      <c r="K39" s="1272">
        <v>766332</v>
      </c>
      <c r="L39" s="1272">
        <v>720384</v>
      </c>
      <c r="M39" s="1271">
        <v>741877</v>
      </c>
      <c r="N39" s="1272">
        <v>764785</v>
      </c>
      <c r="O39" s="1256"/>
      <c r="P39" s="1014">
        <v>876363</v>
      </c>
      <c r="Q39" s="1271">
        <v>841352</v>
      </c>
      <c r="R39" s="1272">
        <v>764785</v>
      </c>
      <c r="S39" s="1020">
        <v>749929</v>
      </c>
      <c r="T39" s="1020">
        <v>1117542</v>
      </c>
      <c r="U39" s="1227"/>
    </row>
    <row r="40" spans="1:21" s="1772" customFormat="1" ht="12.75" customHeight="1" thickBot="1" x14ac:dyDescent="0.25">
      <c r="A40" s="1122" t="s">
        <v>228</v>
      </c>
      <c r="B40" s="1122"/>
      <c r="C40" s="2168">
        <v>728558</v>
      </c>
      <c r="D40" s="1600">
        <v>0.18120015837896344</v>
      </c>
      <c r="E40" s="1596"/>
      <c r="F40" s="1597">
        <v>4749294</v>
      </c>
      <c r="G40" s="1604">
        <v>3998083</v>
      </c>
      <c r="H40" s="1604">
        <v>4220131</v>
      </c>
      <c r="I40" s="1605">
        <v>4221836</v>
      </c>
      <c r="J40" s="1604">
        <v>4020736</v>
      </c>
      <c r="K40" s="1604">
        <v>3317204</v>
      </c>
      <c r="L40" s="1604">
        <v>3413398</v>
      </c>
      <c r="M40" s="1605">
        <v>3623250</v>
      </c>
      <c r="N40" s="1604">
        <v>5203516</v>
      </c>
      <c r="O40" s="1607"/>
      <c r="P40" s="1605">
        <v>4749294</v>
      </c>
      <c r="Q40" s="1605">
        <v>4020736</v>
      </c>
      <c r="R40" s="1604">
        <v>5203516</v>
      </c>
      <c r="S40" s="1608">
        <v>3424546</v>
      </c>
      <c r="T40" s="1608">
        <v>4369905</v>
      </c>
      <c r="U40" s="1669"/>
    </row>
    <row r="41" spans="1:21" ht="12.75" customHeight="1" thickTop="1" x14ac:dyDescent="0.2">
      <c r="A41" s="1126"/>
      <c r="B41" s="1126"/>
      <c r="C41" s="1001"/>
      <c r="D41" s="951"/>
      <c r="E41" s="907"/>
      <c r="F41" s="907"/>
      <c r="G41" s="951"/>
      <c r="H41" s="951"/>
      <c r="I41" s="951"/>
      <c r="J41" s="951"/>
      <c r="K41" s="951"/>
      <c r="L41" s="951"/>
      <c r="M41" s="951"/>
      <c r="N41" s="951"/>
      <c r="O41" s="1565"/>
      <c r="P41" s="1565"/>
      <c r="Q41" s="1565"/>
      <c r="R41" s="1565"/>
      <c r="S41" s="1565"/>
      <c r="T41" s="1565"/>
      <c r="U41" s="1075"/>
    </row>
    <row r="42" spans="1:21" ht="12.75" customHeight="1" x14ac:dyDescent="0.2">
      <c r="A42" s="945" t="s">
        <v>339</v>
      </c>
      <c r="B42" s="969"/>
      <c r="G42" s="1253"/>
      <c r="O42" s="2149"/>
      <c r="P42" s="2149"/>
      <c r="Q42" s="2149"/>
      <c r="R42" s="2149"/>
      <c r="S42" s="2149"/>
      <c r="T42" s="2149"/>
      <c r="U42" s="1221"/>
    </row>
    <row r="43" spans="1:21" x14ac:dyDescent="0.2">
      <c r="A43" s="968" t="s">
        <v>25</v>
      </c>
      <c r="B43" s="1109"/>
      <c r="C43" s="1299"/>
      <c r="D43" s="1299"/>
      <c r="E43" s="1233"/>
      <c r="F43" s="1233"/>
      <c r="G43" s="2272"/>
      <c r="H43" s="2150"/>
      <c r="I43" s="2150"/>
      <c r="J43" s="2150"/>
      <c r="K43" s="1042"/>
      <c r="L43" s="2150"/>
      <c r="M43" s="2150"/>
      <c r="N43" s="2150"/>
      <c r="O43" s="2149"/>
      <c r="P43" s="2149"/>
      <c r="Q43" s="2149"/>
      <c r="R43" s="2149"/>
      <c r="S43" s="2149"/>
      <c r="T43" s="2149"/>
      <c r="U43" s="1221"/>
    </row>
    <row r="44" spans="1:21" x14ac:dyDescent="0.2">
      <c r="A44" s="940"/>
      <c r="C44" s="1118"/>
      <c r="D44" s="1118"/>
      <c r="E44" s="1082"/>
      <c r="F44" s="1082"/>
      <c r="G44" s="1133"/>
      <c r="H44" s="1629"/>
      <c r="I44" s="1629"/>
      <c r="J44" s="1629"/>
      <c r="K44" s="1629"/>
      <c r="L44" s="1629"/>
      <c r="M44" s="1629"/>
      <c r="N44" s="1629"/>
      <c r="O44" s="1200"/>
      <c r="P44" s="1200"/>
      <c r="Q44" s="1200"/>
      <c r="R44" s="1200"/>
      <c r="S44" s="1200"/>
      <c r="T44" s="1200"/>
      <c r="U44" s="1221"/>
    </row>
    <row r="45" spans="1:21" x14ac:dyDescent="0.2">
      <c r="A45" s="945" t="s">
        <v>552</v>
      </c>
      <c r="C45" s="1118"/>
      <c r="D45" s="1118"/>
      <c r="E45" s="1082"/>
      <c r="F45" s="1082"/>
      <c r="G45" s="1133"/>
      <c r="H45" s="1629"/>
      <c r="I45" s="1629"/>
      <c r="J45" s="1629"/>
      <c r="K45" s="1629"/>
      <c r="L45" s="1629"/>
      <c r="M45" s="1629"/>
      <c r="N45" s="1629"/>
      <c r="O45" s="1200"/>
      <c r="P45" s="1200"/>
      <c r="Q45" s="1200"/>
      <c r="R45" s="1200"/>
      <c r="S45" s="1200"/>
      <c r="T45" s="1200"/>
      <c r="U45" s="1221"/>
    </row>
    <row r="46" spans="1:21" x14ac:dyDescent="0.2">
      <c r="C46" s="1118"/>
      <c r="D46" s="1118"/>
      <c r="E46" s="1082"/>
      <c r="F46" s="1082"/>
      <c r="G46" s="1133"/>
      <c r="H46" s="1629"/>
      <c r="I46" s="1629"/>
      <c r="J46" s="1629"/>
      <c r="K46" s="1629"/>
      <c r="L46" s="1629"/>
      <c r="M46" s="1629"/>
      <c r="N46" s="1629"/>
      <c r="O46" s="1200"/>
      <c r="P46" s="1200"/>
      <c r="Q46" s="1200"/>
      <c r="R46" s="1200"/>
      <c r="S46" s="1200"/>
      <c r="T46" s="1200"/>
      <c r="U46" s="1221"/>
    </row>
    <row r="47" spans="1:21" x14ac:dyDescent="0.2">
      <c r="B47" s="1118"/>
      <c r="C47" s="1167"/>
      <c r="D47" s="1601"/>
      <c r="E47" s="1082"/>
      <c r="F47" s="1082"/>
      <c r="G47" s="1133"/>
      <c r="H47" s="1629"/>
      <c r="I47" s="1629"/>
      <c r="J47" s="1629"/>
      <c r="K47" s="1629"/>
      <c r="L47" s="1629"/>
      <c r="M47" s="1629"/>
      <c r="N47" s="1629"/>
      <c r="O47" s="1200"/>
      <c r="P47" s="1200"/>
      <c r="Q47" s="1200"/>
      <c r="R47" s="1200"/>
      <c r="S47" s="1200"/>
      <c r="T47" s="1200"/>
      <c r="U47" s="1221"/>
    </row>
    <row r="48" spans="1:21" x14ac:dyDescent="0.2">
      <c r="B48" s="1118"/>
      <c r="C48" s="1167"/>
      <c r="D48" s="1601"/>
      <c r="E48" s="1082"/>
      <c r="F48" s="1082"/>
      <c r="G48" s="1133"/>
      <c r="H48" s="1629"/>
      <c r="I48" s="1629"/>
      <c r="J48" s="1629"/>
      <c r="K48" s="1629"/>
      <c r="L48" s="1629"/>
      <c r="M48" s="1629"/>
      <c r="N48" s="1629"/>
      <c r="O48" s="1200"/>
      <c r="P48" s="1200"/>
      <c r="Q48" s="1200"/>
      <c r="R48" s="1200"/>
      <c r="S48" s="1200"/>
      <c r="T48" s="1200"/>
    </row>
    <row r="49" spans="2:21" x14ac:dyDescent="0.2">
      <c r="B49" s="1118"/>
      <c r="C49" s="1167"/>
      <c r="D49" s="1601"/>
      <c r="E49" s="1082"/>
      <c r="F49" s="1082"/>
      <c r="G49" s="1133"/>
      <c r="H49" s="1629"/>
      <c r="I49" s="1629"/>
      <c r="J49" s="1629"/>
      <c r="K49" s="1629"/>
      <c r="L49" s="1629"/>
      <c r="M49" s="1629"/>
      <c r="N49" s="1629"/>
      <c r="O49" s="2131"/>
      <c r="P49" s="2131"/>
      <c r="Q49" s="2131"/>
      <c r="R49" s="2131"/>
      <c r="S49" s="2131"/>
      <c r="T49" s="2131"/>
      <c r="U49" s="1221"/>
    </row>
    <row r="50" spans="2:21" x14ac:dyDescent="0.2">
      <c r="B50" s="1118"/>
      <c r="C50" s="1167"/>
      <c r="D50" s="1601"/>
      <c r="O50" s="2131"/>
      <c r="P50" s="2131"/>
      <c r="Q50" s="2131"/>
      <c r="R50" s="2131"/>
      <c r="S50" s="2131"/>
      <c r="T50" s="2131"/>
    </row>
    <row r="51" spans="2:21" x14ac:dyDescent="0.2">
      <c r="B51" s="1118"/>
      <c r="C51" s="1167"/>
      <c r="D51" s="1601"/>
      <c r="O51" s="2131"/>
      <c r="P51" s="2131"/>
      <c r="Q51" s="2131"/>
      <c r="R51" s="2131"/>
      <c r="S51" s="2131"/>
      <c r="T51" s="2131"/>
    </row>
    <row r="52" spans="2:21" x14ac:dyDescent="0.2">
      <c r="B52" s="1118"/>
      <c r="C52" s="1167"/>
      <c r="D52" s="1601"/>
      <c r="O52" s="2131"/>
      <c r="P52" s="2131"/>
      <c r="Q52" s="2131"/>
      <c r="R52" s="2131"/>
      <c r="S52" s="2131"/>
      <c r="T52" s="2131"/>
    </row>
    <row r="53" spans="2:21" x14ac:dyDescent="0.2">
      <c r="B53" s="1118"/>
      <c r="C53" s="1167"/>
      <c r="D53" s="1601"/>
      <c r="O53" s="2131"/>
      <c r="P53" s="2131"/>
      <c r="Q53" s="2131"/>
      <c r="R53" s="2131"/>
      <c r="S53" s="2131"/>
      <c r="T53" s="2131"/>
    </row>
    <row r="54" spans="2:21" x14ac:dyDescent="0.2">
      <c r="B54" s="1118"/>
      <c r="C54" s="1167"/>
      <c r="D54" s="1601"/>
    </row>
    <row r="55" spans="2:21" x14ac:dyDescent="0.2">
      <c r="B55" s="1118"/>
      <c r="C55" s="1167"/>
      <c r="D55" s="1601"/>
    </row>
    <row r="56" spans="2:21" x14ac:dyDescent="0.2">
      <c r="B56" s="1118"/>
      <c r="C56" s="1167"/>
      <c r="D56" s="1601"/>
    </row>
    <row r="57" spans="2:21" x14ac:dyDescent="0.2">
      <c r="B57" s="1118"/>
      <c r="C57" s="1219"/>
    </row>
    <row r="58" spans="2:21" x14ac:dyDescent="0.2">
      <c r="B58" s="1118"/>
      <c r="C58" s="1219"/>
    </row>
    <row r="59" spans="2:21" x14ac:dyDescent="0.2">
      <c r="B59" s="1118"/>
      <c r="C59" s="1167"/>
      <c r="D59" s="1601"/>
    </row>
    <row r="60" spans="2:21" x14ac:dyDescent="0.2">
      <c r="B60" s="1118"/>
      <c r="C60" s="1167"/>
      <c r="D60" s="1601"/>
    </row>
    <row r="61" spans="2:21" x14ac:dyDescent="0.2">
      <c r="B61" s="1118"/>
      <c r="C61" s="1167"/>
      <c r="D61" s="1601"/>
    </row>
    <row r="62" spans="2:21" x14ac:dyDescent="0.2">
      <c r="B62" s="1118"/>
      <c r="C62" s="1167"/>
      <c r="D62" s="1601"/>
    </row>
    <row r="63" spans="2:21" x14ac:dyDescent="0.2">
      <c r="B63" s="1118"/>
      <c r="C63" s="1167"/>
      <c r="D63" s="1601"/>
    </row>
    <row r="64" spans="2:21" x14ac:dyDescent="0.2">
      <c r="B64" s="1118"/>
      <c r="C64" s="1167"/>
      <c r="D64" s="1601"/>
    </row>
    <row r="65" spans="2:4" x14ac:dyDescent="0.2">
      <c r="B65" s="1118"/>
      <c r="C65" s="1167"/>
      <c r="D65" s="1601"/>
    </row>
    <row r="66" spans="2:4" x14ac:dyDescent="0.2">
      <c r="B66" s="1118"/>
      <c r="C66" s="1167"/>
      <c r="D66" s="1601"/>
    </row>
    <row r="67" spans="2:4" x14ac:dyDescent="0.2">
      <c r="B67" s="1118"/>
      <c r="C67" s="1167"/>
      <c r="D67" s="1601"/>
    </row>
    <row r="68" spans="2:4" x14ac:dyDescent="0.2">
      <c r="B68" s="1118"/>
      <c r="C68" s="1167"/>
      <c r="D68" s="1601"/>
    </row>
    <row r="69" spans="2:4" x14ac:dyDescent="0.2">
      <c r="B69" s="1118"/>
      <c r="C69" s="1219"/>
    </row>
    <row r="70" spans="2:4" x14ac:dyDescent="0.2">
      <c r="B70" s="1118"/>
      <c r="C70" s="1167"/>
      <c r="D70" s="1601"/>
    </row>
    <row r="71" spans="2:4" x14ac:dyDescent="0.2">
      <c r="C71" s="1219"/>
    </row>
  </sheetData>
  <mergeCells count="2">
    <mergeCell ref="C11:D11"/>
    <mergeCell ref="C10:D10"/>
  </mergeCells>
  <phoneticPr fontId="13" type="noConversion"/>
  <conditionalFormatting sqref="A41:B41">
    <cfRule type="cellIs" dxfId="17" priority="1" stopIfTrue="1" operator="equal">
      <formula>0</formula>
    </cfRule>
  </conditionalFormatting>
  <printOptions horizontalCentered="1"/>
  <pageMargins left="0" right="0" top="0.75" bottom="0" header="0" footer="0"/>
  <pageSetup scale="60" orientation="landscape" r:id="rId1"/>
  <headerFooter alignWithMargins="0">
    <oddFooter>&amp;L&amp;F&amp;CPage 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88"/>
  <sheetViews>
    <sheetView zoomScale="80" zoomScaleNormal="80" workbookViewId="0">
      <selection activeCell="J10" sqref="J10"/>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1" ht="15" x14ac:dyDescent="0.2">
      <c r="A1" s="67"/>
      <c r="B1" s="67"/>
      <c r="C1" s="67"/>
      <c r="D1" s="67"/>
      <c r="E1" s="67"/>
      <c r="F1" s="67"/>
    </row>
    <row r="2" spans="1:11" ht="15" x14ac:dyDescent="0.2">
      <c r="A2" s="67"/>
      <c r="B2" s="67"/>
      <c r="C2" s="67"/>
      <c r="D2" s="67"/>
      <c r="E2" s="67"/>
      <c r="F2" s="67"/>
    </row>
    <row r="3" spans="1:11" ht="15" x14ac:dyDescent="0.2">
      <c r="A3" s="67"/>
      <c r="B3" s="67"/>
      <c r="C3" s="67"/>
      <c r="D3" s="67"/>
      <c r="E3" s="67"/>
      <c r="F3" s="67"/>
    </row>
    <row r="4" spans="1:11" ht="21" customHeight="1" x14ac:dyDescent="0.2">
      <c r="A4" s="67"/>
      <c r="B4" s="67"/>
      <c r="C4" s="67"/>
      <c r="D4" s="67"/>
      <c r="E4" s="67"/>
      <c r="F4" s="67"/>
    </row>
    <row r="5" spans="1:11" ht="15" x14ac:dyDescent="0.2">
      <c r="A5" s="71"/>
      <c r="B5" s="68" t="s">
        <v>45</v>
      </c>
      <c r="C5" s="69"/>
      <c r="D5" s="69"/>
      <c r="E5" s="70"/>
      <c r="F5" s="71"/>
    </row>
    <row r="6" spans="1:11" ht="16.5" customHeight="1" x14ac:dyDescent="0.2">
      <c r="A6" s="71"/>
      <c r="B6" s="72"/>
      <c r="C6" s="73"/>
      <c r="D6" s="74" t="s">
        <v>46</v>
      </c>
      <c r="E6" s="75"/>
      <c r="F6" s="71"/>
    </row>
    <row r="7" spans="1:11" ht="16.5" customHeight="1" x14ac:dyDescent="0.2">
      <c r="A7" s="71"/>
      <c r="B7" s="2300" t="s">
        <v>47</v>
      </c>
      <c r="C7" s="2301"/>
      <c r="D7" s="446">
        <v>1</v>
      </c>
      <c r="E7" s="76"/>
      <c r="F7" s="71"/>
    </row>
    <row r="8" spans="1:11" ht="16.5" customHeight="1" x14ac:dyDescent="0.2">
      <c r="A8" s="71"/>
      <c r="B8" s="2302" t="s">
        <v>48</v>
      </c>
      <c r="C8" s="2301"/>
      <c r="D8" s="446">
        <v>2</v>
      </c>
      <c r="E8" s="76"/>
      <c r="F8" s="71"/>
    </row>
    <row r="9" spans="1:11" s="480" customFormat="1" ht="16.5" customHeight="1" x14ac:dyDescent="0.2">
      <c r="A9" s="71"/>
      <c r="B9" s="2302" t="s">
        <v>555</v>
      </c>
      <c r="C9" s="2301"/>
      <c r="D9" s="446">
        <v>3</v>
      </c>
      <c r="E9" s="76"/>
      <c r="F9" s="71"/>
    </row>
    <row r="10" spans="1:11" ht="16.5" customHeight="1" x14ac:dyDescent="0.2">
      <c r="A10" s="71"/>
      <c r="B10" s="2295" t="s">
        <v>172</v>
      </c>
      <c r="C10" s="2296"/>
      <c r="D10" s="446">
        <v>4</v>
      </c>
      <c r="E10" s="76"/>
      <c r="F10" s="71"/>
      <c r="K10" s="480"/>
    </row>
    <row r="11" spans="1:11" ht="16.5" customHeight="1" x14ac:dyDescent="0.2">
      <c r="A11" s="71"/>
      <c r="B11" s="808" t="s">
        <v>651</v>
      </c>
      <c r="C11" s="481"/>
      <c r="D11" s="446">
        <v>5</v>
      </c>
      <c r="E11" s="76"/>
      <c r="F11" s="71"/>
    </row>
    <row r="12" spans="1:11" s="480" customFormat="1" ht="16.5" customHeight="1" x14ac:dyDescent="0.2">
      <c r="A12" s="71"/>
      <c r="B12" s="808" t="s">
        <v>652</v>
      </c>
      <c r="C12" s="481"/>
      <c r="D12" s="446">
        <v>6</v>
      </c>
      <c r="E12" s="76"/>
      <c r="F12" s="71"/>
      <c r="G12"/>
      <c r="H12"/>
      <c r="I12"/>
    </row>
    <row r="13" spans="1:11" ht="16.5" customHeight="1" x14ac:dyDescent="0.2">
      <c r="A13" s="71"/>
      <c r="B13" s="1708" t="s">
        <v>653</v>
      </c>
      <c r="C13" s="2"/>
      <c r="D13" s="446">
        <v>7</v>
      </c>
      <c r="E13" s="76"/>
      <c r="F13" s="71"/>
      <c r="G13" s="480"/>
      <c r="H13" s="480"/>
      <c r="I13" s="480"/>
      <c r="J13" s="1694"/>
    </row>
    <row r="14" spans="1:11" s="480" customFormat="1" ht="16.5" customHeight="1" x14ac:dyDescent="0.2">
      <c r="A14" s="71"/>
      <c r="B14" s="1687" t="s">
        <v>654</v>
      </c>
      <c r="C14" s="481"/>
      <c r="D14" s="446">
        <v>8</v>
      </c>
      <c r="E14" s="76"/>
      <c r="F14" s="71"/>
      <c r="J14" s="1694"/>
    </row>
    <row r="15" spans="1:11" s="480" customFormat="1" ht="16.5" customHeight="1" x14ac:dyDescent="0.2">
      <c r="A15" s="71"/>
      <c r="B15" s="2295" t="s">
        <v>522</v>
      </c>
      <c r="C15" s="2296"/>
      <c r="D15" s="446">
        <v>9</v>
      </c>
      <c r="E15" s="76"/>
      <c r="F15" s="71"/>
      <c r="J15" s="1694"/>
    </row>
    <row r="16" spans="1:11" ht="16.5" customHeight="1" x14ac:dyDescent="0.2">
      <c r="A16" s="71"/>
      <c r="B16" s="2295" t="s">
        <v>488</v>
      </c>
      <c r="C16" s="2296"/>
      <c r="D16" s="446">
        <v>10</v>
      </c>
      <c r="E16" s="76"/>
      <c r="F16" s="71"/>
    </row>
    <row r="17" spans="1:50" s="407" customFormat="1" ht="16.5" customHeight="1" x14ac:dyDescent="0.2">
      <c r="A17" s="71"/>
      <c r="B17" s="808" t="s">
        <v>341</v>
      </c>
      <c r="C17" s="807"/>
      <c r="D17" s="446">
        <v>11</v>
      </c>
      <c r="E17" s="76"/>
      <c r="F17" s="71"/>
      <c r="G17"/>
      <c r="H17"/>
      <c r="I17"/>
    </row>
    <row r="18" spans="1:50" ht="16.5" customHeight="1" x14ac:dyDescent="0.2">
      <c r="A18" s="71"/>
      <c r="B18" s="567" t="s">
        <v>49</v>
      </c>
      <c r="C18" s="807"/>
      <c r="D18" s="446">
        <v>12</v>
      </c>
      <c r="E18" s="76"/>
      <c r="F18" s="71"/>
      <c r="G18" s="407"/>
      <c r="H18" s="407"/>
      <c r="I18" s="407"/>
    </row>
    <row r="19" spans="1:50" ht="16.5" customHeight="1" x14ac:dyDescent="0.2">
      <c r="A19" s="71"/>
      <c r="B19" s="2295" t="s">
        <v>270</v>
      </c>
      <c r="C19" s="2296"/>
      <c r="D19" s="446">
        <v>13</v>
      </c>
      <c r="E19" s="76"/>
      <c r="F19" s="71"/>
    </row>
    <row r="20" spans="1:50" ht="16.5" customHeight="1" x14ac:dyDescent="0.2">
      <c r="A20" s="71"/>
      <c r="B20" s="2297" t="s">
        <v>50</v>
      </c>
      <c r="C20" s="2296"/>
      <c r="D20" s="446">
        <v>14</v>
      </c>
      <c r="E20" s="76"/>
      <c r="F20" s="71"/>
    </row>
    <row r="21" spans="1:50" ht="15" customHeight="1" x14ac:dyDescent="0.2">
      <c r="A21" s="71"/>
      <c r="B21" s="2298" t="s">
        <v>51</v>
      </c>
      <c r="C21" s="2299"/>
      <c r="D21" s="447">
        <v>15</v>
      </c>
      <c r="E21" s="77"/>
      <c r="F21" s="71"/>
    </row>
    <row r="22" spans="1:50" x14ac:dyDescent="0.2">
      <c r="A22" s="71"/>
      <c r="B22" s="71"/>
      <c r="C22" s="71"/>
      <c r="D22" s="71"/>
      <c r="E22" s="71"/>
      <c r="F22" s="71"/>
    </row>
    <row r="23" spans="1:50" x14ac:dyDescent="0.2">
      <c r="A23" s="71"/>
      <c r="B23" s="71"/>
      <c r="C23" s="71"/>
      <c r="D23" s="71"/>
      <c r="E23" s="71"/>
      <c r="F23" s="71"/>
    </row>
    <row r="24" spans="1:50" ht="15.75" customHeight="1" x14ac:dyDescent="0.2">
      <c r="A24" s="406" t="s">
        <v>52</v>
      </c>
      <c r="B24" s="406"/>
      <c r="C24" s="406"/>
      <c r="D24" s="405"/>
      <c r="E24" s="405"/>
      <c r="F24" s="405"/>
    </row>
    <row r="25" spans="1:50" ht="26.25" customHeight="1" x14ac:dyDescent="0.2">
      <c r="A25" s="2303" t="s">
        <v>670</v>
      </c>
      <c r="B25" s="2303"/>
      <c r="C25" s="2303"/>
      <c r="D25" s="2303"/>
      <c r="E25" s="2303"/>
      <c r="F25" s="2303"/>
    </row>
    <row r="26" spans="1:50" ht="12.75" customHeight="1" x14ac:dyDescent="0.2">
      <c r="A26" s="1975"/>
      <c r="B26" s="403"/>
      <c r="C26" s="404"/>
      <c r="D26" s="404"/>
      <c r="E26" s="404"/>
      <c r="F26" s="404"/>
    </row>
    <row r="27" spans="1:50" s="61" customFormat="1" ht="15" customHeight="1" x14ac:dyDescent="0.2">
      <c r="A27" s="1976" t="s">
        <v>343</v>
      </c>
      <c r="B27" s="1976"/>
      <c r="C27" s="1976"/>
      <c r="D27" s="514"/>
      <c r="E27" s="514"/>
      <c r="F27" s="514"/>
      <c r="G27"/>
      <c r="AX27" s="61">
        <v>0</v>
      </c>
    </row>
    <row r="28" spans="1:50" ht="68.25" customHeight="1" x14ac:dyDescent="0.2">
      <c r="A28" s="2289" t="s">
        <v>344</v>
      </c>
      <c r="B28" s="2290"/>
      <c r="C28" s="2291"/>
      <c r="D28" s="2291"/>
      <c r="E28" s="2291"/>
      <c r="F28" s="229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row>
    <row r="29" spans="1:50" x14ac:dyDescent="0.2">
      <c r="A29" s="80"/>
      <c r="B29" s="80"/>
      <c r="C29" s="50"/>
      <c r="D29" s="64"/>
      <c r="E29" s="50"/>
      <c r="F29" s="50"/>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row>
    <row r="30" spans="1:50" ht="14.25" x14ac:dyDescent="0.2">
      <c r="A30" s="78" t="s">
        <v>53</v>
      </c>
      <c r="B30" s="78"/>
      <c r="C30" s="78"/>
      <c r="D30" s="79"/>
      <c r="E30" s="79"/>
      <c r="F30" s="79"/>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row>
    <row r="31" spans="1:50" x14ac:dyDescent="0.2">
      <c r="A31" s="2292" t="s">
        <v>226</v>
      </c>
      <c r="B31" s="2293"/>
      <c r="C31" s="2294"/>
      <c r="D31" s="2294"/>
      <c r="E31" s="2294"/>
      <c r="F31" s="229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row>
    <row r="32" spans="1:50" x14ac:dyDescent="0.2">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row>
    <row r="33" spans="2:50" x14ac:dyDescent="0.2">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row>
    <row r="34" spans="2:50" x14ac:dyDescent="0.2">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X34" t="s">
        <v>38</v>
      </c>
    </row>
    <row r="35" spans="2:50" x14ac:dyDescent="0.2">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X35" s="480"/>
    </row>
    <row r="36" spans="2:50" x14ac:dyDescent="0.2">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row>
    <row r="37" spans="2:50" x14ac:dyDescent="0.2">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row>
    <row r="38" spans="2:50" x14ac:dyDescent="0.2">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row>
    <row r="39" spans="2:50" x14ac:dyDescent="0.2">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row>
    <row r="40" spans="2:50" x14ac:dyDescent="0.2">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row>
    <row r="41" spans="2:50" x14ac:dyDescent="0.2">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row>
    <row r="42" spans="2:50" x14ac:dyDescent="0.2">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row>
    <row r="43" spans="2:50" x14ac:dyDescent="0.2">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row>
    <row r="44" spans="2:50" ht="14.25" x14ac:dyDescent="0.2">
      <c r="B44" s="79"/>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row>
    <row r="45" spans="2:50" x14ac:dyDescent="0.2">
      <c r="B45" s="407"/>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row>
    <row r="46" spans="2:50" x14ac:dyDescent="0.2">
      <c r="B46" s="407"/>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row>
    <row r="47" spans="2:50" x14ac:dyDescent="0.2">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row>
    <row r="48" spans="2:50" x14ac:dyDescent="0.2">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row>
    <row r="56" spans="6:6" x14ac:dyDescent="0.2">
      <c r="F56" s="2277"/>
    </row>
    <row r="72" spans="49:49" x14ac:dyDescent="0.2">
      <c r="AW72" s="347"/>
    </row>
    <row r="73" spans="49:49" x14ac:dyDescent="0.2">
      <c r="AW73" s="347"/>
    </row>
    <row r="81" spans="8:8" x14ac:dyDescent="0.2">
      <c r="H81" s="61"/>
    </row>
    <row r="82" spans="8:8" x14ac:dyDescent="0.2">
      <c r="H82" s="61"/>
    </row>
    <row r="83" spans="8:8" x14ac:dyDescent="0.2">
      <c r="H83" s="61"/>
    </row>
    <row r="84" spans="8:8" x14ac:dyDescent="0.2">
      <c r="H84" s="61"/>
    </row>
    <row r="85" spans="8:8" x14ac:dyDescent="0.2">
      <c r="H85" s="61"/>
    </row>
    <row r="86" spans="8:8" x14ac:dyDescent="0.2">
      <c r="H86" s="61"/>
    </row>
    <row r="87" spans="8:8" x14ac:dyDescent="0.2">
      <c r="H87" s="61"/>
    </row>
    <row r="88" spans="8:8" x14ac:dyDescent="0.2">
      <c r="H88" s="61"/>
    </row>
  </sheetData>
  <mergeCells count="12">
    <mergeCell ref="B16:C16"/>
    <mergeCell ref="B7:C7"/>
    <mergeCell ref="B8:C8"/>
    <mergeCell ref="B10:C10"/>
    <mergeCell ref="A25:F25"/>
    <mergeCell ref="B15:C15"/>
    <mergeCell ref="B9:C9"/>
    <mergeCell ref="A28:F28"/>
    <mergeCell ref="A31:F31"/>
    <mergeCell ref="B19:C19"/>
    <mergeCell ref="B20:C20"/>
    <mergeCell ref="B21:C21"/>
  </mergeCells>
  <phoneticPr fontId="13" type="noConversion"/>
  <printOptions horizontalCentered="1" verticalCentered="1"/>
  <pageMargins left="0" right="0" top="0" bottom="0" header="0" footer="0"/>
  <pageSetup scale="94" orientation="landscape" r:id="rId1"/>
  <headerFooter alignWithMargins="0">
    <oddFooter>&amp;L&amp;F</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5:BI104"/>
  <sheetViews>
    <sheetView workbookViewId="0"/>
  </sheetViews>
  <sheetFormatPr defaultRowHeight="12.75" outlineLevelRow="1" x14ac:dyDescent="0.2"/>
  <cols>
    <col min="1" max="1" width="2.7109375" customWidth="1"/>
    <col min="2" max="2" width="45.42578125" customWidth="1"/>
    <col min="3" max="3" width="9.5703125" customWidth="1"/>
    <col min="4" max="4" width="9.7109375" customWidth="1"/>
    <col min="5" max="5" width="1.5703125" style="3" customWidth="1"/>
    <col min="6" max="8" width="9.5703125" style="481" hidden="1" customWidth="1"/>
    <col min="9" max="13" width="9.5703125" style="481" customWidth="1"/>
    <col min="14" max="17" width="9.5703125" style="3" customWidth="1"/>
    <col min="18" max="24" width="9.5703125" style="3" hidden="1" customWidth="1"/>
    <col min="25" max="25" width="7.7109375" style="3" hidden="1" customWidth="1"/>
    <col min="26" max="26" width="7" style="3" hidden="1" customWidth="1"/>
    <col min="27" max="27" width="7.5703125" style="3" hidden="1" customWidth="1"/>
    <col min="28" max="28" width="7" style="3" hidden="1" customWidth="1"/>
    <col min="29" max="30" width="8" hidden="1" customWidth="1"/>
    <col min="31" max="37" width="8.5703125" hidden="1" customWidth="1"/>
    <col min="38" max="38" width="1.5703125" customWidth="1"/>
    <col min="39" max="40" width="10.140625" style="407" hidden="1" customWidth="1"/>
    <col min="41" max="41" width="10.140625" hidden="1" customWidth="1"/>
    <col min="42" max="42" width="9.85546875" hidden="1" customWidth="1"/>
    <col min="43" max="43" width="1.5703125" hidden="1" customWidth="1"/>
    <col min="44" max="44" width="9.7109375" style="480" customWidth="1"/>
    <col min="45" max="45" width="9.7109375" style="407" customWidth="1"/>
    <col min="46" max="48" width="9.7109375" customWidth="1"/>
    <col min="49" max="53" width="9.7109375" hidden="1" customWidth="1"/>
    <col min="54" max="54" width="1.5703125" customWidth="1"/>
  </cols>
  <sheetData>
    <row r="5" spans="1:61" x14ac:dyDescent="0.2">
      <c r="A5" s="3"/>
      <c r="B5" s="3"/>
      <c r="C5" s="3"/>
      <c r="D5" s="3"/>
      <c r="AC5" s="3"/>
      <c r="AD5" s="3"/>
      <c r="AE5" s="3"/>
    </row>
    <row r="6" spans="1:61" ht="18" customHeight="1" x14ac:dyDescent="0.2">
      <c r="A6" s="81" t="s">
        <v>81</v>
      </c>
      <c r="B6" s="3"/>
      <c r="C6" s="3"/>
      <c r="D6" s="3"/>
      <c r="AC6" s="3"/>
      <c r="AD6" s="3"/>
      <c r="AE6" s="3"/>
    </row>
    <row r="7" spans="1:61" ht="18" customHeight="1" x14ac:dyDescent="0.2">
      <c r="A7" s="81" t="s">
        <v>194</v>
      </c>
      <c r="B7" s="4"/>
      <c r="C7" s="4"/>
      <c r="D7" s="4"/>
      <c r="E7" s="4"/>
      <c r="F7" s="4"/>
      <c r="G7" s="4"/>
      <c r="H7" s="4"/>
      <c r="I7" s="4"/>
      <c r="J7" s="4"/>
      <c r="K7" s="4"/>
      <c r="L7" s="4"/>
      <c r="M7" s="4"/>
      <c r="N7" s="4"/>
      <c r="O7" s="4"/>
      <c r="P7" s="4"/>
      <c r="Q7" s="4"/>
      <c r="R7" s="4"/>
      <c r="S7" s="4"/>
      <c r="T7" s="4"/>
      <c r="U7" s="4"/>
      <c r="V7" s="4"/>
      <c r="W7" s="4"/>
      <c r="X7" s="4"/>
      <c r="Y7" s="4"/>
      <c r="Z7" s="4"/>
      <c r="AA7" s="4"/>
      <c r="AB7" s="4"/>
      <c r="AC7" s="3"/>
      <c r="AD7" s="3"/>
      <c r="AE7" s="3"/>
    </row>
    <row r="8" spans="1:61" ht="9.75" customHeight="1" x14ac:dyDescent="0.2">
      <c r="A8" s="2"/>
      <c r="B8" s="2"/>
      <c r="C8" s="281"/>
      <c r="D8" s="281"/>
      <c r="E8" s="2"/>
      <c r="F8" s="281"/>
      <c r="G8" s="281"/>
      <c r="H8" s="281"/>
      <c r="I8" s="281"/>
      <c r="J8" s="281"/>
      <c r="K8" s="281"/>
      <c r="L8" s="281"/>
      <c r="M8" s="281"/>
      <c r="N8" s="281"/>
      <c r="O8" s="281"/>
      <c r="P8" s="281"/>
      <c r="Q8" s="281"/>
      <c r="R8" s="281"/>
      <c r="S8" s="281"/>
      <c r="T8" s="281"/>
      <c r="U8" s="281"/>
      <c r="V8" s="281"/>
      <c r="W8" s="281"/>
      <c r="X8" s="281"/>
      <c r="Y8" s="281"/>
      <c r="Z8" s="281"/>
      <c r="AA8" s="281"/>
      <c r="AB8" s="281"/>
      <c r="AC8" s="25"/>
      <c r="AD8" s="25"/>
      <c r="AE8" s="25"/>
      <c r="AO8" s="367"/>
      <c r="AP8" s="367"/>
      <c r="AV8" s="25"/>
      <c r="AW8" s="25"/>
      <c r="AX8" s="25"/>
      <c r="AY8" s="25"/>
      <c r="AZ8" s="25"/>
    </row>
    <row r="9" spans="1:61" x14ac:dyDescent="0.2">
      <c r="A9" s="5" t="s">
        <v>1</v>
      </c>
      <c r="B9" s="6"/>
      <c r="C9" s="2431" t="s">
        <v>293</v>
      </c>
      <c r="D9" s="2432"/>
      <c r="E9" s="184"/>
      <c r="F9" s="273"/>
      <c r="G9" s="273"/>
      <c r="H9" s="273"/>
      <c r="I9" s="17"/>
      <c r="J9" s="273"/>
      <c r="K9" s="273"/>
      <c r="L9" s="273"/>
      <c r="M9" s="17"/>
      <c r="N9" s="15"/>
      <c r="O9" s="16"/>
      <c r="P9" s="273"/>
      <c r="Q9" s="17"/>
      <c r="R9" s="15"/>
      <c r="S9" s="16"/>
      <c r="T9" s="273"/>
      <c r="U9" s="17"/>
      <c r="V9" s="481"/>
      <c r="W9" s="16"/>
      <c r="X9" s="2"/>
      <c r="Y9" s="17"/>
      <c r="Z9" s="16"/>
      <c r="AA9" s="481"/>
      <c r="AB9" s="273"/>
      <c r="AC9" s="17"/>
      <c r="AD9" s="16"/>
      <c r="AE9" s="16"/>
      <c r="AF9" s="16"/>
      <c r="AG9" s="16"/>
      <c r="AH9" s="20"/>
      <c r="AI9" s="17"/>
      <c r="AJ9" s="17"/>
      <c r="AK9" s="17"/>
      <c r="AL9" s="22"/>
      <c r="AM9" s="445" t="s">
        <v>281</v>
      </c>
      <c r="AN9" s="433"/>
      <c r="AO9" s="433" t="s">
        <v>266</v>
      </c>
      <c r="AP9" s="434"/>
      <c r="AQ9" s="13"/>
      <c r="AR9" s="46"/>
      <c r="AS9" s="46"/>
      <c r="AT9" s="46"/>
      <c r="AU9" s="46"/>
      <c r="AV9" s="46"/>
      <c r="AW9" s="20"/>
      <c r="AX9" s="20"/>
      <c r="AY9" s="46"/>
      <c r="AZ9" s="46"/>
      <c r="BA9" s="46"/>
      <c r="BB9" s="23"/>
    </row>
    <row r="10" spans="1:61" ht="13.5" x14ac:dyDescent="0.2">
      <c r="A10" s="5" t="s">
        <v>2</v>
      </c>
      <c r="B10" s="6"/>
      <c r="C10" s="2433" t="s">
        <v>35</v>
      </c>
      <c r="D10" s="2434"/>
      <c r="E10" s="355"/>
      <c r="F10" s="19" t="s">
        <v>296</v>
      </c>
      <c r="G10" s="19" t="s">
        <v>295</v>
      </c>
      <c r="H10" s="19" t="s">
        <v>294</v>
      </c>
      <c r="I10" s="12" t="s">
        <v>292</v>
      </c>
      <c r="J10" s="19" t="s">
        <v>252</v>
      </c>
      <c r="K10" s="19" t="s">
        <v>253</v>
      </c>
      <c r="L10" s="19" t="s">
        <v>254</v>
      </c>
      <c r="M10" s="12" t="s">
        <v>255</v>
      </c>
      <c r="N10" s="18" t="s">
        <v>202</v>
      </c>
      <c r="O10" s="19" t="s">
        <v>203</v>
      </c>
      <c r="P10" s="19" t="s">
        <v>204</v>
      </c>
      <c r="Q10" s="12" t="s">
        <v>201</v>
      </c>
      <c r="R10" s="18" t="s">
        <v>173</v>
      </c>
      <c r="S10" s="19" t="s">
        <v>174</v>
      </c>
      <c r="T10" s="19" t="s">
        <v>175</v>
      </c>
      <c r="U10" s="12" t="s">
        <v>176</v>
      </c>
      <c r="V10" s="19" t="s">
        <v>109</v>
      </c>
      <c r="W10" s="19" t="s">
        <v>108</v>
      </c>
      <c r="X10" s="19" t="s">
        <v>107</v>
      </c>
      <c r="Y10" s="12" t="s">
        <v>106</v>
      </c>
      <c r="Z10" s="19" t="s">
        <v>78</v>
      </c>
      <c r="AA10" s="19" t="s">
        <v>79</v>
      </c>
      <c r="AB10" s="19" t="s">
        <v>80</v>
      </c>
      <c r="AC10" s="12" t="s">
        <v>26</v>
      </c>
      <c r="AD10" s="19" t="s">
        <v>27</v>
      </c>
      <c r="AE10" s="19" t="s">
        <v>28</v>
      </c>
      <c r="AF10" s="19" t="s">
        <v>29</v>
      </c>
      <c r="AG10" s="19" t="s">
        <v>30</v>
      </c>
      <c r="AH10" s="21" t="s">
        <v>31</v>
      </c>
      <c r="AI10" s="12" t="s">
        <v>32</v>
      </c>
      <c r="AJ10" s="12" t="s">
        <v>33</v>
      </c>
      <c r="AK10" s="12" t="s">
        <v>34</v>
      </c>
      <c r="AL10" s="184"/>
      <c r="AM10" s="19" t="s">
        <v>253</v>
      </c>
      <c r="AN10" s="19" t="s">
        <v>203</v>
      </c>
      <c r="AO10" s="2436" t="s">
        <v>35</v>
      </c>
      <c r="AP10" s="2437"/>
      <c r="AQ10" s="14"/>
      <c r="AR10" s="18" t="s">
        <v>257</v>
      </c>
      <c r="AS10" s="18" t="s">
        <v>206</v>
      </c>
      <c r="AT10" s="18" t="s">
        <v>111</v>
      </c>
      <c r="AU10" s="18" t="s">
        <v>110</v>
      </c>
      <c r="AV10" s="18" t="s">
        <v>39</v>
      </c>
      <c r="AW10" s="21" t="s">
        <v>36</v>
      </c>
      <c r="AX10" s="21" t="s">
        <v>37</v>
      </c>
      <c r="AY10" s="12" t="s">
        <v>128</v>
      </c>
      <c r="AZ10" s="12" t="s">
        <v>129</v>
      </c>
      <c r="BA10" s="12" t="s">
        <v>130</v>
      </c>
      <c r="BB10" s="23"/>
      <c r="BC10" s="3"/>
      <c r="BG10" s="3"/>
      <c r="BH10" s="3"/>
      <c r="BI10" s="3"/>
    </row>
    <row r="11" spans="1:61" s="407" customFormat="1" x14ac:dyDescent="0.2">
      <c r="A11" s="5"/>
      <c r="B11" s="6"/>
      <c r="C11" s="529"/>
      <c r="D11" s="419"/>
      <c r="E11" s="355"/>
      <c r="F11" s="421" t="s">
        <v>220</v>
      </c>
      <c r="G11" s="421" t="s">
        <v>220</v>
      </c>
      <c r="H11" s="421" t="s">
        <v>220</v>
      </c>
      <c r="I11" s="422" t="s">
        <v>220</v>
      </c>
      <c r="J11" s="421" t="s">
        <v>220</v>
      </c>
      <c r="K11" s="421" t="s">
        <v>220</v>
      </c>
      <c r="L11" s="421" t="s">
        <v>220</v>
      </c>
      <c r="M11" s="422" t="s">
        <v>220</v>
      </c>
      <c r="N11" s="420" t="s">
        <v>220</v>
      </c>
      <c r="O11" s="421" t="s">
        <v>220</v>
      </c>
      <c r="P11" s="421" t="s">
        <v>220</v>
      </c>
      <c r="Q11" s="422" t="s">
        <v>220</v>
      </c>
      <c r="R11" s="420" t="s">
        <v>220</v>
      </c>
      <c r="S11" s="421" t="s">
        <v>220</v>
      </c>
      <c r="T11" s="421" t="s">
        <v>220</v>
      </c>
      <c r="U11" s="422" t="s">
        <v>220</v>
      </c>
      <c r="V11" s="420" t="s">
        <v>221</v>
      </c>
      <c r="W11" s="421" t="s">
        <v>221</v>
      </c>
      <c r="X11" s="422" t="s">
        <v>221</v>
      </c>
      <c r="Y11" s="422" t="s">
        <v>221</v>
      </c>
      <c r="Z11" s="13"/>
      <c r="AA11" s="13"/>
      <c r="AB11" s="13"/>
      <c r="AC11" s="159"/>
      <c r="AD11" s="13"/>
      <c r="AE11" s="13"/>
      <c r="AF11" s="13"/>
      <c r="AG11" s="13"/>
      <c r="AH11" s="184"/>
      <c r="AI11" s="159"/>
      <c r="AJ11" s="159"/>
      <c r="AK11" s="159"/>
      <c r="AL11" s="184"/>
      <c r="AM11" s="420" t="s">
        <v>220</v>
      </c>
      <c r="AN11" s="421" t="s">
        <v>220</v>
      </c>
      <c r="AO11" s="435"/>
      <c r="AP11" s="436"/>
      <c r="AQ11" s="415"/>
      <c r="AR11" s="420" t="s">
        <v>220</v>
      </c>
      <c r="AS11" s="420" t="s">
        <v>220</v>
      </c>
      <c r="AT11" s="420" t="s">
        <v>220</v>
      </c>
      <c r="AU11" s="420" t="s">
        <v>221</v>
      </c>
      <c r="AV11" s="420" t="s">
        <v>221</v>
      </c>
      <c r="AW11" s="423" t="s">
        <v>221</v>
      </c>
      <c r="AX11" s="423" t="s">
        <v>221</v>
      </c>
      <c r="AY11" s="159"/>
      <c r="AZ11" s="159"/>
      <c r="BA11" s="159"/>
      <c r="BB11" s="23"/>
      <c r="BC11" s="3"/>
      <c r="BG11" s="3"/>
      <c r="BH11" s="3"/>
      <c r="BI11" s="3"/>
    </row>
    <row r="12" spans="1:61" ht="12.75" customHeight="1" x14ac:dyDescent="0.2">
      <c r="A12" s="85" t="s">
        <v>56</v>
      </c>
      <c r="B12" s="7"/>
      <c r="C12" s="105"/>
      <c r="D12" s="107"/>
      <c r="E12" s="47"/>
      <c r="F12" s="483"/>
      <c r="G12" s="483"/>
      <c r="H12" s="483"/>
      <c r="I12" s="107"/>
      <c r="J12" s="483"/>
      <c r="K12" s="483"/>
      <c r="L12" s="483"/>
      <c r="M12" s="107"/>
      <c r="N12" s="91"/>
      <c r="O12" s="125"/>
      <c r="P12" s="91"/>
      <c r="Q12" s="107"/>
      <c r="R12" s="91"/>
      <c r="S12" s="125"/>
      <c r="T12" s="91"/>
      <c r="U12" s="107"/>
      <c r="V12" s="91"/>
      <c r="W12" s="125"/>
      <c r="X12" s="91"/>
      <c r="Y12" s="107"/>
      <c r="Z12" s="91"/>
      <c r="AA12" s="125"/>
      <c r="AB12" s="91"/>
      <c r="AC12" s="107"/>
      <c r="AD12" s="125"/>
      <c r="AE12" s="91"/>
      <c r="AF12" s="91"/>
      <c r="AG12" s="107"/>
      <c r="AH12" s="47"/>
      <c r="AI12" s="107"/>
      <c r="AJ12" s="107"/>
      <c r="AK12" s="107"/>
      <c r="AL12" s="47"/>
      <c r="AM12" s="91"/>
      <c r="AN12" s="91"/>
      <c r="AO12" s="125"/>
      <c r="AP12" s="106"/>
      <c r="AQ12" s="44"/>
      <c r="AR12" s="47"/>
      <c r="AS12" s="47"/>
      <c r="AT12" s="47"/>
      <c r="AU12" s="47"/>
      <c r="AV12" s="47"/>
      <c r="AW12" s="47"/>
      <c r="AX12" s="47"/>
      <c r="AY12" s="218"/>
      <c r="AZ12" s="218"/>
      <c r="BA12" s="218"/>
      <c r="BB12" s="23"/>
      <c r="BC12" s="3"/>
      <c r="BG12" s="3"/>
    </row>
    <row r="13" spans="1:61" ht="12.75" customHeight="1" x14ac:dyDescent="0.2">
      <c r="A13" s="6"/>
      <c r="B13" s="44" t="s">
        <v>170</v>
      </c>
      <c r="C13" s="34" t="e">
        <f>I13-M13</f>
        <v>#REF!</v>
      </c>
      <c r="D13" s="39" t="e">
        <f>IF(OR((C13/M13)&gt;3,(C13/M13)&lt;-3),"n.m.",(C13/M13))</f>
        <v>#REF!</v>
      </c>
      <c r="E13" s="350"/>
      <c r="F13" s="502" t="e">
        <f>+#REF!</f>
        <v>#REF!</v>
      </c>
      <c r="G13" s="502" t="e">
        <f>+#REF!</f>
        <v>#REF!</v>
      </c>
      <c r="H13" s="502" t="e">
        <f>+#REF!</f>
        <v>#REF!</v>
      </c>
      <c r="I13" s="143" t="e">
        <f>+#REF!</f>
        <v>#REF!</v>
      </c>
      <c r="J13" s="502" t="e">
        <f>+#REF!</f>
        <v>#REF!</v>
      </c>
      <c r="K13" s="502" t="e">
        <f>+#REF!</f>
        <v>#REF!</v>
      </c>
      <c r="L13" s="502" t="e">
        <f>+#REF!</f>
        <v>#REF!</v>
      </c>
      <c r="M13" s="143" t="e">
        <f>+#REF!</f>
        <v>#REF!</v>
      </c>
      <c r="N13" s="263" t="e">
        <f>#REF!</f>
        <v>#REF!</v>
      </c>
      <c r="O13" s="263" t="e">
        <f>#REF!</f>
        <v>#REF!</v>
      </c>
      <c r="P13" s="263" t="e">
        <f>#REF!</f>
        <v>#REF!</v>
      </c>
      <c r="Q13" s="143" t="e">
        <f>#REF!</f>
        <v>#REF!</v>
      </c>
      <c r="R13" s="263" t="e">
        <f>#REF!</f>
        <v>#REF!</v>
      </c>
      <c r="S13" s="263" t="e">
        <f>#REF!</f>
        <v>#REF!</v>
      </c>
      <c r="T13" s="263" t="e">
        <f>#REF!</f>
        <v>#REF!</v>
      </c>
      <c r="U13" s="143">
        <v>58053</v>
      </c>
      <c r="V13" s="263">
        <v>39289</v>
      </c>
      <c r="W13" s="263">
        <v>67352</v>
      </c>
      <c r="X13" s="263">
        <v>34463</v>
      </c>
      <c r="Y13" s="143">
        <v>36477</v>
      </c>
      <c r="Z13" s="263">
        <v>31276</v>
      </c>
      <c r="AA13" s="263">
        <v>20429</v>
      </c>
      <c r="AB13" s="263">
        <v>29110</v>
      </c>
      <c r="AC13" s="143">
        <v>42035</v>
      </c>
      <c r="AD13" s="140">
        <v>39733</v>
      </c>
      <c r="AE13" s="108">
        <v>52078</v>
      </c>
      <c r="AF13" s="108">
        <v>48387</v>
      </c>
      <c r="AG13" s="109">
        <v>72387</v>
      </c>
      <c r="AH13" s="116">
        <v>68481</v>
      </c>
      <c r="AI13" s="109">
        <v>58781</v>
      </c>
      <c r="AJ13" s="109">
        <v>46473</v>
      </c>
      <c r="AK13" s="109">
        <v>53589</v>
      </c>
      <c r="AL13" s="47"/>
      <c r="AM13" s="235" t="e">
        <f>SUM(K13:M13)</f>
        <v>#REF!</v>
      </c>
      <c r="AN13" s="235" t="e">
        <f>SUM(O13:Q13)</f>
        <v>#REF!</v>
      </c>
      <c r="AO13" s="28" t="e">
        <f>AR13-AS13</f>
        <v>#REF!</v>
      </c>
      <c r="AP13" s="498" t="e">
        <f>IF(OR((AO13/AS13)&gt;3,(AO13/AS13)&lt;-3),"n.m.",(AO13/AS13))</f>
        <v>#REF!</v>
      </c>
      <c r="AQ13" s="44"/>
      <c r="AR13" s="499" t="e">
        <f>SUM(J13:M13)</f>
        <v>#REF!</v>
      </c>
      <c r="AS13" s="129" t="e">
        <f>SUM(N13:Q13)</f>
        <v>#REF!</v>
      </c>
      <c r="AT13" s="129">
        <v>338520</v>
      </c>
      <c r="AU13" s="129">
        <v>177581</v>
      </c>
      <c r="AV13" s="129">
        <v>122850</v>
      </c>
      <c r="AW13" s="129">
        <v>212585</v>
      </c>
      <c r="AX13" s="129">
        <v>227324</v>
      </c>
      <c r="AY13" s="37">
        <v>189074</v>
      </c>
      <c r="AZ13" s="37">
        <v>123564</v>
      </c>
      <c r="BA13" s="37">
        <v>127269</v>
      </c>
      <c r="BB13" s="91"/>
      <c r="BC13" s="91"/>
      <c r="BG13" s="3"/>
    </row>
    <row r="14" spans="1:61" ht="12.75" customHeight="1" x14ac:dyDescent="0.2">
      <c r="A14" s="6"/>
      <c r="B14" s="482" t="s">
        <v>285</v>
      </c>
      <c r="C14" s="34" t="e">
        <f>I14-M14</f>
        <v>#REF!</v>
      </c>
      <c r="D14" s="27" t="e">
        <f>IF(OR((C14/M14)&gt;3,(C14/M14)&lt;-3),"n.m.",(C14/M14))</f>
        <v>#REF!</v>
      </c>
      <c r="E14" s="350"/>
      <c r="F14" s="502" t="e">
        <f>+#REF!</f>
        <v>#REF!</v>
      </c>
      <c r="G14" s="502" t="e">
        <f>+#REF!</f>
        <v>#REF!</v>
      </c>
      <c r="H14" s="502" t="e">
        <f>+#REF!</f>
        <v>#REF!</v>
      </c>
      <c r="I14" s="143" t="e">
        <f>+#REF!</f>
        <v>#REF!</v>
      </c>
      <c r="J14" s="502" t="e">
        <f>+#REF!</f>
        <v>#REF!</v>
      </c>
      <c r="K14" s="502" t="e">
        <f>+#REF!</f>
        <v>#REF!</v>
      </c>
      <c r="L14" s="502" t="e">
        <f>+#REF!</f>
        <v>#REF!</v>
      </c>
      <c r="M14" s="143" t="e">
        <f>+#REF!</f>
        <v>#REF!</v>
      </c>
      <c r="N14" s="263" t="e">
        <f>#REF!</f>
        <v>#REF!</v>
      </c>
      <c r="O14" s="263" t="e">
        <f>#REF!</f>
        <v>#REF!</v>
      </c>
      <c r="P14" s="263" t="e">
        <f>#REF!</f>
        <v>#REF!</v>
      </c>
      <c r="Q14" s="143" t="e">
        <f>#REF!</f>
        <v>#REF!</v>
      </c>
      <c r="R14" s="263" t="e">
        <f>#REF!</f>
        <v>#REF!</v>
      </c>
      <c r="S14" s="263" t="e">
        <f>#REF!</f>
        <v>#REF!</v>
      </c>
      <c r="T14" s="263" t="e">
        <f>#REF!</f>
        <v>#REF!</v>
      </c>
      <c r="U14" s="143">
        <v>46307</v>
      </c>
      <c r="V14" s="263">
        <v>54086</v>
      </c>
      <c r="W14" s="263">
        <v>50900</v>
      </c>
      <c r="X14" s="263">
        <v>39596</v>
      </c>
      <c r="Y14" s="143">
        <v>39676</v>
      </c>
      <c r="Z14" s="263">
        <v>36739</v>
      </c>
      <c r="AA14" s="263">
        <v>33072</v>
      </c>
      <c r="AB14" s="263">
        <v>43016</v>
      </c>
      <c r="AC14" s="143">
        <v>56801</v>
      </c>
      <c r="AD14" s="139">
        <v>53686</v>
      </c>
      <c r="AE14" s="139">
        <v>60447</v>
      </c>
      <c r="AF14" s="139">
        <v>56588</v>
      </c>
      <c r="AG14" s="139">
        <v>74990</v>
      </c>
      <c r="AH14" s="103">
        <v>74727</v>
      </c>
      <c r="AI14" s="143">
        <v>67907</v>
      </c>
      <c r="AJ14" s="143">
        <v>54960</v>
      </c>
      <c r="AK14" s="143">
        <v>70996</v>
      </c>
      <c r="AL14" s="47"/>
      <c r="AM14" s="494" t="e">
        <f>SUM(K14:M14)</f>
        <v>#REF!</v>
      </c>
      <c r="AN14" s="494" t="e">
        <f>SUM(O14:Q14)</f>
        <v>#REF!</v>
      </c>
      <c r="AO14" s="28" t="e">
        <f>AR14-AS14</f>
        <v>#REF!</v>
      </c>
      <c r="AP14" s="498" t="e">
        <f t="shared" ref="AP14:AP31" si="0">IF(OR((AO14/AS14)&gt;3,(AO14/AS14)&lt;-3),"n.m.",(AO14/AS14))</f>
        <v>#REF!</v>
      </c>
      <c r="AQ14" s="44"/>
      <c r="AR14" s="499" t="e">
        <f>SUM(J14:M14)</f>
        <v>#REF!</v>
      </c>
      <c r="AS14" s="129" t="e">
        <f>SUM(N14:Q14)</f>
        <v>#REF!</v>
      </c>
      <c r="AT14" s="129">
        <v>228098</v>
      </c>
      <c r="AU14" s="129">
        <v>184258</v>
      </c>
      <c r="AV14" s="129">
        <v>169628</v>
      </c>
      <c r="AW14" s="129">
        <v>245711</v>
      </c>
      <c r="AX14" s="129">
        <v>268590</v>
      </c>
      <c r="AY14" s="37">
        <v>223925</v>
      </c>
      <c r="AZ14" s="37">
        <v>178176</v>
      </c>
      <c r="BA14" s="37">
        <v>175983</v>
      </c>
      <c r="BB14" s="91"/>
      <c r="BC14" s="91"/>
      <c r="BG14" s="3"/>
    </row>
    <row r="15" spans="1:61" ht="12.75" customHeight="1" x14ac:dyDescent="0.2">
      <c r="A15" s="6"/>
      <c r="B15" s="44" t="s">
        <v>87</v>
      </c>
      <c r="C15" s="34" t="e">
        <f>I15-M15</f>
        <v>#REF!</v>
      </c>
      <c r="D15" s="27" t="e">
        <f>IF(OR((C15/M15)&gt;3,(C15/M15)&lt;-3),"n.m.",(C15/M15))</f>
        <v>#REF!</v>
      </c>
      <c r="E15" s="350"/>
      <c r="F15" s="502" t="e">
        <f>+'12 Other'!#REF!</f>
        <v>#REF!</v>
      </c>
      <c r="G15" s="502" t="e">
        <f>+'12 Other'!#REF!</f>
        <v>#REF!</v>
      </c>
      <c r="H15" s="502" t="e">
        <f>+'12 Other'!#REF!</f>
        <v>#REF!</v>
      </c>
      <c r="I15" s="143" t="e">
        <f>+'12 Other'!#REF!</f>
        <v>#REF!</v>
      </c>
      <c r="J15" s="502" t="e">
        <f>+'12 Other'!#REF!</f>
        <v>#REF!</v>
      </c>
      <c r="K15" s="502" t="e">
        <f>+'12 Other'!#REF!</f>
        <v>#REF!</v>
      </c>
      <c r="L15" s="502" t="e">
        <f>+'12 Other'!#REF!</f>
        <v>#REF!</v>
      </c>
      <c r="M15" s="143" t="e">
        <f>+'12 Other'!#REF!</f>
        <v>#REF!</v>
      </c>
      <c r="N15" s="263" t="e">
        <f>'12 Other'!#REF!</f>
        <v>#REF!</v>
      </c>
      <c r="O15" s="263" t="e">
        <f>'12 Other'!#REF!</f>
        <v>#REF!</v>
      </c>
      <c r="P15" s="263" t="e">
        <f>'12 Other'!#REF!</f>
        <v>#REF!</v>
      </c>
      <c r="Q15" s="143" t="e">
        <f>'12 Other'!#REF!</f>
        <v>#REF!</v>
      </c>
      <c r="R15" s="263" t="e">
        <f>'12 Other'!#REF!</f>
        <v>#REF!</v>
      </c>
      <c r="S15" s="263" t="e">
        <f>'12 Other'!#REF!</f>
        <v>#REF!</v>
      </c>
      <c r="T15" s="263" t="e">
        <f>'12 Other'!#REF!</f>
        <v>#REF!</v>
      </c>
      <c r="U15" s="143">
        <v>4558</v>
      </c>
      <c r="V15" s="263">
        <v>4647</v>
      </c>
      <c r="W15" s="263">
        <v>5374</v>
      </c>
      <c r="X15" s="263">
        <v>5131</v>
      </c>
      <c r="Y15" s="143">
        <v>11781</v>
      </c>
      <c r="Z15" s="263">
        <v>4769</v>
      </c>
      <c r="AA15" s="263">
        <v>4406</v>
      </c>
      <c r="AB15" s="263">
        <v>8649</v>
      </c>
      <c r="AC15" s="143">
        <v>10062</v>
      </c>
      <c r="AD15" s="139">
        <v>11018</v>
      </c>
      <c r="AE15" s="139">
        <v>12605</v>
      </c>
      <c r="AF15" s="139">
        <v>12383</v>
      </c>
      <c r="AG15" s="139">
        <v>14764</v>
      </c>
      <c r="AH15" s="103">
        <v>10416</v>
      </c>
      <c r="AI15" s="143">
        <v>8017</v>
      </c>
      <c r="AJ15" s="143">
        <v>6975</v>
      </c>
      <c r="AK15" s="143">
        <v>8665</v>
      </c>
      <c r="AL15" s="47"/>
      <c r="AM15" s="494" t="e">
        <f>SUM(K15:M15)</f>
        <v>#REF!</v>
      </c>
      <c r="AN15" s="494" t="e">
        <f>SUM(O15:Q15)</f>
        <v>#REF!</v>
      </c>
      <c r="AO15" s="28" t="e">
        <f>AR15-AS15</f>
        <v>#REF!</v>
      </c>
      <c r="AP15" s="498" t="e">
        <f t="shared" si="0"/>
        <v>#REF!</v>
      </c>
      <c r="AQ15" s="44"/>
      <c r="AR15" s="499" t="e">
        <f>SUM(J15:M15)</f>
        <v>#REF!</v>
      </c>
      <c r="AS15" s="129" t="e">
        <f>SUM(N15:Q15)</f>
        <v>#REF!</v>
      </c>
      <c r="AT15" s="129">
        <v>31938</v>
      </c>
      <c r="AU15" s="129">
        <v>26933</v>
      </c>
      <c r="AV15" s="129">
        <v>27886</v>
      </c>
      <c r="AW15" s="129">
        <v>50770</v>
      </c>
      <c r="AX15" s="129">
        <v>34578</v>
      </c>
      <c r="AY15" s="37">
        <v>24555</v>
      </c>
      <c r="AZ15" s="37">
        <v>14948</v>
      </c>
      <c r="BA15" s="37">
        <v>14416</v>
      </c>
      <c r="BB15" s="91"/>
      <c r="BC15" s="91"/>
      <c r="BG15" s="3"/>
    </row>
    <row r="16" spans="1:61" ht="12.75" customHeight="1" x14ac:dyDescent="0.2">
      <c r="A16" s="7"/>
      <c r="B16" s="6"/>
      <c r="C16" s="110" t="e">
        <f>I16-M16</f>
        <v>#REF!</v>
      </c>
      <c r="D16" s="111" t="e">
        <f>IF(OR((C16/M16)&gt;3,(C16/M16)&lt;-3),"n.m.",(C16/M16))</f>
        <v>#REF!</v>
      </c>
      <c r="E16" s="350"/>
      <c r="F16" s="147" t="e">
        <f t="shared" ref="F16:K16" si="1">SUM(F13:F15)</f>
        <v>#REF!</v>
      </c>
      <c r="G16" s="147" t="e">
        <f t="shared" si="1"/>
        <v>#REF!</v>
      </c>
      <c r="H16" s="147" t="e">
        <f t="shared" si="1"/>
        <v>#REF!</v>
      </c>
      <c r="I16" s="148" t="e">
        <f t="shared" si="1"/>
        <v>#REF!</v>
      </c>
      <c r="J16" s="147" t="e">
        <f t="shared" si="1"/>
        <v>#REF!</v>
      </c>
      <c r="K16" s="147" t="e">
        <f t="shared" si="1"/>
        <v>#REF!</v>
      </c>
      <c r="L16" s="147" t="e">
        <f t="shared" ref="L16:Q16" si="2">SUM(L13:L15)</f>
        <v>#REF!</v>
      </c>
      <c r="M16" s="148" t="e">
        <f t="shared" si="2"/>
        <v>#REF!</v>
      </c>
      <c r="N16" s="147" t="e">
        <f t="shared" si="2"/>
        <v>#REF!</v>
      </c>
      <c r="O16" s="147" t="e">
        <f t="shared" si="2"/>
        <v>#REF!</v>
      </c>
      <c r="P16" s="147" t="e">
        <f t="shared" si="2"/>
        <v>#REF!</v>
      </c>
      <c r="Q16" s="148" t="e">
        <f t="shared" si="2"/>
        <v>#REF!</v>
      </c>
      <c r="R16" s="147" t="e">
        <f>SUM(R13:R15)</f>
        <v>#REF!</v>
      </c>
      <c r="S16" s="147" t="e">
        <f>SUM(S13:S15)</f>
        <v>#REF!</v>
      </c>
      <c r="T16" s="147" t="e">
        <f>SUM(T13:T15)</f>
        <v>#REF!</v>
      </c>
      <c r="U16" s="148">
        <f>SUM(U13:U15)</f>
        <v>108918</v>
      </c>
      <c r="V16" s="147">
        <v>98022</v>
      </c>
      <c r="W16" s="147">
        <v>123626</v>
      </c>
      <c r="X16" s="147">
        <v>79190</v>
      </c>
      <c r="Y16" s="148">
        <v>87934</v>
      </c>
      <c r="Z16" s="147">
        <v>72784</v>
      </c>
      <c r="AA16" s="147">
        <v>57907</v>
      </c>
      <c r="AB16" s="147">
        <v>80775</v>
      </c>
      <c r="AC16" s="147">
        <v>108898</v>
      </c>
      <c r="AD16" s="117">
        <v>104437</v>
      </c>
      <c r="AE16" s="147">
        <v>125130</v>
      </c>
      <c r="AF16" s="147">
        <v>117358</v>
      </c>
      <c r="AG16" s="147">
        <v>162141</v>
      </c>
      <c r="AH16" s="117">
        <v>153624</v>
      </c>
      <c r="AI16" s="148">
        <v>134705</v>
      </c>
      <c r="AJ16" s="148">
        <v>108408</v>
      </c>
      <c r="AK16" s="148">
        <v>133250</v>
      </c>
      <c r="AL16" s="47"/>
      <c r="AM16" s="147" t="e">
        <f>SUM(AM13:AM15)</f>
        <v>#REF!</v>
      </c>
      <c r="AN16" s="147" t="e">
        <f>SUM(AN13:AN15)</f>
        <v>#REF!</v>
      </c>
      <c r="AO16" s="244" t="e">
        <f>AR16-AS16</f>
        <v>#REF!</v>
      </c>
      <c r="AP16" s="111" t="e">
        <f t="shared" si="0"/>
        <v>#REF!</v>
      </c>
      <c r="AQ16" s="44"/>
      <c r="AR16" s="130" t="e">
        <f>SUM(AR13:AR15)</f>
        <v>#REF!</v>
      </c>
      <c r="AS16" s="130" t="e">
        <f>SUM(AS13:AS15)</f>
        <v>#REF!</v>
      </c>
      <c r="AT16" s="130">
        <v>598556</v>
      </c>
      <c r="AU16" s="130">
        <v>388772</v>
      </c>
      <c r="AV16" s="130">
        <v>320364</v>
      </c>
      <c r="AW16" s="130">
        <v>509066</v>
      </c>
      <c r="AX16" s="130">
        <v>530492</v>
      </c>
      <c r="AY16" s="130">
        <f>SUM(AY13:AY15)</f>
        <v>437554</v>
      </c>
      <c r="AZ16" s="130">
        <f>SUM(AZ13:AZ15)</f>
        <v>316688</v>
      </c>
      <c r="BA16" s="219">
        <v>317668</v>
      </c>
      <c r="BB16" s="91"/>
      <c r="BC16" s="91"/>
      <c r="BG16" s="3"/>
    </row>
    <row r="17" spans="1:59" ht="12.75" customHeight="1" x14ac:dyDescent="0.2">
      <c r="A17" s="85" t="s">
        <v>5</v>
      </c>
      <c r="B17" s="6"/>
      <c r="C17" s="34"/>
      <c r="D17" s="27"/>
      <c r="E17" s="350"/>
      <c r="F17" s="502"/>
      <c r="G17" s="502"/>
      <c r="H17" s="502"/>
      <c r="I17" s="143"/>
      <c r="J17" s="502"/>
      <c r="K17" s="502"/>
      <c r="L17" s="502"/>
      <c r="M17" s="143"/>
      <c r="N17" s="263"/>
      <c r="O17" s="263"/>
      <c r="P17" s="263"/>
      <c r="Q17" s="143"/>
      <c r="R17" s="263"/>
      <c r="S17" s="263"/>
      <c r="T17" s="263"/>
      <c r="U17" s="143"/>
      <c r="V17" s="263"/>
      <c r="W17" s="263"/>
      <c r="X17" s="263"/>
      <c r="Y17" s="143"/>
      <c r="Z17" s="272"/>
      <c r="AA17" s="263"/>
      <c r="AB17" s="263"/>
      <c r="AC17" s="143"/>
      <c r="AD17" s="151"/>
      <c r="AE17" s="139"/>
      <c r="AF17" s="139"/>
      <c r="AG17" s="139"/>
      <c r="AH17" s="103"/>
      <c r="AI17" s="143"/>
      <c r="AJ17" s="143"/>
      <c r="AK17" s="143"/>
      <c r="AL17" s="47"/>
      <c r="AM17" s="91"/>
      <c r="AN17" s="91"/>
      <c r="AO17" s="28"/>
      <c r="AP17" s="27"/>
      <c r="AQ17" s="44"/>
      <c r="AR17" s="131"/>
      <c r="AS17" s="131"/>
      <c r="AT17" s="131"/>
      <c r="AU17" s="131"/>
      <c r="AV17" s="131"/>
      <c r="AW17" s="129"/>
      <c r="AX17" s="129"/>
      <c r="AY17" s="37"/>
      <c r="AZ17" s="37"/>
      <c r="BA17" s="37"/>
      <c r="BB17" s="91"/>
      <c r="BC17" s="91"/>
      <c r="BG17" s="3"/>
    </row>
    <row r="18" spans="1:59" s="480" customFormat="1" ht="12.75" customHeight="1" x14ac:dyDescent="0.2">
      <c r="A18" s="408"/>
      <c r="B18" s="6" t="s">
        <v>274</v>
      </c>
      <c r="C18" s="459">
        <f t="shared" ref="C18:C36" si="3">I18-M18</f>
        <v>-9081</v>
      </c>
      <c r="D18" s="498">
        <f t="shared" ref="D18:D29" si="4">IF(OR((C18/M18)&gt;3,(C18/M18)&lt;-3),"n.m.",(C18/M18))</f>
        <v>-0.28840473846349285</v>
      </c>
      <c r="E18" s="497"/>
      <c r="F18" s="502"/>
      <c r="G18" s="502"/>
      <c r="H18" s="502"/>
      <c r="I18" s="143">
        <v>22406</v>
      </c>
      <c r="J18" s="502">
        <v>42572</v>
      </c>
      <c r="K18" s="502">
        <v>50525</v>
      </c>
      <c r="L18" s="502">
        <v>31407</v>
      </c>
      <c r="M18" s="143">
        <v>31487</v>
      </c>
      <c r="N18" s="502">
        <v>57210</v>
      </c>
      <c r="O18" s="502">
        <v>46334</v>
      </c>
      <c r="P18" s="502">
        <v>38835</v>
      </c>
      <c r="Q18" s="143">
        <v>58739</v>
      </c>
      <c r="R18" s="502">
        <v>89001</v>
      </c>
      <c r="S18" s="502">
        <v>93267</v>
      </c>
      <c r="T18" s="502">
        <v>46394</v>
      </c>
      <c r="U18" s="143"/>
      <c r="V18" s="502"/>
      <c r="W18" s="502"/>
      <c r="X18" s="502"/>
      <c r="Y18" s="143"/>
      <c r="Z18" s="502"/>
      <c r="AA18" s="502"/>
      <c r="AB18" s="502"/>
      <c r="AC18" s="143"/>
      <c r="AD18" s="114"/>
      <c r="AE18" s="139"/>
      <c r="AF18" s="139"/>
      <c r="AG18" s="139"/>
      <c r="AH18" s="486"/>
      <c r="AI18" s="143"/>
      <c r="AJ18" s="143"/>
      <c r="AK18" s="143"/>
      <c r="AL18" s="47"/>
      <c r="AM18" s="494">
        <f t="shared" ref="AM18:AM34" si="5">SUM(K18:M18)</f>
        <v>113419</v>
      </c>
      <c r="AN18" s="494">
        <f t="shared" ref="AN18:AN34" si="6">SUM(O18:Q18)</f>
        <v>143908</v>
      </c>
      <c r="AO18" s="507">
        <f t="shared" ref="AO18:AO31" si="7">AR18-AS18</f>
        <v>-45126</v>
      </c>
      <c r="AP18" s="498">
        <f t="shared" si="0"/>
        <v>-0.22437685526335416</v>
      </c>
      <c r="AQ18" s="482"/>
      <c r="AR18" s="499">
        <f t="shared" ref="AR18:AR34" si="8">SUM(J18:M18)</f>
        <v>155991</v>
      </c>
      <c r="AS18" s="499">
        <v>201117</v>
      </c>
      <c r="AT18" s="499">
        <v>277879</v>
      </c>
      <c r="AU18" s="499">
        <v>182044</v>
      </c>
      <c r="AV18" s="499">
        <v>141136</v>
      </c>
      <c r="AW18" s="499">
        <v>226244</v>
      </c>
      <c r="AX18" s="499"/>
      <c r="AY18" s="37"/>
      <c r="AZ18" s="37"/>
      <c r="BA18" s="37"/>
      <c r="BB18" s="483"/>
      <c r="BC18" s="483"/>
      <c r="BG18" s="481"/>
    </row>
    <row r="19" spans="1:59" s="480" customFormat="1" ht="12.75" customHeight="1" x14ac:dyDescent="0.2">
      <c r="A19" s="408"/>
      <c r="B19" s="6" t="s">
        <v>275</v>
      </c>
      <c r="C19" s="267">
        <f t="shared" si="3"/>
        <v>1347</v>
      </c>
      <c r="D19" s="92">
        <f t="shared" si="4"/>
        <v>0.32094353109363832</v>
      </c>
      <c r="E19" s="497"/>
      <c r="F19" s="271"/>
      <c r="G19" s="271"/>
      <c r="H19" s="271"/>
      <c r="I19" s="146">
        <v>5544</v>
      </c>
      <c r="J19" s="271">
        <v>5436</v>
      </c>
      <c r="K19" s="271">
        <v>6168</v>
      </c>
      <c r="L19" s="271">
        <v>7680</v>
      </c>
      <c r="M19" s="146">
        <v>4197</v>
      </c>
      <c r="N19" s="271">
        <v>7417</v>
      </c>
      <c r="O19" s="271">
        <v>4597</v>
      </c>
      <c r="P19" s="271">
        <v>5903</v>
      </c>
      <c r="Q19" s="146">
        <v>-2011</v>
      </c>
      <c r="R19" s="271">
        <v>-2346</v>
      </c>
      <c r="S19" s="271">
        <v>2005</v>
      </c>
      <c r="T19" s="271">
        <v>2966</v>
      </c>
      <c r="U19" s="143"/>
      <c r="V19" s="502"/>
      <c r="W19" s="502"/>
      <c r="X19" s="502"/>
      <c r="Y19" s="143"/>
      <c r="Z19" s="502"/>
      <c r="AA19" s="502"/>
      <c r="AB19" s="502"/>
      <c r="AC19" s="143"/>
      <c r="AD19" s="114"/>
      <c r="AE19" s="139"/>
      <c r="AF19" s="139"/>
      <c r="AG19" s="139"/>
      <c r="AH19" s="486"/>
      <c r="AI19" s="143"/>
      <c r="AJ19" s="143"/>
      <c r="AK19" s="143"/>
      <c r="AL19" s="47"/>
      <c r="AM19" s="243">
        <f t="shared" si="5"/>
        <v>18045</v>
      </c>
      <c r="AN19" s="243">
        <f t="shared" si="6"/>
        <v>8489</v>
      </c>
      <c r="AO19" s="100">
        <f t="shared" si="7"/>
        <v>7574</v>
      </c>
      <c r="AP19" s="92">
        <f t="shared" si="0"/>
        <v>0.47614257873891996</v>
      </c>
      <c r="AQ19" s="482"/>
      <c r="AR19" s="134">
        <f t="shared" si="8"/>
        <v>23481</v>
      </c>
      <c r="AS19" s="134">
        <v>15907</v>
      </c>
      <c r="AT19" s="134">
        <v>3497</v>
      </c>
      <c r="AU19" s="134">
        <v>13721</v>
      </c>
      <c r="AV19" s="134">
        <v>4928</v>
      </c>
      <c r="AW19" s="134">
        <v>5477</v>
      </c>
      <c r="AX19" s="499"/>
      <c r="AY19" s="37"/>
      <c r="AZ19" s="37"/>
      <c r="BA19" s="37"/>
      <c r="BB19" s="483"/>
      <c r="BC19" s="483"/>
      <c r="BG19" s="481"/>
    </row>
    <row r="20" spans="1:59" ht="12.75" customHeight="1" x14ac:dyDescent="0.2">
      <c r="A20" s="7"/>
      <c r="B20" s="482" t="s">
        <v>190</v>
      </c>
      <c r="C20" s="34">
        <f t="shared" si="3"/>
        <v>-7734</v>
      </c>
      <c r="D20" s="27">
        <f t="shared" si="4"/>
        <v>-0.21673579195157494</v>
      </c>
      <c r="E20" s="350"/>
      <c r="F20" s="502"/>
      <c r="G20" s="502"/>
      <c r="H20" s="502"/>
      <c r="I20" s="143">
        <f>+I18+I19</f>
        <v>27950</v>
      </c>
      <c r="J20" s="502">
        <f>SUM(J18:J19)</f>
        <v>48008</v>
      </c>
      <c r="K20" s="502">
        <f>SUM(K18:K19)</f>
        <v>56693</v>
      </c>
      <c r="L20" s="502">
        <v>39087</v>
      </c>
      <c r="M20" s="143">
        <v>35684</v>
      </c>
      <c r="N20" s="263">
        <v>64627</v>
      </c>
      <c r="O20" s="263">
        <f>51829-898</f>
        <v>50931</v>
      </c>
      <c r="P20" s="263">
        <v>44738</v>
      </c>
      <c r="Q20" s="143">
        <v>56728</v>
      </c>
      <c r="R20" s="263">
        <v>86655</v>
      </c>
      <c r="S20" s="263">
        <v>95272</v>
      </c>
      <c r="T20" s="263">
        <v>49360</v>
      </c>
      <c r="U20" s="143">
        <v>50089</v>
      </c>
      <c r="V20" s="263">
        <v>48182</v>
      </c>
      <c r="W20" s="263">
        <v>65080</v>
      </c>
      <c r="X20" s="263">
        <v>38928</v>
      </c>
      <c r="Y20" s="143">
        <v>43575</v>
      </c>
      <c r="Z20" s="263">
        <v>29690</v>
      </c>
      <c r="AA20" s="263">
        <v>28216</v>
      </c>
      <c r="AB20" s="263">
        <v>35846</v>
      </c>
      <c r="AC20" s="143">
        <v>52312</v>
      </c>
      <c r="AD20" s="114">
        <v>42278</v>
      </c>
      <c r="AE20" s="139">
        <v>58353</v>
      </c>
      <c r="AF20" s="139">
        <v>52413</v>
      </c>
      <c r="AG20" s="139">
        <v>78677</v>
      </c>
      <c r="AH20" s="103">
        <v>77445</v>
      </c>
      <c r="AI20" s="143">
        <v>67818</v>
      </c>
      <c r="AJ20" s="143">
        <v>52505</v>
      </c>
      <c r="AK20" s="143">
        <v>65428</v>
      </c>
      <c r="AL20" s="47"/>
      <c r="AM20" s="494">
        <f t="shared" si="5"/>
        <v>131464</v>
      </c>
      <c r="AN20" s="494">
        <f t="shared" si="6"/>
        <v>152397</v>
      </c>
      <c r="AO20" s="28">
        <f t="shared" si="7"/>
        <v>-37552</v>
      </c>
      <c r="AP20" s="27">
        <f t="shared" si="0"/>
        <v>-0.17303155411383073</v>
      </c>
      <c r="AQ20" s="44"/>
      <c r="AR20" s="499">
        <f>SUM(AR18:AR19)</f>
        <v>179472</v>
      </c>
      <c r="AS20" s="129">
        <f>SUM(N20:Q20)</f>
        <v>217024</v>
      </c>
      <c r="AT20" s="129">
        <f>SUM(R20:U20)</f>
        <v>281376</v>
      </c>
      <c r="AU20" s="129">
        <v>195765</v>
      </c>
      <c r="AV20" s="129">
        <v>146064</v>
      </c>
      <c r="AW20" s="129">
        <v>231721</v>
      </c>
      <c r="AX20" s="129">
        <v>263196</v>
      </c>
      <c r="AY20" s="37">
        <v>221165</v>
      </c>
      <c r="AZ20" s="37">
        <v>154427</v>
      </c>
      <c r="BA20" s="37">
        <v>164826</v>
      </c>
      <c r="BB20" s="91"/>
      <c r="BC20" s="91"/>
      <c r="BG20" s="3"/>
    </row>
    <row r="21" spans="1:59" ht="12.75" customHeight="1" x14ac:dyDescent="0.2">
      <c r="A21" s="7"/>
      <c r="B21" s="44" t="s">
        <v>61</v>
      </c>
      <c r="C21" s="34">
        <f t="shared" si="3"/>
        <v>-1085</v>
      </c>
      <c r="D21" s="27">
        <f t="shared" si="4"/>
        <v>-7.994400235779546E-2</v>
      </c>
      <c r="E21" s="350"/>
      <c r="F21" s="502"/>
      <c r="G21" s="502"/>
      <c r="H21" s="502"/>
      <c r="I21" s="143">
        <v>12487</v>
      </c>
      <c r="J21" s="502">
        <v>12411</v>
      </c>
      <c r="K21" s="502">
        <v>11698</v>
      </c>
      <c r="L21" s="502">
        <v>12687</v>
      </c>
      <c r="M21" s="143">
        <v>13572</v>
      </c>
      <c r="N21" s="263">
        <v>13896</v>
      </c>
      <c r="O21" s="263">
        <f>16652-4300-275</f>
        <v>12077</v>
      </c>
      <c r="P21" s="263">
        <v>11648</v>
      </c>
      <c r="Q21" s="143">
        <v>13773</v>
      </c>
      <c r="R21" s="263">
        <v>14496</v>
      </c>
      <c r="S21" s="263">
        <v>12178</v>
      </c>
      <c r="T21" s="263">
        <v>13744</v>
      </c>
      <c r="U21" s="143">
        <v>13380</v>
      </c>
      <c r="V21" s="263">
        <v>13818</v>
      </c>
      <c r="W21" s="263">
        <v>12075</v>
      </c>
      <c r="X21" s="263">
        <v>11462</v>
      </c>
      <c r="Y21" s="143">
        <v>11235</v>
      </c>
      <c r="Z21" s="263">
        <v>11808</v>
      </c>
      <c r="AA21" s="263">
        <v>10244</v>
      </c>
      <c r="AB21" s="263">
        <v>11347</v>
      </c>
      <c r="AC21" s="143">
        <v>12594</v>
      </c>
      <c r="AD21" s="114">
        <v>12403</v>
      </c>
      <c r="AE21" s="139">
        <v>10559</v>
      </c>
      <c r="AF21" s="139">
        <v>10399</v>
      </c>
      <c r="AG21" s="139">
        <v>11856</v>
      </c>
      <c r="AH21" s="103">
        <v>11055</v>
      </c>
      <c r="AI21" s="143">
        <v>9161</v>
      </c>
      <c r="AJ21" s="143">
        <v>9102</v>
      </c>
      <c r="AK21" s="143">
        <v>10041</v>
      </c>
      <c r="AL21" s="47"/>
      <c r="AM21" s="235">
        <f t="shared" si="5"/>
        <v>37957</v>
      </c>
      <c r="AN21" s="235">
        <f t="shared" si="6"/>
        <v>37498</v>
      </c>
      <c r="AO21" s="28">
        <f t="shared" si="7"/>
        <v>-1026</v>
      </c>
      <c r="AP21" s="27">
        <f t="shared" si="0"/>
        <v>-1.9963419854457719E-2</v>
      </c>
      <c r="AQ21" s="44"/>
      <c r="AR21" s="499">
        <f t="shared" si="8"/>
        <v>50368</v>
      </c>
      <c r="AS21" s="129">
        <f t="shared" ref="AS21:AS34" si="9">SUM(N21:Q21)</f>
        <v>51394</v>
      </c>
      <c r="AT21" s="129">
        <f t="shared" ref="AT21:AT31" si="10">SUM(R21:U21)</f>
        <v>53798</v>
      </c>
      <c r="AU21" s="129">
        <v>48590</v>
      </c>
      <c r="AV21" s="129">
        <v>45993</v>
      </c>
      <c r="AW21" s="129">
        <v>45217</v>
      </c>
      <c r="AX21" s="129">
        <v>39359</v>
      </c>
      <c r="AY21" s="37">
        <v>37196</v>
      </c>
      <c r="AZ21" s="37">
        <v>36920</v>
      </c>
      <c r="BA21" s="37">
        <v>31335</v>
      </c>
      <c r="BB21" s="91"/>
      <c r="BC21" s="91"/>
      <c r="BG21" s="3"/>
    </row>
    <row r="22" spans="1:59" ht="12.75" hidden="1" customHeight="1" x14ac:dyDescent="0.2">
      <c r="A22" s="7"/>
      <c r="B22" s="6" t="s">
        <v>178</v>
      </c>
      <c r="C22" s="34">
        <f t="shared" si="3"/>
        <v>0</v>
      </c>
      <c r="D22" s="27" t="e">
        <f t="shared" si="4"/>
        <v>#DIV/0!</v>
      </c>
      <c r="E22" s="350"/>
      <c r="F22" s="507"/>
      <c r="G22" s="507"/>
      <c r="H22" s="507"/>
      <c r="I22" s="26"/>
      <c r="J22" s="507"/>
      <c r="K22" s="507"/>
      <c r="L22" s="507"/>
      <c r="M22" s="26"/>
      <c r="N22" s="28"/>
      <c r="O22" s="28"/>
      <c r="P22" s="28"/>
      <c r="Q22" s="26"/>
      <c r="R22" s="28"/>
      <c r="S22" s="28"/>
      <c r="T22" s="28"/>
      <c r="U22" s="26"/>
      <c r="V22" s="28">
        <v>0</v>
      </c>
      <c r="W22" s="28">
        <v>0</v>
      </c>
      <c r="X22" s="28">
        <v>0</v>
      </c>
      <c r="Y22" s="26">
        <v>0</v>
      </c>
      <c r="Z22" s="28">
        <v>0</v>
      </c>
      <c r="AA22" s="28">
        <v>0</v>
      </c>
      <c r="AB22" s="28">
        <v>0</v>
      </c>
      <c r="AC22" s="26">
        <v>0</v>
      </c>
      <c r="AD22" s="160"/>
      <c r="AE22" s="160"/>
      <c r="AF22" s="160"/>
      <c r="AG22" s="164"/>
      <c r="AH22" s="129"/>
      <c r="AI22" s="164"/>
      <c r="AJ22" s="164"/>
      <c r="AK22" s="164"/>
      <c r="AL22" s="131"/>
      <c r="AM22" s="235">
        <f t="shared" si="5"/>
        <v>0</v>
      </c>
      <c r="AN22" s="235">
        <f t="shared" si="6"/>
        <v>0</v>
      </c>
      <c r="AO22" s="180">
        <f t="shared" si="7"/>
        <v>0</v>
      </c>
      <c r="AP22" s="27" t="e">
        <f t="shared" si="0"/>
        <v>#DIV/0!</v>
      </c>
      <c r="AQ22" s="169"/>
      <c r="AR22" s="499">
        <f t="shared" si="8"/>
        <v>0</v>
      </c>
      <c r="AS22" s="129">
        <f t="shared" si="9"/>
        <v>0</v>
      </c>
      <c r="AT22" s="129">
        <f t="shared" si="10"/>
        <v>0</v>
      </c>
      <c r="AU22" s="37">
        <v>0</v>
      </c>
      <c r="AV22" s="37">
        <v>0</v>
      </c>
      <c r="AW22" s="37">
        <v>0</v>
      </c>
      <c r="AX22" s="37">
        <v>0</v>
      </c>
      <c r="AY22" s="37">
        <v>0</v>
      </c>
      <c r="AZ22" s="37"/>
      <c r="BA22" s="37"/>
      <c r="BB22" s="91"/>
      <c r="BC22" s="91"/>
      <c r="BG22" s="3"/>
    </row>
    <row r="23" spans="1:59" ht="12.75" customHeight="1" x14ac:dyDescent="0.2">
      <c r="A23" s="7"/>
      <c r="B23" s="44" t="s">
        <v>88</v>
      </c>
      <c r="C23" s="34">
        <f t="shared" si="3"/>
        <v>-1205</v>
      </c>
      <c r="D23" s="27">
        <f t="shared" si="4"/>
        <v>-0.24845360824742269</v>
      </c>
      <c r="E23" s="350"/>
      <c r="F23" s="502"/>
      <c r="G23" s="502"/>
      <c r="H23" s="502"/>
      <c r="I23" s="143">
        <v>3645</v>
      </c>
      <c r="J23" s="502">
        <v>4416</v>
      </c>
      <c r="K23" s="502">
        <v>4503</v>
      </c>
      <c r="L23" s="502">
        <v>3784</v>
      </c>
      <c r="M23" s="143">
        <v>4850</v>
      </c>
      <c r="N23" s="263">
        <v>4636</v>
      </c>
      <c r="O23" s="263">
        <v>5332</v>
      </c>
      <c r="P23" s="263">
        <v>5193</v>
      </c>
      <c r="Q23" s="143">
        <v>6806</v>
      </c>
      <c r="R23" s="263">
        <v>6617</v>
      </c>
      <c r="S23" s="263">
        <v>6104</v>
      </c>
      <c r="T23" s="263">
        <v>5375</v>
      </c>
      <c r="U23" s="143">
        <v>5783</v>
      </c>
      <c r="V23" s="263">
        <v>5147</v>
      </c>
      <c r="W23" s="263">
        <v>4751</v>
      </c>
      <c r="X23" s="263">
        <v>4541</v>
      </c>
      <c r="Y23" s="143">
        <v>4327</v>
      </c>
      <c r="Z23" s="263">
        <v>3862</v>
      </c>
      <c r="AA23" s="263">
        <v>4063</v>
      </c>
      <c r="AB23" s="263">
        <v>3347</v>
      </c>
      <c r="AC23" s="143">
        <v>3325</v>
      </c>
      <c r="AD23" s="114">
        <v>3357</v>
      </c>
      <c r="AE23" s="139">
        <v>4334</v>
      </c>
      <c r="AF23" s="139">
        <v>4309</v>
      </c>
      <c r="AG23" s="139">
        <v>4262</v>
      </c>
      <c r="AH23" s="103">
        <v>4096</v>
      </c>
      <c r="AI23" s="143">
        <v>3153</v>
      </c>
      <c r="AJ23" s="143">
        <v>3830</v>
      </c>
      <c r="AK23" s="143">
        <v>5904</v>
      </c>
      <c r="AL23" s="47"/>
      <c r="AM23" s="235">
        <f t="shared" si="5"/>
        <v>13137</v>
      </c>
      <c r="AN23" s="235">
        <f t="shared" si="6"/>
        <v>17331</v>
      </c>
      <c r="AO23" s="28">
        <f t="shared" si="7"/>
        <v>-4414</v>
      </c>
      <c r="AP23" s="27">
        <f t="shared" si="0"/>
        <v>-0.20093777029180135</v>
      </c>
      <c r="AQ23" s="44"/>
      <c r="AR23" s="499">
        <f t="shared" si="8"/>
        <v>17553</v>
      </c>
      <c r="AS23" s="129">
        <f t="shared" si="9"/>
        <v>21967</v>
      </c>
      <c r="AT23" s="129">
        <f t="shared" si="10"/>
        <v>23879</v>
      </c>
      <c r="AU23" s="129">
        <v>18766</v>
      </c>
      <c r="AV23" s="129">
        <v>14597</v>
      </c>
      <c r="AW23" s="129">
        <v>16262</v>
      </c>
      <c r="AX23" s="129">
        <v>16983</v>
      </c>
      <c r="AY23" s="37">
        <v>17399</v>
      </c>
      <c r="AZ23" s="37">
        <v>15700</v>
      </c>
      <c r="BA23" s="37">
        <v>16193</v>
      </c>
      <c r="BB23" s="91"/>
      <c r="BC23" s="91"/>
      <c r="BG23" s="3"/>
    </row>
    <row r="24" spans="1:59" ht="12.75" customHeight="1" x14ac:dyDescent="0.2">
      <c r="A24" s="7"/>
      <c r="B24" s="44" t="s">
        <v>63</v>
      </c>
      <c r="C24" s="34">
        <f t="shared" si="3"/>
        <v>-413</v>
      </c>
      <c r="D24" s="27">
        <f t="shared" si="4"/>
        <v>-9.7405660377358497E-2</v>
      </c>
      <c r="E24" s="350"/>
      <c r="F24" s="502"/>
      <c r="G24" s="502"/>
      <c r="H24" s="502"/>
      <c r="I24" s="143">
        <v>3827</v>
      </c>
      <c r="J24" s="502">
        <v>4013</v>
      </c>
      <c r="K24" s="502">
        <v>3786</v>
      </c>
      <c r="L24" s="502">
        <v>4094</v>
      </c>
      <c r="M24" s="143">
        <v>4240</v>
      </c>
      <c r="N24" s="263">
        <v>4490</v>
      </c>
      <c r="O24" s="263">
        <v>4349</v>
      </c>
      <c r="P24" s="263">
        <v>4395</v>
      </c>
      <c r="Q24" s="143">
        <v>4575</v>
      </c>
      <c r="R24" s="263">
        <v>5263</v>
      </c>
      <c r="S24" s="263">
        <v>5085</v>
      </c>
      <c r="T24" s="263">
        <v>4655</v>
      </c>
      <c r="U24" s="143">
        <v>4086</v>
      </c>
      <c r="V24" s="263">
        <v>4079</v>
      </c>
      <c r="W24" s="263">
        <v>4027</v>
      </c>
      <c r="X24" s="263">
        <v>3885</v>
      </c>
      <c r="Y24" s="143">
        <v>3702</v>
      </c>
      <c r="Z24" s="263">
        <v>4062</v>
      </c>
      <c r="AA24" s="263">
        <v>4010</v>
      </c>
      <c r="AB24" s="263">
        <v>3660</v>
      </c>
      <c r="AC24" s="143">
        <v>3721</v>
      </c>
      <c r="AD24" s="114">
        <v>3733</v>
      </c>
      <c r="AE24" s="139">
        <v>3630</v>
      </c>
      <c r="AF24" s="139">
        <v>3659</v>
      </c>
      <c r="AG24" s="139">
        <v>3478</v>
      </c>
      <c r="AH24" s="103">
        <v>3407</v>
      </c>
      <c r="AI24" s="143">
        <v>3507</v>
      </c>
      <c r="AJ24" s="143">
        <v>3794</v>
      </c>
      <c r="AK24" s="143">
        <v>3821</v>
      </c>
      <c r="AL24" s="47"/>
      <c r="AM24" s="235">
        <f t="shared" si="5"/>
        <v>12120</v>
      </c>
      <c r="AN24" s="235">
        <f t="shared" si="6"/>
        <v>13319</v>
      </c>
      <c r="AO24" s="28">
        <f t="shared" si="7"/>
        <v>-1676</v>
      </c>
      <c r="AP24" s="27">
        <f t="shared" si="0"/>
        <v>-9.4109719804593178E-2</v>
      </c>
      <c r="AQ24" s="44"/>
      <c r="AR24" s="499">
        <f t="shared" si="8"/>
        <v>16133</v>
      </c>
      <c r="AS24" s="129">
        <f t="shared" si="9"/>
        <v>17809</v>
      </c>
      <c r="AT24" s="129">
        <f t="shared" si="10"/>
        <v>19089</v>
      </c>
      <c r="AU24" s="129">
        <v>15693</v>
      </c>
      <c r="AV24" s="129">
        <v>15453</v>
      </c>
      <c r="AW24" s="129">
        <v>14500</v>
      </c>
      <c r="AX24" s="129">
        <v>14529</v>
      </c>
      <c r="AY24" s="37">
        <v>12701</v>
      </c>
      <c r="AZ24" s="37">
        <v>9706</v>
      </c>
      <c r="BA24" s="37">
        <v>10444</v>
      </c>
      <c r="BB24" s="91"/>
      <c r="BC24" s="91"/>
      <c r="BG24" s="3"/>
    </row>
    <row r="25" spans="1:59" ht="12.75" customHeight="1" x14ac:dyDescent="0.2">
      <c r="A25" s="7"/>
      <c r="B25" s="44" t="s">
        <v>64</v>
      </c>
      <c r="C25" s="34">
        <f t="shared" si="3"/>
        <v>-511</v>
      </c>
      <c r="D25" s="27">
        <f t="shared" si="4"/>
        <v>-0.12363900314541496</v>
      </c>
      <c r="E25" s="350"/>
      <c r="F25" s="502"/>
      <c r="G25" s="502"/>
      <c r="H25" s="502"/>
      <c r="I25" s="143">
        <v>3622</v>
      </c>
      <c r="J25" s="502">
        <v>4103</v>
      </c>
      <c r="K25" s="502">
        <v>4087</v>
      </c>
      <c r="L25" s="502">
        <v>3963</v>
      </c>
      <c r="M25" s="143">
        <v>4133</v>
      </c>
      <c r="N25" s="263">
        <v>4924</v>
      </c>
      <c r="O25" s="263">
        <v>3872</v>
      </c>
      <c r="P25" s="263">
        <v>3885</v>
      </c>
      <c r="Q25" s="143">
        <v>3756</v>
      </c>
      <c r="R25" s="263">
        <v>3726</v>
      </c>
      <c r="S25" s="263">
        <v>3429</v>
      </c>
      <c r="T25" s="263">
        <v>4011</v>
      </c>
      <c r="U25" s="143">
        <v>3664</v>
      </c>
      <c r="V25" s="263">
        <v>3374</v>
      </c>
      <c r="W25" s="263">
        <v>3740</v>
      </c>
      <c r="X25" s="263">
        <v>3502</v>
      </c>
      <c r="Y25" s="143">
        <v>3811</v>
      </c>
      <c r="Z25" s="263">
        <v>4293</v>
      </c>
      <c r="AA25" s="263">
        <v>4604</v>
      </c>
      <c r="AB25" s="263">
        <v>4576</v>
      </c>
      <c r="AC25" s="143">
        <v>4647</v>
      </c>
      <c r="AD25" s="114">
        <v>4496</v>
      </c>
      <c r="AE25" s="139">
        <v>4310</v>
      </c>
      <c r="AF25" s="139">
        <v>4532</v>
      </c>
      <c r="AG25" s="139">
        <v>4498</v>
      </c>
      <c r="AH25" s="103">
        <v>4418</v>
      </c>
      <c r="AI25" s="143">
        <v>4199</v>
      </c>
      <c r="AJ25" s="143">
        <v>4325</v>
      </c>
      <c r="AK25" s="143">
        <v>4019</v>
      </c>
      <c r="AL25" s="47"/>
      <c r="AM25" s="235">
        <f t="shared" si="5"/>
        <v>12183</v>
      </c>
      <c r="AN25" s="235">
        <f t="shared" si="6"/>
        <v>11513</v>
      </c>
      <c r="AO25" s="28">
        <f t="shared" si="7"/>
        <v>-151</v>
      </c>
      <c r="AP25" s="27">
        <f t="shared" si="0"/>
        <v>-9.1865912271095699E-3</v>
      </c>
      <c r="AQ25" s="44"/>
      <c r="AR25" s="499">
        <f t="shared" si="8"/>
        <v>16286</v>
      </c>
      <c r="AS25" s="129">
        <f t="shared" si="9"/>
        <v>16437</v>
      </c>
      <c r="AT25" s="129">
        <f t="shared" si="10"/>
        <v>14830</v>
      </c>
      <c r="AU25" s="129">
        <v>14427</v>
      </c>
      <c r="AV25" s="129">
        <v>18120</v>
      </c>
      <c r="AW25" s="129">
        <v>17836</v>
      </c>
      <c r="AX25" s="129">
        <v>16961</v>
      </c>
      <c r="AY25" s="37">
        <v>14662</v>
      </c>
      <c r="AZ25" s="37">
        <v>13001</v>
      </c>
      <c r="BA25" s="37">
        <v>11453</v>
      </c>
      <c r="BB25" s="91"/>
      <c r="BC25" s="91"/>
      <c r="BG25" s="3"/>
    </row>
    <row r="26" spans="1:59" ht="12.75" customHeight="1" x14ac:dyDescent="0.2">
      <c r="A26" s="7"/>
      <c r="B26" s="44" t="s">
        <v>59</v>
      </c>
      <c r="C26" s="34">
        <f t="shared" si="3"/>
        <v>-777</v>
      </c>
      <c r="D26" s="27">
        <f t="shared" si="4"/>
        <v>-0.24705882352941178</v>
      </c>
      <c r="E26" s="350"/>
      <c r="F26" s="502"/>
      <c r="G26" s="502"/>
      <c r="H26" s="502"/>
      <c r="I26" s="143">
        <v>2368</v>
      </c>
      <c r="J26" s="502">
        <v>2231</v>
      </c>
      <c r="K26" s="502">
        <v>2706</v>
      </c>
      <c r="L26" s="502">
        <v>1856</v>
      </c>
      <c r="M26" s="143">
        <v>3145</v>
      </c>
      <c r="N26" s="263">
        <v>2822</v>
      </c>
      <c r="O26" s="263">
        <v>2286</v>
      </c>
      <c r="P26" s="263">
        <v>1893</v>
      </c>
      <c r="Q26" s="143">
        <v>2378</v>
      </c>
      <c r="R26" s="263">
        <v>2383</v>
      </c>
      <c r="S26" s="263">
        <v>2974</v>
      </c>
      <c r="T26" s="263">
        <v>1630</v>
      </c>
      <c r="U26" s="143">
        <v>540</v>
      </c>
      <c r="V26" s="263">
        <v>172</v>
      </c>
      <c r="W26" s="263">
        <v>429</v>
      </c>
      <c r="X26" s="263">
        <v>277</v>
      </c>
      <c r="Y26" s="143">
        <v>-260</v>
      </c>
      <c r="Z26" s="263">
        <v>198</v>
      </c>
      <c r="AA26" s="263">
        <v>1663</v>
      </c>
      <c r="AB26" s="263">
        <v>2707</v>
      </c>
      <c r="AC26" s="143">
        <v>3325</v>
      </c>
      <c r="AD26" s="114">
        <v>4900</v>
      </c>
      <c r="AE26" s="139">
        <v>6118</v>
      </c>
      <c r="AF26" s="139">
        <v>5934</v>
      </c>
      <c r="AG26" s="139">
        <v>5847</v>
      </c>
      <c r="AH26" s="103">
        <v>5089</v>
      </c>
      <c r="AI26" s="143">
        <v>4823</v>
      </c>
      <c r="AJ26" s="143">
        <v>5321</v>
      </c>
      <c r="AK26" s="143">
        <v>4888</v>
      </c>
      <c r="AL26" s="47"/>
      <c r="AM26" s="235">
        <f t="shared" si="5"/>
        <v>7707</v>
      </c>
      <c r="AN26" s="235">
        <f t="shared" si="6"/>
        <v>6557</v>
      </c>
      <c r="AO26" s="28">
        <f t="shared" si="7"/>
        <v>559</v>
      </c>
      <c r="AP26" s="27">
        <f t="shared" si="0"/>
        <v>5.96012368056296E-2</v>
      </c>
      <c r="AQ26" s="44"/>
      <c r="AR26" s="499">
        <f t="shared" si="8"/>
        <v>9938</v>
      </c>
      <c r="AS26" s="129">
        <f t="shared" si="9"/>
        <v>9379</v>
      </c>
      <c r="AT26" s="129">
        <f t="shared" si="10"/>
        <v>7527</v>
      </c>
      <c r="AU26" s="129">
        <v>618</v>
      </c>
      <c r="AV26" s="129">
        <v>7893</v>
      </c>
      <c r="AW26" s="129">
        <v>22799</v>
      </c>
      <c r="AX26" s="129">
        <v>20121</v>
      </c>
      <c r="AY26" s="37">
        <v>10820</v>
      </c>
      <c r="AZ26" s="37">
        <v>7823</v>
      </c>
      <c r="BA26" s="37">
        <v>3959</v>
      </c>
      <c r="BB26" s="91"/>
      <c r="BC26" s="91"/>
      <c r="BG26" s="3"/>
    </row>
    <row r="27" spans="1:59" ht="12.75" customHeight="1" x14ac:dyDescent="0.2">
      <c r="A27" s="7"/>
      <c r="B27" s="44" t="s">
        <v>65</v>
      </c>
      <c r="C27" s="34">
        <f t="shared" si="3"/>
        <v>-1876</v>
      </c>
      <c r="D27" s="27">
        <f t="shared" si="4"/>
        <v>-0.2040905134899913</v>
      </c>
      <c r="E27" s="350"/>
      <c r="F27" s="502"/>
      <c r="G27" s="502"/>
      <c r="H27" s="502"/>
      <c r="I27" s="143">
        <v>7316</v>
      </c>
      <c r="J27" s="502">
        <v>8088</v>
      </c>
      <c r="K27" s="502">
        <v>8977</v>
      </c>
      <c r="L27" s="502">
        <v>9260</v>
      </c>
      <c r="M27" s="143">
        <v>9192</v>
      </c>
      <c r="N27" s="263">
        <v>12634</v>
      </c>
      <c r="O27" s="263">
        <v>10435</v>
      </c>
      <c r="P27" s="263">
        <v>11255</v>
      </c>
      <c r="Q27" s="143">
        <v>10637</v>
      </c>
      <c r="R27" s="263">
        <v>14217</v>
      </c>
      <c r="S27" s="263">
        <v>12149</v>
      </c>
      <c r="T27" s="263">
        <v>11678</v>
      </c>
      <c r="U27" s="143">
        <v>10345</v>
      </c>
      <c r="V27" s="263">
        <v>12296</v>
      </c>
      <c r="W27" s="263">
        <v>9716</v>
      </c>
      <c r="X27" s="263">
        <v>7759</v>
      </c>
      <c r="Y27" s="143">
        <v>7413</v>
      </c>
      <c r="Z27" s="263">
        <v>5941</v>
      </c>
      <c r="AA27" s="263">
        <v>13192</v>
      </c>
      <c r="AB27" s="263">
        <v>10569</v>
      </c>
      <c r="AC27" s="143">
        <v>11595</v>
      </c>
      <c r="AD27" s="114">
        <v>10702</v>
      </c>
      <c r="AE27" s="139">
        <v>12891</v>
      </c>
      <c r="AF27" s="139">
        <v>9494</v>
      </c>
      <c r="AG27" s="139">
        <v>12158</v>
      </c>
      <c r="AH27" s="103">
        <v>8743</v>
      </c>
      <c r="AI27" s="143">
        <v>9700</v>
      </c>
      <c r="AJ27" s="143">
        <v>9574</v>
      </c>
      <c r="AK27" s="143">
        <v>14575</v>
      </c>
      <c r="AL27" s="47"/>
      <c r="AM27" s="235">
        <f t="shared" si="5"/>
        <v>27429</v>
      </c>
      <c r="AN27" s="235">
        <f t="shared" si="6"/>
        <v>32327</v>
      </c>
      <c r="AO27" s="28">
        <f t="shared" si="7"/>
        <v>-9444</v>
      </c>
      <c r="AP27" s="27">
        <f t="shared" si="0"/>
        <v>-0.21004870888103022</v>
      </c>
      <c r="AQ27" s="44"/>
      <c r="AR27" s="499">
        <f t="shared" si="8"/>
        <v>35517</v>
      </c>
      <c r="AS27" s="129">
        <f t="shared" si="9"/>
        <v>44961</v>
      </c>
      <c r="AT27" s="129">
        <f t="shared" si="10"/>
        <v>48389</v>
      </c>
      <c r="AU27" s="129">
        <v>37184</v>
      </c>
      <c r="AV27" s="129">
        <v>41297</v>
      </c>
      <c r="AW27" s="129">
        <v>45245</v>
      </c>
      <c r="AX27" s="129">
        <v>42592</v>
      </c>
      <c r="AY27" s="37">
        <v>38066</v>
      </c>
      <c r="AZ27" s="37">
        <v>26292</v>
      </c>
      <c r="BA27" s="37">
        <v>21726</v>
      </c>
      <c r="BB27" s="91"/>
      <c r="BC27" s="91"/>
      <c r="BG27" s="3"/>
    </row>
    <row r="28" spans="1:59" ht="12.75" customHeight="1" x14ac:dyDescent="0.2">
      <c r="A28" s="7"/>
      <c r="B28" s="44" t="s">
        <v>66</v>
      </c>
      <c r="C28" s="34">
        <f t="shared" si="3"/>
        <v>-124</v>
      </c>
      <c r="D28" s="27">
        <f t="shared" si="4"/>
        <v>-5.4385964912280704E-2</v>
      </c>
      <c r="E28" s="350"/>
      <c r="F28" s="502"/>
      <c r="G28" s="502"/>
      <c r="H28" s="502"/>
      <c r="I28" s="143">
        <v>2156</v>
      </c>
      <c r="J28" s="502">
        <v>4130</v>
      </c>
      <c r="K28" s="502">
        <v>2981</v>
      </c>
      <c r="L28" s="502">
        <v>2285</v>
      </c>
      <c r="M28" s="143">
        <v>2280</v>
      </c>
      <c r="N28" s="263">
        <v>2386</v>
      </c>
      <c r="O28" s="263">
        <f>3210-837</f>
        <v>2373</v>
      </c>
      <c r="P28" s="263">
        <v>2307</v>
      </c>
      <c r="Q28" s="143">
        <v>2322</v>
      </c>
      <c r="R28" s="263">
        <v>2425</v>
      </c>
      <c r="S28" s="263">
        <v>2214</v>
      </c>
      <c r="T28" s="263">
        <v>3116</v>
      </c>
      <c r="U28" s="143">
        <v>2710</v>
      </c>
      <c r="V28" s="263">
        <v>1260</v>
      </c>
      <c r="W28" s="263">
        <v>1226</v>
      </c>
      <c r="X28" s="263">
        <v>1204</v>
      </c>
      <c r="Y28" s="143">
        <v>1192</v>
      </c>
      <c r="Z28" s="263">
        <v>1390</v>
      </c>
      <c r="AA28" s="263">
        <v>1936</v>
      </c>
      <c r="AB28" s="263">
        <v>1372</v>
      </c>
      <c r="AC28" s="143">
        <v>1355</v>
      </c>
      <c r="AD28" s="114">
        <v>1478</v>
      </c>
      <c r="AE28" s="139">
        <v>1452</v>
      </c>
      <c r="AF28" s="139">
        <v>1389</v>
      </c>
      <c r="AG28" s="139">
        <v>1286</v>
      </c>
      <c r="AH28" s="103">
        <v>1349</v>
      </c>
      <c r="AI28" s="143">
        <v>1280</v>
      </c>
      <c r="AJ28" s="143">
        <v>1418</v>
      </c>
      <c r="AK28" s="143">
        <v>1381</v>
      </c>
      <c r="AL28" s="47"/>
      <c r="AM28" s="235">
        <f t="shared" si="5"/>
        <v>7546</v>
      </c>
      <c r="AN28" s="235">
        <f t="shared" si="6"/>
        <v>7002</v>
      </c>
      <c r="AO28" s="28">
        <f t="shared" si="7"/>
        <v>2288</v>
      </c>
      <c r="AP28" s="27">
        <f t="shared" si="0"/>
        <v>0.24371538133787815</v>
      </c>
      <c r="AQ28" s="44"/>
      <c r="AR28" s="499">
        <f t="shared" si="8"/>
        <v>11676</v>
      </c>
      <c r="AS28" s="129">
        <f t="shared" si="9"/>
        <v>9388</v>
      </c>
      <c r="AT28" s="129">
        <f t="shared" si="10"/>
        <v>10465</v>
      </c>
      <c r="AU28" s="129">
        <v>4882</v>
      </c>
      <c r="AV28" s="129">
        <v>6053</v>
      </c>
      <c r="AW28" s="129">
        <v>5605</v>
      </c>
      <c r="AX28" s="129">
        <v>5428</v>
      </c>
      <c r="AY28" s="37">
        <v>3923</v>
      </c>
      <c r="AZ28" s="37">
        <v>2565</v>
      </c>
      <c r="BA28" s="37">
        <v>2849</v>
      </c>
      <c r="BB28" s="91"/>
      <c r="BC28" s="91"/>
      <c r="BG28" s="3"/>
    </row>
    <row r="29" spans="1:59" ht="12.75" customHeight="1" x14ac:dyDescent="0.2">
      <c r="A29" s="6"/>
      <c r="B29" s="44" t="s">
        <v>67</v>
      </c>
      <c r="C29" s="34">
        <f t="shared" si="3"/>
        <v>-683</v>
      </c>
      <c r="D29" s="27">
        <f t="shared" si="4"/>
        <v>-0.26391035548686242</v>
      </c>
      <c r="E29" s="350"/>
      <c r="F29" s="502"/>
      <c r="G29" s="502"/>
      <c r="H29" s="502"/>
      <c r="I29" s="143">
        <v>1905</v>
      </c>
      <c r="J29" s="502">
        <v>1993</v>
      </c>
      <c r="K29" s="502">
        <v>2071</v>
      </c>
      <c r="L29" s="502">
        <v>3527</v>
      </c>
      <c r="M29" s="143">
        <v>2588</v>
      </c>
      <c r="N29" s="263">
        <v>2802</v>
      </c>
      <c r="O29" s="263">
        <v>2446</v>
      </c>
      <c r="P29" s="263">
        <v>2763</v>
      </c>
      <c r="Q29" s="143">
        <v>3039</v>
      </c>
      <c r="R29" s="263">
        <v>3450</v>
      </c>
      <c r="S29" s="263">
        <v>3476</v>
      </c>
      <c r="T29" s="263">
        <v>3749</v>
      </c>
      <c r="U29" s="143">
        <v>3883</v>
      </c>
      <c r="V29" s="263">
        <v>4449</v>
      </c>
      <c r="W29" s="263">
        <v>5476</v>
      </c>
      <c r="X29" s="263">
        <v>4114</v>
      </c>
      <c r="Y29" s="143">
        <v>3772</v>
      </c>
      <c r="Z29" s="263">
        <v>4637</v>
      </c>
      <c r="AA29" s="263">
        <v>4127</v>
      </c>
      <c r="AB29" s="263">
        <v>3304</v>
      </c>
      <c r="AC29" s="143">
        <v>3855</v>
      </c>
      <c r="AD29" s="114">
        <v>4230</v>
      </c>
      <c r="AE29" s="139">
        <v>3260</v>
      </c>
      <c r="AF29" s="139">
        <v>3297</v>
      </c>
      <c r="AG29" s="139">
        <v>3251</v>
      </c>
      <c r="AH29" s="103">
        <v>3137</v>
      </c>
      <c r="AI29" s="143">
        <v>3316</v>
      </c>
      <c r="AJ29" s="143">
        <v>2833</v>
      </c>
      <c r="AK29" s="143">
        <v>2819</v>
      </c>
      <c r="AL29" s="47"/>
      <c r="AM29" s="235">
        <f t="shared" si="5"/>
        <v>8186</v>
      </c>
      <c r="AN29" s="235">
        <f t="shared" si="6"/>
        <v>8248</v>
      </c>
      <c r="AO29" s="28">
        <f t="shared" si="7"/>
        <v>-871</v>
      </c>
      <c r="AP29" s="27">
        <f t="shared" si="0"/>
        <v>-7.8823529411764709E-2</v>
      </c>
      <c r="AQ29" s="44"/>
      <c r="AR29" s="499">
        <f t="shared" si="8"/>
        <v>10179</v>
      </c>
      <c r="AS29" s="129">
        <f t="shared" si="9"/>
        <v>11050</v>
      </c>
      <c r="AT29" s="129">
        <f t="shared" si="10"/>
        <v>14558</v>
      </c>
      <c r="AU29" s="129">
        <v>17811</v>
      </c>
      <c r="AV29" s="129">
        <v>15923</v>
      </c>
      <c r="AW29" s="129">
        <v>14038</v>
      </c>
      <c r="AX29" s="129">
        <v>12105</v>
      </c>
      <c r="AY29" s="37">
        <v>9243</v>
      </c>
      <c r="AZ29" s="37">
        <v>7924</v>
      </c>
      <c r="BA29" s="37">
        <v>8240</v>
      </c>
      <c r="BB29" s="91"/>
      <c r="BC29" s="91"/>
      <c r="BG29" s="3"/>
    </row>
    <row r="30" spans="1:59" ht="12.75" customHeight="1" x14ac:dyDescent="0.2">
      <c r="A30" s="7"/>
      <c r="B30" s="6" t="s">
        <v>149</v>
      </c>
      <c r="C30" s="34">
        <f t="shared" si="3"/>
        <v>0</v>
      </c>
      <c r="D30" s="349">
        <v>0</v>
      </c>
      <c r="E30" s="350"/>
      <c r="F30" s="488"/>
      <c r="G30" s="488"/>
      <c r="H30" s="488"/>
      <c r="I30" s="109">
        <v>0</v>
      </c>
      <c r="J30" s="488">
        <v>0</v>
      </c>
      <c r="K30" s="488">
        <v>0</v>
      </c>
      <c r="L30" s="488">
        <v>15042</v>
      </c>
      <c r="M30" s="109">
        <v>0</v>
      </c>
      <c r="N30" s="140">
        <v>8153</v>
      </c>
      <c r="O30" s="140">
        <f>4300+275+899</f>
        <v>5474</v>
      </c>
      <c r="P30" s="140">
        <v>0</v>
      </c>
      <c r="Q30" s="109">
        <v>0</v>
      </c>
      <c r="R30" s="140">
        <v>0</v>
      </c>
      <c r="S30" s="140">
        <v>0</v>
      </c>
      <c r="T30" s="140">
        <v>0</v>
      </c>
      <c r="U30" s="109">
        <v>0</v>
      </c>
      <c r="V30" s="140">
        <v>0</v>
      </c>
      <c r="W30" s="140">
        <v>0</v>
      </c>
      <c r="X30" s="140">
        <v>0</v>
      </c>
      <c r="Y30" s="109">
        <v>0</v>
      </c>
      <c r="Z30" s="263">
        <v>142</v>
      </c>
      <c r="AA30" s="263">
        <v>2623</v>
      </c>
      <c r="AB30" s="140">
        <v>0</v>
      </c>
      <c r="AC30" s="109">
        <v>0</v>
      </c>
      <c r="AD30" s="142">
        <v>4000</v>
      </c>
      <c r="AE30" s="141">
        <v>0</v>
      </c>
      <c r="AF30" s="141">
        <v>0</v>
      </c>
      <c r="AG30" s="141">
        <v>0</v>
      </c>
      <c r="AH30" s="132">
        <v>0</v>
      </c>
      <c r="AI30" s="144">
        <v>0</v>
      </c>
      <c r="AJ30" s="143"/>
      <c r="AK30" s="143"/>
      <c r="AL30" s="47"/>
      <c r="AM30" s="140">
        <f t="shared" si="5"/>
        <v>15042</v>
      </c>
      <c r="AN30" s="28">
        <f t="shared" si="6"/>
        <v>5474</v>
      </c>
      <c r="AO30" s="140">
        <f t="shared" si="7"/>
        <v>1415</v>
      </c>
      <c r="AP30" s="458">
        <f t="shared" si="0"/>
        <v>0.10383796873853379</v>
      </c>
      <c r="AQ30" s="47"/>
      <c r="AR30" s="499">
        <f t="shared" si="8"/>
        <v>15042</v>
      </c>
      <c r="AS30" s="144">
        <f>SUM(N30:Q30)</f>
        <v>13627</v>
      </c>
      <c r="AT30" s="144">
        <v>0</v>
      </c>
      <c r="AU30" s="144">
        <v>0</v>
      </c>
      <c r="AV30" s="132">
        <v>2765</v>
      </c>
      <c r="AW30" s="410">
        <v>4000</v>
      </c>
      <c r="AX30" s="132">
        <v>0</v>
      </c>
      <c r="AY30" s="132">
        <v>0</v>
      </c>
      <c r="AZ30" s="132">
        <v>0</v>
      </c>
      <c r="BA30" s="132">
        <v>0</v>
      </c>
      <c r="BB30" s="91"/>
      <c r="BC30" s="91"/>
      <c r="BG30" s="3"/>
    </row>
    <row r="31" spans="1:59" x14ac:dyDescent="0.2">
      <c r="A31" s="6"/>
      <c r="B31" s="6" t="s">
        <v>169</v>
      </c>
      <c r="C31" s="34">
        <f t="shared" si="3"/>
        <v>0</v>
      </c>
      <c r="D31" s="349">
        <v>0</v>
      </c>
      <c r="E31" s="350"/>
      <c r="F31" s="488"/>
      <c r="G31" s="488"/>
      <c r="H31" s="488"/>
      <c r="I31" s="109">
        <v>0</v>
      </c>
      <c r="J31" s="488">
        <v>0</v>
      </c>
      <c r="K31" s="488">
        <v>0</v>
      </c>
      <c r="L31" s="488">
        <v>388</v>
      </c>
      <c r="M31" s="109">
        <v>0</v>
      </c>
      <c r="N31" s="140">
        <v>0</v>
      </c>
      <c r="O31" s="140">
        <v>2700</v>
      </c>
      <c r="P31" s="140">
        <v>2956</v>
      </c>
      <c r="Q31" s="109">
        <v>0</v>
      </c>
      <c r="R31" s="140">
        <v>0</v>
      </c>
      <c r="S31" s="140">
        <v>1750</v>
      </c>
      <c r="T31" s="140">
        <v>0</v>
      </c>
      <c r="U31" s="109">
        <v>10990</v>
      </c>
      <c r="V31" s="140">
        <v>5000</v>
      </c>
      <c r="W31" s="140">
        <v>0</v>
      </c>
      <c r="X31" s="140">
        <v>0</v>
      </c>
      <c r="Y31" s="109">
        <v>0</v>
      </c>
      <c r="Z31" s="140">
        <v>0</v>
      </c>
      <c r="AA31" s="140">
        <v>0</v>
      </c>
      <c r="AB31" s="140">
        <v>0</v>
      </c>
      <c r="AC31" s="109">
        <v>0</v>
      </c>
      <c r="AD31" s="115">
        <v>0</v>
      </c>
      <c r="AE31" s="141"/>
      <c r="AF31" s="141"/>
      <c r="AG31" s="141"/>
      <c r="AH31" s="132"/>
      <c r="AI31" s="144"/>
      <c r="AJ31" s="144"/>
      <c r="AK31" s="144"/>
      <c r="AL31" s="47"/>
      <c r="AM31" s="488">
        <f t="shared" si="5"/>
        <v>388</v>
      </c>
      <c r="AN31" s="235">
        <f t="shared" si="6"/>
        <v>5656</v>
      </c>
      <c r="AO31" s="140">
        <f t="shared" si="7"/>
        <v>-5268</v>
      </c>
      <c r="AP31" s="27">
        <f t="shared" si="0"/>
        <v>-0.93140028288543142</v>
      </c>
      <c r="AQ31" s="44"/>
      <c r="AR31" s="499">
        <f t="shared" si="8"/>
        <v>388</v>
      </c>
      <c r="AS31" s="129">
        <f t="shared" si="9"/>
        <v>5656</v>
      </c>
      <c r="AT31" s="129">
        <f t="shared" si="10"/>
        <v>12740</v>
      </c>
      <c r="AU31" s="132">
        <v>5000</v>
      </c>
      <c r="AV31" s="132">
        <v>0</v>
      </c>
      <c r="AW31" s="410">
        <v>0</v>
      </c>
      <c r="AX31" s="132">
        <v>0</v>
      </c>
      <c r="AY31" s="132">
        <v>0</v>
      </c>
      <c r="AZ31" s="132"/>
      <c r="BA31" s="132"/>
      <c r="BB31" s="91"/>
      <c r="BC31" s="91"/>
      <c r="BG31" s="3"/>
    </row>
    <row r="32" spans="1:59" x14ac:dyDescent="0.2">
      <c r="A32" s="6"/>
      <c r="B32" s="44" t="s">
        <v>68</v>
      </c>
      <c r="C32" s="34">
        <f t="shared" si="3"/>
        <v>0</v>
      </c>
      <c r="D32" s="349">
        <v>0</v>
      </c>
      <c r="E32" s="350"/>
      <c r="F32" s="488"/>
      <c r="G32" s="488"/>
      <c r="H32" s="488"/>
      <c r="I32" s="109">
        <v>0</v>
      </c>
      <c r="J32" s="488">
        <v>0</v>
      </c>
      <c r="K32" s="488">
        <v>0</v>
      </c>
      <c r="L32" s="488">
        <v>0</v>
      </c>
      <c r="M32" s="109">
        <v>0</v>
      </c>
      <c r="N32" s="140">
        <v>0</v>
      </c>
      <c r="O32" s="140">
        <v>0</v>
      </c>
      <c r="P32" s="140">
        <v>0</v>
      </c>
      <c r="Q32" s="109">
        <v>0</v>
      </c>
      <c r="R32" s="140">
        <v>0</v>
      </c>
      <c r="S32" s="140">
        <v>0</v>
      </c>
      <c r="T32" s="140">
        <v>0</v>
      </c>
      <c r="U32" s="109">
        <v>0</v>
      </c>
      <c r="V32" s="140">
        <v>0</v>
      </c>
      <c r="W32" s="140">
        <v>0</v>
      </c>
      <c r="X32" s="140">
        <v>0</v>
      </c>
      <c r="Y32" s="109">
        <v>0</v>
      </c>
      <c r="Z32" s="140">
        <v>0</v>
      </c>
      <c r="AA32" s="140">
        <v>6700</v>
      </c>
      <c r="AB32" s="140">
        <v>0</v>
      </c>
      <c r="AC32" s="109">
        <v>0</v>
      </c>
      <c r="AD32" s="114">
        <v>4172</v>
      </c>
      <c r="AE32" s="139">
        <v>4226</v>
      </c>
      <c r="AF32" s="139">
        <v>4399</v>
      </c>
      <c r="AG32" s="140">
        <v>0</v>
      </c>
      <c r="AH32" s="116">
        <v>0</v>
      </c>
      <c r="AI32" s="109">
        <v>0</v>
      </c>
      <c r="AJ32" s="109">
        <v>0</v>
      </c>
      <c r="AK32" s="109">
        <v>0</v>
      </c>
      <c r="AL32" s="47"/>
      <c r="AM32" s="140">
        <f t="shared" si="5"/>
        <v>0</v>
      </c>
      <c r="AN32" s="140">
        <f t="shared" si="6"/>
        <v>0</v>
      </c>
      <c r="AO32" s="140">
        <v>0</v>
      </c>
      <c r="AP32" s="27">
        <v>0</v>
      </c>
      <c r="AQ32" s="44"/>
      <c r="AR32" s="409">
        <f t="shared" si="8"/>
        <v>0</v>
      </c>
      <c r="AS32" s="409">
        <f t="shared" si="9"/>
        <v>0</v>
      </c>
      <c r="AT32" s="116">
        <v>0</v>
      </c>
      <c r="AU32" s="116">
        <v>0</v>
      </c>
      <c r="AV32" s="116">
        <v>6700</v>
      </c>
      <c r="AW32" s="129">
        <v>12797</v>
      </c>
      <c r="AX32" s="132">
        <v>0</v>
      </c>
      <c r="AY32" s="37">
        <v>0</v>
      </c>
      <c r="AZ32" s="37">
        <v>0</v>
      </c>
      <c r="BA32" s="37">
        <v>0</v>
      </c>
      <c r="BB32" s="91"/>
      <c r="BC32" s="91"/>
      <c r="BG32" s="3"/>
    </row>
    <row r="33" spans="1:59" ht="12.75" customHeight="1" x14ac:dyDescent="0.2">
      <c r="A33" s="6"/>
      <c r="B33" s="87" t="s">
        <v>148</v>
      </c>
      <c r="C33" s="34">
        <f t="shared" si="3"/>
        <v>0</v>
      </c>
      <c r="D33" s="349">
        <v>0</v>
      </c>
      <c r="E33" s="350"/>
      <c r="F33" s="488"/>
      <c r="G33" s="488"/>
      <c r="H33" s="488"/>
      <c r="I33" s="109">
        <v>0</v>
      </c>
      <c r="J33" s="488">
        <v>0</v>
      </c>
      <c r="K33" s="488">
        <v>0</v>
      </c>
      <c r="L33" s="488">
        <v>0</v>
      </c>
      <c r="M33" s="109">
        <v>0</v>
      </c>
      <c r="N33" s="140">
        <v>0</v>
      </c>
      <c r="O33" s="140">
        <v>0</v>
      </c>
      <c r="P33" s="140">
        <v>0</v>
      </c>
      <c r="Q33" s="109">
        <v>0</v>
      </c>
      <c r="R33" s="140">
        <v>0</v>
      </c>
      <c r="S33" s="140">
        <v>0</v>
      </c>
      <c r="T33" s="140">
        <v>0</v>
      </c>
      <c r="U33" s="109">
        <v>0</v>
      </c>
      <c r="V33" s="140">
        <v>0</v>
      </c>
      <c r="W33" s="140">
        <v>0</v>
      </c>
      <c r="X33" s="140">
        <v>0</v>
      </c>
      <c r="Y33" s="109">
        <v>0</v>
      </c>
      <c r="Z33" s="140">
        <v>0</v>
      </c>
      <c r="AA33" s="140">
        <v>5347</v>
      </c>
      <c r="AB33" s="140">
        <v>0</v>
      </c>
      <c r="AC33" s="109">
        <v>0</v>
      </c>
      <c r="AD33" s="114">
        <v>54200</v>
      </c>
      <c r="AE33" s="141">
        <v>0</v>
      </c>
      <c r="AF33" s="141">
        <v>0</v>
      </c>
      <c r="AG33" s="141">
        <v>0</v>
      </c>
      <c r="AH33" s="132">
        <v>0</v>
      </c>
      <c r="AI33" s="144">
        <v>0</v>
      </c>
      <c r="AJ33" s="144">
        <v>0</v>
      </c>
      <c r="AK33" s="144">
        <v>0</v>
      </c>
      <c r="AL33" s="47"/>
      <c r="AM33" s="140">
        <f t="shared" si="5"/>
        <v>0</v>
      </c>
      <c r="AN33" s="140">
        <f t="shared" si="6"/>
        <v>0</v>
      </c>
      <c r="AO33" s="140">
        <v>0</v>
      </c>
      <c r="AP33" s="27">
        <v>0</v>
      </c>
      <c r="AQ33" s="44"/>
      <c r="AR33" s="410">
        <f t="shared" si="8"/>
        <v>0</v>
      </c>
      <c r="AS33" s="410">
        <f t="shared" si="9"/>
        <v>0</v>
      </c>
      <c r="AT33" s="132">
        <v>0</v>
      </c>
      <c r="AU33" s="132">
        <v>0</v>
      </c>
      <c r="AV33" s="132">
        <v>5347</v>
      </c>
      <c r="AW33" s="129">
        <v>54200</v>
      </c>
      <c r="AX33" s="132">
        <v>0</v>
      </c>
      <c r="AY33" s="37">
        <v>0</v>
      </c>
      <c r="AZ33" s="37">
        <v>0</v>
      </c>
      <c r="BA33" s="37">
        <v>0</v>
      </c>
      <c r="BB33" s="91"/>
      <c r="BC33" s="91"/>
      <c r="BG33" s="3"/>
    </row>
    <row r="34" spans="1:59" ht="12.75" customHeight="1" x14ac:dyDescent="0.2">
      <c r="A34" s="6"/>
      <c r="B34" s="6" t="s">
        <v>147</v>
      </c>
      <c r="C34" s="34">
        <f t="shared" si="3"/>
        <v>0</v>
      </c>
      <c r="D34" s="349">
        <v>0</v>
      </c>
      <c r="E34" s="350"/>
      <c r="F34" s="488"/>
      <c r="G34" s="488"/>
      <c r="H34" s="488"/>
      <c r="I34" s="109">
        <v>0</v>
      </c>
      <c r="J34" s="488">
        <v>0</v>
      </c>
      <c r="K34" s="488">
        <v>0</v>
      </c>
      <c r="L34" s="488">
        <v>0</v>
      </c>
      <c r="M34" s="109">
        <v>0</v>
      </c>
      <c r="N34" s="140">
        <v>0</v>
      </c>
      <c r="O34" s="140">
        <v>0</v>
      </c>
      <c r="P34" s="140">
        <v>0</v>
      </c>
      <c r="Q34" s="109">
        <v>0</v>
      </c>
      <c r="R34" s="140">
        <v>0</v>
      </c>
      <c r="S34" s="140">
        <v>0</v>
      </c>
      <c r="T34" s="140">
        <v>0</v>
      </c>
      <c r="U34" s="109">
        <v>0</v>
      </c>
      <c r="V34" s="140">
        <v>0</v>
      </c>
      <c r="W34" s="140">
        <v>0</v>
      </c>
      <c r="X34" s="140">
        <v>0</v>
      </c>
      <c r="Y34" s="109">
        <v>0</v>
      </c>
      <c r="Z34" s="140">
        <v>0</v>
      </c>
      <c r="AA34" s="140">
        <v>3958</v>
      </c>
      <c r="AB34" s="140">
        <v>0</v>
      </c>
      <c r="AC34" s="109">
        <v>0</v>
      </c>
      <c r="AD34" s="115">
        <v>0</v>
      </c>
      <c r="AE34" s="141">
        <v>0</v>
      </c>
      <c r="AF34" s="141">
        <v>0</v>
      </c>
      <c r="AG34" s="141">
        <v>0</v>
      </c>
      <c r="AH34" s="132">
        <v>0</v>
      </c>
      <c r="AI34" s="144">
        <v>0</v>
      </c>
      <c r="AJ34" s="144"/>
      <c r="AK34" s="144"/>
      <c r="AL34" s="47"/>
      <c r="AM34" s="140">
        <f t="shared" si="5"/>
        <v>0</v>
      </c>
      <c r="AN34" s="140">
        <f t="shared" si="6"/>
        <v>0</v>
      </c>
      <c r="AO34" s="140">
        <v>0</v>
      </c>
      <c r="AP34" s="27">
        <v>0</v>
      </c>
      <c r="AQ34" s="44"/>
      <c r="AR34" s="410">
        <f t="shared" si="8"/>
        <v>0</v>
      </c>
      <c r="AS34" s="410">
        <f t="shared" si="9"/>
        <v>0</v>
      </c>
      <c r="AT34" s="132">
        <v>0</v>
      </c>
      <c r="AU34" s="132">
        <v>0</v>
      </c>
      <c r="AV34" s="132">
        <v>3958</v>
      </c>
      <c r="AW34" s="410">
        <v>0</v>
      </c>
      <c r="AX34" s="132">
        <v>0</v>
      </c>
      <c r="AY34" s="132">
        <v>0</v>
      </c>
      <c r="AZ34" s="132">
        <v>0</v>
      </c>
      <c r="BA34" s="132">
        <v>0</v>
      </c>
      <c r="BB34" s="91"/>
      <c r="BC34" s="91"/>
      <c r="BG34" s="3"/>
    </row>
    <row r="35" spans="1:59" ht="12.75" customHeight="1" x14ac:dyDescent="0.2">
      <c r="A35" s="7"/>
      <c r="B35" s="6"/>
      <c r="C35" s="110">
        <f t="shared" si="3"/>
        <v>-14408</v>
      </c>
      <c r="D35" s="111">
        <f>IF(OR((C35/M35)&gt;3,(C35/M35)&lt;-3),"n.m.",(C35/M35))</f>
        <v>-0.18081421615380755</v>
      </c>
      <c r="E35" s="350"/>
      <c r="F35" s="147">
        <f t="shared" ref="F35:M35" si="11">SUM(F20:F34)</f>
        <v>0</v>
      </c>
      <c r="G35" s="147">
        <f t="shared" si="11"/>
        <v>0</v>
      </c>
      <c r="H35" s="147">
        <f t="shared" si="11"/>
        <v>0</v>
      </c>
      <c r="I35" s="148">
        <f t="shared" si="11"/>
        <v>65276</v>
      </c>
      <c r="J35" s="147">
        <f t="shared" si="11"/>
        <v>89393</v>
      </c>
      <c r="K35" s="147">
        <f t="shared" si="11"/>
        <v>97502</v>
      </c>
      <c r="L35" s="147">
        <f t="shared" si="11"/>
        <v>95973</v>
      </c>
      <c r="M35" s="148">
        <f t="shared" si="11"/>
        <v>79684</v>
      </c>
      <c r="N35" s="147">
        <f t="shared" ref="N35:U35" si="12">SUM(N20:N34)</f>
        <v>121370</v>
      </c>
      <c r="O35" s="147">
        <f t="shared" si="12"/>
        <v>102275</v>
      </c>
      <c r="P35" s="147">
        <f t="shared" si="12"/>
        <v>91033</v>
      </c>
      <c r="Q35" s="148">
        <f t="shared" si="12"/>
        <v>104014</v>
      </c>
      <c r="R35" s="147">
        <f t="shared" si="12"/>
        <v>139232</v>
      </c>
      <c r="S35" s="147">
        <f t="shared" si="12"/>
        <v>144631</v>
      </c>
      <c r="T35" s="147">
        <f t="shared" si="12"/>
        <v>97318</v>
      </c>
      <c r="U35" s="148">
        <f t="shared" si="12"/>
        <v>105470</v>
      </c>
      <c r="V35" s="147">
        <v>97777</v>
      </c>
      <c r="W35" s="147">
        <v>106520</v>
      </c>
      <c r="X35" s="147">
        <v>75672</v>
      </c>
      <c r="Y35" s="148">
        <v>78767</v>
      </c>
      <c r="Z35" s="147">
        <v>66023</v>
      </c>
      <c r="AA35" s="147">
        <v>90683</v>
      </c>
      <c r="AB35" s="147">
        <v>76728</v>
      </c>
      <c r="AC35" s="148">
        <v>96729</v>
      </c>
      <c r="AD35" s="117">
        <v>149949</v>
      </c>
      <c r="AE35" s="147">
        <v>109133</v>
      </c>
      <c r="AF35" s="147">
        <v>99825</v>
      </c>
      <c r="AG35" s="147">
        <v>125313</v>
      </c>
      <c r="AH35" s="112">
        <v>118739</v>
      </c>
      <c r="AI35" s="148">
        <v>106957</v>
      </c>
      <c r="AJ35" s="148">
        <v>92702</v>
      </c>
      <c r="AK35" s="148">
        <v>112876</v>
      </c>
      <c r="AL35" s="47"/>
      <c r="AM35" s="147">
        <f>SUM(AM20:AM34)</f>
        <v>273159</v>
      </c>
      <c r="AN35" s="147">
        <f>SUM(AN20:AN34)</f>
        <v>297322</v>
      </c>
      <c r="AO35" s="244">
        <f>AR35-AS35</f>
        <v>-56140</v>
      </c>
      <c r="AP35" s="314">
        <f>IF(OR((AO35/AS35)&gt;3,(AO35/AS35)&lt;-3),"n.m.",(AO35/AS35))</f>
        <v>-0.13408424331011817</v>
      </c>
      <c r="AQ35" s="47"/>
      <c r="AR35" s="148">
        <f>SUM(AR20:AR34)</f>
        <v>362552</v>
      </c>
      <c r="AS35" s="148">
        <f>SUM(AS20:AS34)</f>
        <v>418692</v>
      </c>
      <c r="AT35" s="148">
        <f>SUM(AT20:AT34)</f>
        <v>486651</v>
      </c>
      <c r="AU35" s="175">
        <v>358736</v>
      </c>
      <c r="AV35" s="130">
        <v>330163</v>
      </c>
      <c r="AW35" s="130">
        <v>484220</v>
      </c>
      <c r="AX35" s="130">
        <v>431274</v>
      </c>
      <c r="AY35" s="219">
        <v>363542</v>
      </c>
      <c r="AZ35" s="219">
        <v>274358</v>
      </c>
      <c r="BA35" s="219">
        <v>271025</v>
      </c>
      <c r="BB35" s="91"/>
      <c r="BC35" s="91"/>
      <c r="BG35" s="3"/>
    </row>
    <row r="36" spans="1:59" ht="12.75" customHeight="1" thickBot="1" x14ac:dyDescent="0.25">
      <c r="A36" s="2429" t="s">
        <v>307</v>
      </c>
      <c r="B36" s="2430"/>
      <c r="C36" s="268" t="e">
        <f t="shared" si="3"/>
        <v>#REF!</v>
      </c>
      <c r="D36" s="120" t="e">
        <f>IF(OR((C36/M36)&gt;3,(C36/M36)&lt;-3),"n.m.",(C36/M36))</f>
        <v>#REF!</v>
      </c>
      <c r="E36" s="350"/>
      <c r="F36" s="149" t="e">
        <f t="shared" ref="F36:L36" si="13">+F16-F35</f>
        <v>#REF!</v>
      </c>
      <c r="G36" s="149" t="e">
        <f t="shared" si="13"/>
        <v>#REF!</v>
      </c>
      <c r="H36" s="149" t="e">
        <f t="shared" si="13"/>
        <v>#REF!</v>
      </c>
      <c r="I36" s="150" t="e">
        <f t="shared" si="13"/>
        <v>#REF!</v>
      </c>
      <c r="J36" s="149" t="e">
        <f t="shared" si="13"/>
        <v>#REF!</v>
      </c>
      <c r="K36" s="149" t="e">
        <f t="shared" si="13"/>
        <v>#REF!</v>
      </c>
      <c r="L36" s="149" t="e">
        <f t="shared" si="13"/>
        <v>#REF!</v>
      </c>
      <c r="M36" s="150" t="e">
        <f t="shared" ref="M36:U36" si="14">M16-M35</f>
        <v>#REF!</v>
      </c>
      <c r="N36" s="149" t="e">
        <f t="shared" si="14"/>
        <v>#REF!</v>
      </c>
      <c r="O36" s="149" t="e">
        <f t="shared" si="14"/>
        <v>#REF!</v>
      </c>
      <c r="P36" s="149" t="e">
        <f t="shared" si="14"/>
        <v>#REF!</v>
      </c>
      <c r="Q36" s="150" t="e">
        <f t="shared" si="14"/>
        <v>#REF!</v>
      </c>
      <c r="R36" s="149" t="e">
        <f t="shared" si="14"/>
        <v>#REF!</v>
      </c>
      <c r="S36" s="149" t="e">
        <f t="shared" si="14"/>
        <v>#REF!</v>
      </c>
      <c r="T36" s="149" t="e">
        <f t="shared" si="14"/>
        <v>#REF!</v>
      </c>
      <c r="U36" s="150">
        <f t="shared" si="14"/>
        <v>3448</v>
      </c>
      <c r="V36" s="149">
        <v>245</v>
      </c>
      <c r="W36" s="149">
        <v>17106</v>
      </c>
      <c r="X36" s="149">
        <v>3518</v>
      </c>
      <c r="Y36" s="150">
        <v>9167</v>
      </c>
      <c r="Z36" s="149">
        <v>6761</v>
      </c>
      <c r="AA36" s="149">
        <v>-32776</v>
      </c>
      <c r="AB36" s="149">
        <v>4047</v>
      </c>
      <c r="AC36" s="150">
        <v>12169</v>
      </c>
      <c r="AD36" s="150">
        <v>-45512</v>
      </c>
      <c r="AE36" s="249"/>
      <c r="AF36" s="249"/>
      <c r="AG36" s="147"/>
      <c r="AH36" s="147"/>
      <c r="AI36" s="147"/>
      <c r="AJ36" s="147"/>
      <c r="AK36" s="147"/>
      <c r="AL36" s="47"/>
      <c r="AM36" s="149" t="e">
        <f>AM16-AM35</f>
        <v>#REF!</v>
      </c>
      <c r="AN36" s="149" t="e">
        <f>AN16-AN35</f>
        <v>#REF!</v>
      </c>
      <c r="AO36" s="320" t="e">
        <f>AR36-AS36</f>
        <v>#REF!</v>
      </c>
      <c r="AP36" s="120" t="e">
        <f>IF(OR((AO36/AS36)&gt;3,(AO36/AS36)&lt;-3),"n.m.",(AO36/AS36))</f>
        <v>#REF!</v>
      </c>
      <c r="AQ36" s="47"/>
      <c r="AR36" s="150" t="e">
        <f>AR16-AR35</f>
        <v>#REF!</v>
      </c>
      <c r="AS36" s="150" t="e">
        <f>AS16-AS35</f>
        <v>#REF!</v>
      </c>
      <c r="AT36" s="150">
        <f>AT16-AT35</f>
        <v>111905</v>
      </c>
      <c r="AU36" s="136">
        <v>30036</v>
      </c>
      <c r="AV36" s="136">
        <v>-9799</v>
      </c>
      <c r="AW36" s="136">
        <v>24846</v>
      </c>
      <c r="AX36" s="179">
        <v>99218</v>
      </c>
      <c r="AY36" s="220">
        <f>AY16-AY35</f>
        <v>74012</v>
      </c>
      <c r="AZ36" s="220">
        <f>AZ16-AZ35</f>
        <v>42330</v>
      </c>
      <c r="BA36" s="224"/>
      <c r="BB36" s="91"/>
      <c r="BC36" s="91"/>
      <c r="BG36" s="3"/>
    </row>
    <row r="37" spans="1:59" ht="12.75" customHeight="1" thickTop="1" x14ac:dyDescent="0.2">
      <c r="A37" s="7"/>
      <c r="B37" s="275"/>
      <c r="C37" s="28"/>
      <c r="D37" s="27"/>
      <c r="E37" s="27"/>
      <c r="F37" s="139"/>
      <c r="G37" s="139"/>
      <c r="H37" s="139"/>
      <c r="I37" s="143"/>
      <c r="J37" s="139"/>
      <c r="K37" s="139"/>
      <c r="L37" s="139"/>
      <c r="M37" s="143"/>
      <c r="N37" s="139"/>
      <c r="O37" s="139"/>
      <c r="P37" s="139"/>
      <c r="Q37" s="143"/>
      <c r="R37" s="139"/>
      <c r="S37" s="139"/>
      <c r="T37" s="139"/>
      <c r="U37" s="143"/>
      <c r="V37" s="139"/>
      <c r="W37" s="139"/>
      <c r="X37" s="139"/>
      <c r="Y37" s="143"/>
      <c r="Z37" s="139"/>
      <c r="AA37" s="139"/>
      <c r="AB37" s="139"/>
      <c r="AC37" s="143"/>
      <c r="AD37" s="143"/>
      <c r="AE37" s="249"/>
      <c r="AF37" s="249"/>
      <c r="AG37" s="147"/>
      <c r="AH37" s="147"/>
      <c r="AI37" s="147"/>
      <c r="AJ37" s="147"/>
      <c r="AK37" s="147"/>
      <c r="AL37" s="107"/>
      <c r="AM37" s="91"/>
      <c r="AN37" s="91"/>
      <c r="AO37" s="28"/>
      <c r="AP37" s="27"/>
      <c r="AQ37" s="107"/>
      <c r="AR37" s="552"/>
      <c r="AS37" s="552"/>
      <c r="AT37" s="552"/>
      <c r="AU37" s="552"/>
      <c r="AV37" s="552"/>
      <c r="AW37" s="164"/>
      <c r="AX37" s="164"/>
      <c r="AY37" s="26"/>
      <c r="AZ37" s="26"/>
      <c r="BA37" s="99"/>
      <c r="BB37" s="91"/>
      <c r="BC37" s="91"/>
      <c r="BG37" s="3"/>
    </row>
    <row r="38" spans="1:59" s="480" customFormat="1" ht="12.75" hidden="1" customHeight="1" outlineLevel="1" x14ac:dyDescent="0.2">
      <c r="A38" s="7"/>
      <c r="B38" s="275" t="s">
        <v>308</v>
      </c>
      <c r="C38" s="459">
        <f>I38-M38</f>
        <v>-825</v>
      </c>
      <c r="D38" s="498" t="s">
        <v>38</v>
      </c>
      <c r="E38" s="498"/>
      <c r="F38" s="139"/>
      <c r="G38" s="139"/>
      <c r="H38" s="139"/>
      <c r="I38" s="143">
        <f>-275*3</f>
        <v>-825</v>
      </c>
      <c r="J38" s="525">
        <v>0</v>
      </c>
      <c r="K38" s="525">
        <v>0</v>
      </c>
      <c r="L38" s="525">
        <v>0</v>
      </c>
      <c r="M38" s="542">
        <v>0</v>
      </c>
      <c r="N38" s="525">
        <v>0</v>
      </c>
      <c r="O38" s="525">
        <v>0</v>
      </c>
      <c r="P38" s="525">
        <v>0</v>
      </c>
      <c r="Q38" s="542">
        <v>0</v>
      </c>
      <c r="R38" s="139"/>
      <c r="S38" s="139"/>
      <c r="T38" s="139"/>
      <c r="U38" s="143"/>
      <c r="V38" s="139"/>
      <c r="W38" s="139"/>
      <c r="X38" s="139"/>
      <c r="Y38" s="143"/>
      <c r="Z38" s="139"/>
      <c r="AA38" s="139"/>
      <c r="AB38" s="139"/>
      <c r="AC38" s="143"/>
      <c r="AD38" s="143"/>
      <c r="AE38" s="249"/>
      <c r="AF38" s="249"/>
      <c r="AG38" s="147"/>
      <c r="AH38" s="147"/>
      <c r="AI38" s="147"/>
      <c r="AJ38" s="147"/>
      <c r="AK38" s="147"/>
      <c r="AL38" s="107"/>
      <c r="AM38" s="483"/>
      <c r="AN38" s="483"/>
      <c r="AO38" s="507"/>
      <c r="AP38" s="498"/>
      <c r="AQ38" s="107"/>
      <c r="AR38" s="549">
        <v>0</v>
      </c>
      <c r="AS38" s="549">
        <v>0</v>
      </c>
      <c r="AT38" s="549">
        <v>0</v>
      </c>
      <c r="AU38" s="549">
        <v>0</v>
      </c>
      <c r="AV38" s="549">
        <v>0</v>
      </c>
      <c r="AW38" s="501"/>
      <c r="AX38" s="501"/>
      <c r="AY38" s="26"/>
      <c r="AZ38" s="26"/>
      <c r="BA38" s="99"/>
      <c r="BB38" s="483"/>
      <c r="BC38" s="483"/>
      <c r="BG38" s="481"/>
    </row>
    <row r="39" spans="1:59" ht="12.75" hidden="1" customHeight="1" outlineLevel="1" x14ac:dyDescent="0.2">
      <c r="A39" s="7"/>
      <c r="B39" s="107" t="s">
        <v>309</v>
      </c>
      <c r="C39" s="267">
        <f>I39-M39</f>
        <v>-831</v>
      </c>
      <c r="D39" s="92" t="s">
        <v>38</v>
      </c>
      <c r="E39" s="497"/>
      <c r="F39" s="139"/>
      <c r="G39" s="139"/>
      <c r="H39" s="139"/>
      <c r="I39" s="146">
        <f>-250*3-81</f>
        <v>-831</v>
      </c>
      <c r="J39" s="564">
        <v>0</v>
      </c>
      <c r="K39" s="564">
        <v>0</v>
      </c>
      <c r="L39" s="564">
        <v>0</v>
      </c>
      <c r="M39" s="565">
        <v>0</v>
      </c>
      <c r="N39" s="564">
        <v>0</v>
      </c>
      <c r="O39" s="564">
        <v>0</v>
      </c>
      <c r="P39" s="564">
        <v>0</v>
      </c>
      <c r="Q39" s="565">
        <v>0</v>
      </c>
      <c r="R39" s="139"/>
      <c r="S39" s="139"/>
      <c r="T39" s="139"/>
      <c r="U39" s="143"/>
      <c r="V39" s="139"/>
      <c r="W39" s="139"/>
      <c r="X39" s="139"/>
      <c r="Y39" s="143"/>
      <c r="Z39" s="139"/>
      <c r="AA39" s="139"/>
      <c r="AB39" s="139"/>
      <c r="AC39" s="143"/>
      <c r="AD39" s="143"/>
      <c r="AE39" s="249"/>
      <c r="AF39" s="249"/>
      <c r="AG39" s="147"/>
      <c r="AH39" s="147"/>
      <c r="AI39" s="147"/>
      <c r="AJ39" s="147"/>
      <c r="AK39" s="147"/>
      <c r="AL39" s="107"/>
      <c r="AM39" s="483"/>
      <c r="AN39" s="483"/>
      <c r="AO39" s="507"/>
      <c r="AP39" s="498"/>
      <c r="AQ39" s="107"/>
      <c r="AR39" s="566">
        <v>0</v>
      </c>
      <c r="AS39" s="566">
        <v>0</v>
      </c>
      <c r="AT39" s="566">
        <v>0</v>
      </c>
      <c r="AU39" s="566">
        <v>0</v>
      </c>
      <c r="AV39" s="566">
        <v>0</v>
      </c>
      <c r="AW39" s="164">
        <v>9904</v>
      </c>
      <c r="AX39" s="164">
        <v>35059</v>
      </c>
      <c r="AY39" s="26">
        <v>24207</v>
      </c>
      <c r="AZ39" s="26">
        <v>12780</v>
      </c>
      <c r="BA39" s="99"/>
      <c r="BB39" s="91"/>
      <c r="BC39" s="91"/>
      <c r="BG39" s="3"/>
    </row>
    <row r="40" spans="1:59" s="480" customFormat="1" ht="12.75" customHeight="1" collapsed="1" x14ac:dyDescent="0.2">
      <c r="A40" s="7"/>
      <c r="B40" s="6" t="s">
        <v>313</v>
      </c>
      <c r="C40" s="168">
        <f>I40-M40</f>
        <v>-1656</v>
      </c>
      <c r="D40" s="498" t="s">
        <v>38</v>
      </c>
      <c r="E40" s="498"/>
      <c r="F40" s="139"/>
      <c r="G40" s="139"/>
      <c r="H40" s="139"/>
      <c r="I40" s="143">
        <f>+I38+I39</f>
        <v>-1656</v>
      </c>
      <c r="J40" s="525">
        <v>0</v>
      </c>
      <c r="K40" s="525">
        <v>0</v>
      </c>
      <c r="L40" s="525">
        <v>0</v>
      </c>
      <c r="M40" s="542">
        <v>0</v>
      </c>
      <c r="N40" s="525">
        <v>0</v>
      </c>
      <c r="O40" s="525">
        <v>0</v>
      </c>
      <c r="P40" s="525">
        <v>0</v>
      </c>
      <c r="Q40" s="542">
        <v>0</v>
      </c>
      <c r="R40" s="139"/>
      <c r="S40" s="139"/>
      <c r="T40" s="139"/>
      <c r="U40" s="143"/>
      <c r="V40" s="139"/>
      <c r="W40" s="139"/>
      <c r="X40" s="139"/>
      <c r="Y40" s="143"/>
      <c r="Z40" s="139"/>
      <c r="AA40" s="139"/>
      <c r="AB40" s="139"/>
      <c r="AC40" s="143"/>
      <c r="AD40" s="143"/>
      <c r="AE40" s="249"/>
      <c r="AF40" s="249"/>
      <c r="AG40" s="147"/>
      <c r="AH40" s="147"/>
      <c r="AI40" s="147"/>
      <c r="AJ40" s="147"/>
      <c r="AK40" s="147"/>
      <c r="AL40" s="107"/>
      <c r="AM40" s="483"/>
      <c r="AN40" s="483"/>
      <c r="AO40" s="507"/>
      <c r="AP40" s="498"/>
      <c r="AQ40" s="107"/>
      <c r="AR40" s="549">
        <v>0</v>
      </c>
      <c r="AS40" s="549">
        <v>0</v>
      </c>
      <c r="AT40" s="549">
        <v>0</v>
      </c>
      <c r="AU40" s="549">
        <v>0</v>
      </c>
      <c r="AV40" s="549">
        <v>0</v>
      </c>
      <c r="AW40" s="501"/>
      <c r="AX40" s="501"/>
      <c r="AY40" s="507"/>
      <c r="AZ40" s="26"/>
      <c r="BA40" s="99"/>
      <c r="BB40" s="483"/>
      <c r="BC40" s="483"/>
      <c r="BG40" s="481"/>
    </row>
    <row r="41" spans="1:59" ht="12.75" customHeight="1" x14ac:dyDescent="0.2">
      <c r="A41" s="7"/>
      <c r="B41" s="6"/>
      <c r="C41" s="34"/>
      <c r="D41" s="27"/>
      <c r="E41" s="497"/>
      <c r="F41" s="139"/>
      <c r="G41" s="139"/>
      <c r="H41" s="139"/>
      <c r="I41" s="143"/>
      <c r="J41" s="139"/>
      <c r="K41" s="139"/>
      <c r="L41" s="139"/>
      <c r="M41" s="143"/>
      <c r="N41" s="139"/>
      <c r="O41" s="139"/>
      <c r="P41" s="139"/>
      <c r="Q41" s="143"/>
      <c r="R41" s="139"/>
      <c r="S41" s="139"/>
      <c r="T41" s="139"/>
      <c r="U41" s="143"/>
      <c r="V41" s="139"/>
      <c r="W41" s="139"/>
      <c r="X41" s="139"/>
      <c r="Y41" s="143"/>
      <c r="Z41" s="139"/>
      <c r="AA41" s="139"/>
      <c r="AB41" s="139"/>
      <c r="AC41" s="143"/>
      <c r="AD41" s="143"/>
      <c r="AE41" s="249"/>
      <c r="AF41" s="249"/>
      <c r="AG41" s="147"/>
      <c r="AH41" s="147"/>
      <c r="AI41" s="147"/>
      <c r="AJ41" s="147"/>
      <c r="AK41" s="147"/>
      <c r="AL41" s="91"/>
      <c r="AM41" s="91"/>
      <c r="AN41" s="91"/>
      <c r="AO41" s="28"/>
      <c r="AP41" s="35"/>
      <c r="AQ41" s="47"/>
      <c r="AR41" s="134"/>
      <c r="AS41" s="134"/>
      <c r="AT41" s="134"/>
      <c r="AU41" s="134"/>
      <c r="AV41" s="134"/>
      <c r="AW41" s="164"/>
      <c r="AX41" s="164"/>
      <c r="AY41" s="28"/>
      <c r="AZ41" s="37"/>
      <c r="BA41" s="224"/>
      <c r="BB41" s="91"/>
      <c r="BC41" s="91"/>
      <c r="BG41" s="3"/>
    </row>
    <row r="42" spans="1:59" s="53" customFormat="1" ht="12.75" customHeight="1" thickBot="1" x14ac:dyDescent="0.25">
      <c r="A42" s="2429" t="s">
        <v>69</v>
      </c>
      <c r="B42" s="2430"/>
      <c r="C42" s="268" t="e">
        <f>I42-M42</f>
        <v>#REF!</v>
      </c>
      <c r="D42" s="120" t="e">
        <f>IF(OR((C42/M42)&gt;3,(C42/M42)&lt;-3),"n.m.",(C42/M42))</f>
        <v>#REF!</v>
      </c>
      <c r="E42" s="497"/>
      <c r="F42" s="149"/>
      <c r="G42" s="149"/>
      <c r="H42" s="149"/>
      <c r="I42" s="150" t="e">
        <f>+I36-I38-I39</f>
        <v>#REF!</v>
      </c>
      <c r="J42" s="149" t="e">
        <f t="shared" ref="J42:AK42" si="15">+J36-J38-J39</f>
        <v>#REF!</v>
      </c>
      <c r="K42" s="149" t="e">
        <f t="shared" si="15"/>
        <v>#REF!</v>
      </c>
      <c r="L42" s="149" t="e">
        <f t="shared" si="15"/>
        <v>#REF!</v>
      </c>
      <c r="M42" s="150" t="e">
        <f t="shared" si="15"/>
        <v>#REF!</v>
      </c>
      <c r="N42" s="149" t="e">
        <f t="shared" si="15"/>
        <v>#REF!</v>
      </c>
      <c r="O42" s="149" t="e">
        <f t="shared" si="15"/>
        <v>#REF!</v>
      </c>
      <c r="P42" s="149" t="e">
        <f t="shared" si="15"/>
        <v>#REF!</v>
      </c>
      <c r="Q42" s="150" t="e">
        <f t="shared" si="15"/>
        <v>#REF!</v>
      </c>
      <c r="R42" s="149" t="e">
        <f t="shared" si="15"/>
        <v>#REF!</v>
      </c>
      <c r="S42" s="149" t="e">
        <f t="shared" si="15"/>
        <v>#REF!</v>
      </c>
      <c r="T42" s="149" t="e">
        <f t="shared" si="15"/>
        <v>#REF!</v>
      </c>
      <c r="U42" s="150">
        <f t="shared" si="15"/>
        <v>3448</v>
      </c>
      <c r="V42" s="149">
        <f t="shared" si="15"/>
        <v>245</v>
      </c>
      <c r="W42" s="149">
        <f t="shared" si="15"/>
        <v>17106</v>
      </c>
      <c r="X42" s="149">
        <f t="shared" si="15"/>
        <v>3518</v>
      </c>
      <c r="Y42" s="150">
        <f t="shared" si="15"/>
        <v>9167</v>
      </c>
      <c r="Z42" s="149">
        <f t="shared" si="15"/>
        <v>6761</v>
      </c>
      <c r="AA42" s="149">
        <f t="shared" si="15"/>
        <v>-32776</v>
      </c>
      <c r="AB42" s="149">
        <f t="shared" si="15"/>
        <v>4047</v>
      </c>
      <c r="AC42" s="150">
        <f t="shared" si="15"/>
        <v>12169</v>
      </c>
      <c r="AD42" s="149">
        <f t="shared" si="15"/>
        <v>-45512</v>
      </c>
      <c r="AE42" s="150">
        <f t="shared" si="15"/>
        <v>0</v>
      </c>
      <c r="AF42" s="150">
        <f t="shared" si="15"/>
        <v>0</v>
      </c>
      <c r="AG42" s="147">
        <f t="shared" si="15"/>
        <v>0</v>
      </c>
      <c r="AH42" s="147">
        <f t="shared" si="15"/>
        <v>0</v>
      </c>
      <c r="AI42" s="147">
        <f t="shared" si="15"/>
        <v>0</v>
      </c>
      <c r="AJ42" s="147">
        <f t="shared" si="15"/>
        <v>0</v>
      </c>
      <c r="AK42" s="147">
        <f t="shared" si="15"/>
        <v>0</v>
      </c>
      <c r="AL42" s="91"/>
      <c r="AM42" s="91"/>
      <c r="AN42" s="91"/>
      <c r="AO42" s="320">
        <v>19045</v>
      </c>
      <c r="AP42" s="120" t="e">
        <v>#DIV/0!</v>
      </c>
      <c r="AQ42" s="47"/>
      <c r="AR42" s="136" t="e">
        <f>+AR36-AR38-AR39</f>
        <v>#REF!</v>
      </c>
      <c r="AS42" s="136" t="e">
        <f>+AS36-AS38-AS39</f>
        <v>#REF!</v>
      </c>
      <c r="AT42" s="136">
        <f>+AT36-AT38-AT39</f>
        <v>111905</v>
      </c>
      <c r="AU42" s="136">
        <f>+AU36-AU38-AU39</f>
        <v>30036</v>
      </c>
      <c r="AV42" s="136">
        <f>+AV36-AV38-AV39</f>
        <v>-9799</v>
      </c>
      <c r="AW42" s="179">
        <v>14942</v>
      </c>
      <c r="AX42" s="179">
        <v>64159</v>
      </c>
      <c r="AY42" s="320">
        <f>AY36-AY39</f>
        <v>49805</v>
      </c>
      <c r="AZ42" s="220">
        <f>AZ36-AZ39</f>
        <v>29550</v>
      </c>
      <c r="BA42" s="231">
        <v>46643</v>
      </c>
      <c r="BB42" s="91"/>
      <c r="BC42" s="251"/>
      <c r="BG42" s="137"/>
    </row>
    <row r="43" spans="1:59" ht="12.75" customHeight="1" thickTop="1" x14ac:dyDescent="0.2">
      <c r="A43" s="87"/>
      <c r="B43" s="87"/>
      <c r="C43" s="28"/>
      <c r="D43" s="35"/>
      <c r="E43" s="35"/>
      <c r="F43" s="508"/>
      <c r="G43" s="508"/>
      <c r="H43" s="508"/>
      <c r="I43" s="483"/>
      <c r="J43" s="508"/>
      <c r="K43" s="508"/>
      <c r="L43" s="508"/>
      <c r="M43" s="483"/>
      <c r="N43" s="35"/>
      <c r="O43" s="35"/>
      <c r="P43" s="35"/>
      <c r="Q43" s="91"/>
      <c r="R43" s="35"/>
      <c r="S43" s="35"/>
      <c r="T43" s="35"/>
      <c r="U43" s="91"/>
      <c r="V43" s="35"/>
      <c r="W43" s="35"/>
      <c r="X43" s="35"/>
      <c r="Y43" s="91"/>
      <c r="Z43" s="35"/>
      <c r="AA43" s="35"/>
      <c r="AB43" s="35"/>
      <c r="AC43" s="91"/>
      <c r="AD43" s="44"/>
      <c r="AE43" s="44"/>
      <c r="AF43" s="44"/>
      <c r="AG43" s="44"/>
      <c r="AH43" s="121"/>
      <c r="AI43" s="121"/>
      <c r="AJ43" s="121"/>
      <c r="AK43" s="121"/>
      <c r="AL43" s="91"/>
      <c r="AM43" s="91"/>
      <c r="AN43" s="91"/>
      <c r="AO43" s="28"/>
      <c r="AP43" s="35"/>
      <c r="AQ43" s="91"/>
      <c r="AR43" s="483"/>
      <c r="AS43" s="91"/>
      <c r="AT43" s="91"/>
      <c r="AU43" s="91"/>
      <c r="AV43" s="91"/>
      <c r="AW43" s="28"/>
      <c r="AX43" s="28"/>
      <c r="AY43" s="28"/>
      <c r="AZ43" s="28"/>
      <c r="BA43" s="28"/>
      <c r="BB43" s="91"/>
      <c r="BC43" s="91"/>
      <c r="BG43" s="3"/>
    </row>
    <row r="44" spans="1:59" s="480" customFormat="1" ht="12.75" customHeight="1" x14ac:dyDescent="0.2">
      <c r="A44" s="6" t="s">
        <v>276</v>
      </c>
      <c r="B44" s="484"/>
      <c r="C44" s="104" t="e">
        <f t="shared" ref="C44:C49" si="16">((I44-M44)*100)</f>
        <v>#REF!</v>
      </c>
      <c r="D44" s="508"/>
      <c r="E44" s="508"/>
      <c r="F44" s="508" t="e">
        <f t="shared" ref="F44:I45" si="17">+F18/F$16</f>
        <v>#REF!</v>
      </c>
      <c r="G44" s="508" t="e">
        <f t="shared" si="17"/>
        <v>#REF!</v>
      </c>
      <c r="H44" s="508" t="e">
        <f t="shared" si="17"/>
        <v>#REF!</v>
      </c>
      <c r="I44" s="508" t="e">
        <f t="shared" si="17"/>
        <v>#REF!</v>
      </c>
      <c r="J44" s="508" t="e">
        <f t="shared" ref="J44:L45" si="18">+J18/J$16</f>
        <v>#REF!</v>
      </c>
      <c r="K44" s="508" t="e">
        <f t="shared" si="18"/>
        <v>#REF!</v>
      </c>
      <c r="L44" s="508" t="e">
        <f t="shared" si="18"/>
        <v>#REF!</v>
      </c>
      <c r="M44" s="508" t="e">
        <f t="shared" ref="M44:T44" si="19">+M18/M$16</f>
        <v>#REF!</v>
      </c>
      <c r="N44" s="508" t="e">
        <f t="shared" si="19"/>
        <v>#REF!</v>
      </c>
      <c r="O44" s="508" t="e">
        <f t="shared" si="19"/>
        <v>#REF!</v>
      </c>
      <c r="P44" s="508" t="e">
        <f t="shared" si="19"/>
        <v>#REF!</v>
      </c>
      <c r="Q44" s="508" t="e">
        <f t="shared" si="19"/>
        <v>#REF!</v>
      </c>
      <c r="R44" s="508" t="e">
        <f t="shared" si="19"/>
        <v>#REF!</v>
      </c>
      <c r="S44" s="508" t="e">
        <f t="shared" si="19"/>
        <v>#REF!</v>
      </c>
      <c r="T44" s="508" t="e">
        <f t="shared" si="19"/>
        <v>#REF!</v>
      </c>
      <c r="U44" s="483"/>
      <c r="V44" s="508"/>
      <c r="W44" s="508"/>
      <c r="X44" s="508"/>
      <c r="Y44" s="483"/>
      <c r="Z44" s="508"/>
      <c r="AA44" s="508"/>
      <c r="AB44" s="508"/>
      <c r="AC44" s="483"/>
      <c r="AD44" s="482"/>
      <c r="AE44" s="482"/>
      <c r="AF44" s="482"/>
      <c r="AG44" s="482"/>
      <c r="AH44" s="121"/>
      <c r="AI44" s="121"/>
      <c r="AJ44" s="121"/>
      <c r="AK44" s="121"/>
      <c r="AL44" s="483"/>
      <c r="AM44" s="508" t="e">
        <f>+AM18/AM$16</f>
        <v>#REF!</v>
      </c>
      <c r="AN44" s="508" t="e">
        <f>+AN18/AN$16</f>
        <v>#REF!</v>
      </c>
      <c r="AO44" s="104" t="e">
        <f t="shared" ref="AO44:AO50" si="20">(AR44-AS44)*100</f>
        <v>#REF!</v>
      </c>
      <c r="AP44" s="508"/>
      <c r="AQ44" s="483"/>
      <c r="AR44" s="508" t="e">
        <f t="shared" ref="AR44:AW45" si="21">+AR18/AR$16</f>
        <v>#REF!</v>
      </c>
      <c r="AS44" s="508" t="e">
        <f t="shared" si="21"/>
        <v>#REF!</v>
      </c>
      <c r="AT44" s="508">
        <f t="shared" si="21"/>
        <v>0.46424895916171588</v>
      </c>
      <c r="AU44" s="508">
        <f t="shared" si="21"/>
        <v>0.46825388659677136</v>
      </c>
      <c r="AV44" s="508">
        <f t="shared" si="21"/>
        <v>0.44054887565394363</v>
      </c>
      <c r="AW44" s="508">
        <f t="shared" si="21"/>
        <v>0.44442960244840551</v>
      </c>
      <c r="AX44" s="507"/>
      <c r="AY44" s="507"/>
      <c r="AZ44" s="507"/>
      <c r="BA44" s="507"/>
      <c r="BB44" s="483"/>
      <c r="BC44" s="483"/>
      <c r="BG44" s="481"/>
    </row>
    <row r="45" spans="1:59" s="480" customFormat="1" ht="12.75" customHeight="1" x14ac:dyDescent="0.2">
      <c r="A45" s="6" t="s">
        <v>277</v>
      </c>
      <c r="B45" s="484"/>
      <c r="C45" s="104" t="e">
        <f t="shared" si="16"/>
        <v>#REF!</v>
      </c>
      <c r="D45" s="508"/>
      <c r="E45" s="508"/>
      <c r="F45" s="508" t="e">
        <f t="shared" si="17"/>
        <v>#REF!</v>
      </c>
      <c r="G45" s="508" t="e">
        <f t="shared" si="17"/>
        <v>#REF!</v>
      </c>
      <c r="H45" s="508" t="e">
        <f t="shared" si="17"/>
        <v>#REF!</v>
      </c>
      <c r="I45" s="508" t="e">
        <f t="shared" si="17"/>
        <v>#REF!</v>
      </c>
      <c r="J45" s="508" t="e">
        <f t="shared" si="18"/>
        <v>#REF!</v>
      </c>
      <c r="K45" s="508" t="e">
        <f t="shared" si="18"/>
        <v>#REF!</v>
      </c>
      <c r="L45" s="508" t="e">
        <f t="shared" si="18"/>
        <v>#REF!</v>
      </c>
      <c r="M45" s="508" t="e">
        <f t="shared" ref="M45:T45" si="22">+M19/M$16</f>
        <v>#REF!</v>
      </c>
      <c r="N45" s="508" t="e">
        <f t="shared" si="22"/>
        <v>#REF!</v>
      </c>
      <c r="O45" s="508" t="e">
        <f t="shared" si="22"/>
        <v>#REF!</v>
      </c>
      <c r="P45" s="508" t="e">
        <f t="shared" si="22"/>
        <v>#REF!</v>
      </c>
      <c r="Q45" s="508" t="e">
        <f t="shared" si="22"/>
        <v>#REF!</v>
      </c>
      <c r="R45" s="508" t="e">
        <f t="shared" si="22"/>
        <v>#REF!</v>
      </c>
      <c r="S45" s="508" t="e">
        <f t="shared" si="22"/>
        <v>#REF!</v>
      </c>
      <c r="T45" s="508" t="e">
        <f t="shared" si="22"/>
        <v>#REF!</v>
      </c>
      <c r="U45" s="483"/>
      <c r="V45" s="508"/>
      <c r="W45" s="508"/>
      <c r="X45" s="508"/>
      <c r="Y45" s="483"/>
      <c r="Z45" s="508"/>
      <c r="AA45" s="508"/>
      <c r="AB45" s="508"/>
      <c r="AC45" s="483"/>
      <c r="AD45" s="482"/>
      <c r="AE45" s="482"/>
      <c r="AF45" s="482"/>
      <c r="AG45" s="482"/>
      <c r="AH45" s="121"/>
      <c r="AI45" s="121"/>
      <c r="AJ45" s="121"/>
      <c r="AK45" s="121"/>
      <c r="AL45" s="483"/>
      <c r="AM45" s="508" t="e">
        <f>+AM19/AM$16</f>
        <v>#REF!</v>
      </c>
      <c r="AN45" s="508" t="e">
        <f>+AN19/AN$16</f>
        <v>#REF!</v>
      </c>
      <c r="AO45" s="104" t="e">
        <f t="shared" si="20"/>
        <v>#REF!</v>
      </c>
      <c r="AP45" s="508"/>
      <c r="AQ45" s="483"/>
      <c r="AR45" s="508" t="e">
        <f t="shared" si="21"/>
        <v>#REF!</v>
      </c>
      <c r="AS45" s="508" t="e">
        <f t="shared" si="21"/>
        <v>#REF!</v>
      </c>
      <c r="AT45" s="508">
        <f t="shared" si="21"/>
        <v>5.8423940282947631E-3</v>
      </c>
      <c r="AU45" s="508">
        <f t="shared" si="21"/>
        <v>3.5293179549967593E-2</v>
      </c>
      <c r="AV45" s="508">
        <f t="shared" si="21"/>
        <v>1.5382502403516001E-2</v>
      </c>
      <c r="AW45" s="508">
        <f t="shared" si="21"/>
        <v>1.0758919275693132E-2</v>
      </c>
      <c r="AX45" s="507"/>
      <c r="AY45" s="507"/>
      <c r="AZ45" s="507"/>
      <c r="BA45" s="507"/>
      <c r="BB45" s="483"/>
      <c r="BC45" s="483"/>
      <c r="BG45" s="481"/>
    </row>
    <row r="46" spans="1:59" ht="12.75" customHeight="1" x14ac:dyDescent="0.2">
      <c r="A46" s="88" t="s">
        <v>71</v>
      </c>
      <c r="B46" s="89"/>
      <c r="C46" s="104" t="e">
        <f t="shared" si="16"/>
        <v>#REF!</v>
      </c>
      <c r="D46" s="35"/>
      <c r="E46" s="35"/>
      <c r="F46" s="122" t="e">
        <f t="shared" ref="F46:K46" si="23">F20/F16</f>
        <v>#REF!</v>
      </c>
      <c r="G46" s="122" t="e">
        <f t="shared" si="23"/>
        <v>#REF!</v>
      </c>
      <c r="H46" s="122" t="e">
        <f t="shared" si="23"/>
        <v>#REF!</v>
      </c>
      <c r="I46" s="122" t="e">
        <f t="shared" si="23"/>
        <v>#REF!</v>
      </c>
      <c r="J46" s="122" t="e">
        <f t="shared" si="23"/>
        <v>#REF!</v>
      </c>
      <c r="K46" s="122" t="e">
        <f t="shared" si="23"/>
        <v>#REF!</v>
      </c>
      <c r="L46" s="122" t="e">
        <f t="shared" ref="L46:Q46" si="24">L20/L16</f>
        <v>#REF!</v>
      </c>
      <c r="M46" s="122" t="e">
        <f t="shared" si="24"/>
        <v>#REF!</v>
      </c>
      <c r="N46" s="122" t="e">
        <f t="shared" si="24"/>
        <v>#REF!</v>
      </c>
      <c r="O46" s="122" t="e">
        <f t="shared" si="24"/>
        <v>#REF!</v>
      </c>
      <c r="P46" s="122" t="e">
        <f t="shared" si="24"/>
        <v>#REF!</v>
      </c>
      <c r="Q46" s="122" t="e">
        <f t="shared" si="24"/>
        <v>#REF!</v>
      </c>
      <c r="R46" s="122" t="e">
        <f>R20/R16</f>
        <v>#REF!</v>
      </c>
      <c r="S46" s="122" t="e">
        <f>S20/S16</f>
        <v>#REF!</v>
      </c>
      <c r="T46" s="122" t="e">
        <f>T20/T16</f>
        <v>#REF!</v>
      </c>
      <c r="U46" s="122">
        <f>U20/U16</f>
        <v>0.45987807341302633</v>
      </c>
      <c r="V46" s="122">
        <v>0.49154271490073659</v>
      </c>
      <c r="W46" s="122">
        <v>0.52642647986669466</v>
      </c>
      <c r="X46" s="122">
        <v>0.491577219345877</v>
      </c>
      <c r="Y46" s="122">
        <v>0.49554211112880114</v>
      </c>
      <c r="Z46" s="122">
        <v>0.40791932292811606</v>
      </c>
      <c r="AA46" s="122">
        <v>0.48771044353026582</v>
      </c>
      <c r="AB46" s="122">
        <v>0.44391331269349843</v>
      </c>
      <c r="AC46" s="122">
        <v>0.48046437296790906</v>
      </c>
      <c r="AD46" s="32">
        <v>0.40500000000000003</v>
      </c>
      <c r="AE46" s="32">
        <v>0.46600000000000003</v>
      </c>
      <c r="AF46" s="32">
        <v>0.44700000000000001</v>
      </c>
      <c r="AG46" s="32">
        <v>0.48499999999999999</v>
      </c>
      <c r="AH46" s="32">
        <v>0.504</v>
      </c>
      <c r="AI46" s="32">
        <v>0.503</v>
      </c>
      <c r="AJ46" s="32">
        <v>0.48399999999999999</v>
      </c>
      <c r="AK46" s="32">
        <v>0.49099999999999999</v>
      </c>
      <c r="AL46" s="91"/>
      <c r="AM46" s="122" t="e">
        <f>AM20/AM16</f>
        <v>#REF!</v>
      </c>
      <c r="AN46" s="122" t="e">
        <f>AN20/AN16</f>
        <v>#REF!</v>
      </c>
      <c r="AO46" s="104" t="e">
        <f t="shared" si="20"/>
        <v>#REF!</v>
      </c>
      <c r="AP46" s="35"/>
      <c r="AQ46" s="91"/>
      <c r="AR46" s="122" t="e">
        <f>AR20/AR16</f>
        <v>#REF!</v>
      </c>
      <c r="AS46" s="122" t="e">
        <f>AS20/AS16</f>
        <v>#REF!</v>
      </c>
      <c r="AT46" s="122">
        <f>AT20/AT16</f>
        <v>0.47009135319001061</v>
      </c>
      <c r="AU46" s="32">
        <v>0.50354706614673894</v>
      </c>
      <c r="AV46" s="32">
        <v>0.45593137805745965</v>
      </c>
      <c r="AW46" s="32">
        <v>0.45535489702876908</v>
      </c>
      <c r="AX46" s="32">
        <v>0.497</v>
      </c>
      <c r="AY46" s="222">
        <v>0.50600000000000001</v>
      </c>
      <c r="AZ46" s="222">
        <v>0.48799999999999999</v>
      </c>
      <c r="BA46" s="222">
        <v>0.51900000000000002</v>
      </c>
      <c r="BB46" s="91"/>
      <c r="BC46" s="91"/>
      <c r="BG46" s="3"/>
    </row>
    <row r="47" spans="1:59" ht="12.75" customHeight="1" x14ac:dyDescent="0.2">
      <c r="A47" s="88" t="s">
        <v>189</v>
      </c>
      <c r="B47" s="89"/>
      <c r="C47" s="104" t="e">
        <f t="shared" si="16"/>
        <v>#REF!</v>
      </c>
      <c r="D47" s="35"/>
      <c r="E47" s="35"/>
      <c r="F47" s="122" t="e">
        <f t="shared" ref="F47:K47" si="25">(F20+F21)/F16</f>
        <v>#REF!</v>
      </c>
      <c r="G47" s="122" t="e">
        <f t="shared" si="25"/>
        <v>#REF!</v>
      </c>
      <c r="H47" s="122" t="e">
        <f t="shared" si="25"/>
        <v>#REF!</v>
      </c>
      <c r="I47" s="122" t="e">
        <f t="shared" si="25"/>
        <v>#REF!</v>
      </c>
      <c r="J47" s="122" t="e">
        <f t="shared" si="25"/>
        <v>#REF!</v>
      </c>
      <c r="K47" s="122" t="e">
        <f t="shared" si="25"/>
        <v>#REF!</v>
      </c>
      <c r="L47" s="122" t="e">
        <f t="shared" ref="L47:Q47" si="26">(L20+L21)/L16</f>
        <v>#REF!</v>
      </c>
      <c r="M47" s="122" t="e">
        <f t="shared" si="26"/>
        <v>#REF!</v>
      </c>
      <c r="N47" s="122" t="e">
        <f t="shared" si="26"/>
        <v>#REF!</v>
      </c>
      <c r="O47" s="122" t="e">
        <f t="shared" si="26"/>
        <v>#REF!</v>
      </c>
      <c r="P47" s="122" t="e">
        <f t="shared" si="26"/>
        <v>#REF!</v>
      </c>
      <c r="Q47" s="122" t="e">
        <f t="shared" si="26"/>
        <v>#REF!</v>
      </c>
      <c r="R47" s="122" t="e">
        <f>(R20+R21)/R16</f>
        <v>#REF!</v>
      </c>
      <c r="S47" s="122" t="e">
        <f>(S20+S21)/S16</f>
        <v>#REF!</v>
      </c>
      <c r="T47" s="122" t="e">
        <f>(T20+T21)/T16</f>
        <v>#REF!</v>
      </c>
      <c r="U47" s="122">
        <f>(U20+U21)/U16</f>
        <v>0.58272278227657504</v>
      </c>
      <c r="V47" s="122">
        <v>0.63251106894370657</v>
      </c>
      <c r="W47" s="122">
        <v>0.6241001083914387</v>
      </c>
      <c r="X47" s="122">
        <v>0.63631771688344485</v>
      </c>
      <c r="Y47" s="122">
        <v>0.6233083903836969</v>
      </c>
      <c r="Z47" s="122">
        <v>0.57015278083095189</v>
      </c>
      <c r="AA47" s="122">
        <v>0.66477685207591519</v>
      </c>
      <c r="AB47" s="122">
        <v>0.58443343653250779</v>
      </c>
      <c r="AC47" s="122">
        <v>0.59613512371645327</v>
      </c>
      <c r="AD47" s="32">
        <v>0.52400000000000002</v>
      </c>
      <c r="AE47" s="32">
        <v>0.55100000000000005</v>
      </c>
      <c r="AF47" s="32">
        <v>0.53600000000000003</v>
      </c>
      <c r="AG47" s="32">
        <v>0.55900000000000005</v>
      </c>
      <c r="AH47" s="32">
        <v>0.57599999999999996</v>
      </c>
      <c r="AI47" s="32">
        <v>0.57099999999999995</v>
      </c>
      <c r="AJ47" s="32">
        <v>0.56799999999999995</v>
      </c>
      <c r="AK47" s="32">
        <v>0.56599999999999995</v>
      </c>
      <c r="AL47" s="91"/>
      <c r="AM47" s="122" t="e">
        <f>(AM20+AM21)/AM16</f>
        <v>#REF!</v>
      </c>
      <c r="AN47" s="122" t="e">
        <f>(AN20+AN21)/AN16</f>
        <v>#REF!</v>
      </c>
      <c r="AO47" s="104" t="e">
        <f t="shared" si="20"/>
        <v>#REF!</v>
      </c>
      <c r="AP47" s="35"/>
      <c r="AQ47" s="91"/>
      <c r="AR47" s="122" t="e">
        <f>(AR20+AR21)/AR16</f>
        <v>#REF!</v>
      </c>
      <c r="AS47" s="122" t="e">
        <f>(AS20+AS21)/AS16</f>
        <v>#REF!</v>
      </c>
      <c r="AT47" s="122">
        <f>(AT20+AT21)/AT16</f>
        <v>0.55997099686579033</v>
      </c>
      <c r="AU47" s="32">
        <v>0.62853034683567743</v>
      </c>
      <c r="AV47" s="32">
        <v>0.59949619807469001</v>
      </c>
      <c r="AW47" s="32">
        <v>0.5442108159094482</v>
      </c>
      <c r="AX47" s="32">
        <v>0.57099999999999995</v>
      </c>
      <c r="AY47" s="222">
        <v>0.59099999999999997</v>
      </c>
      <c r="AZ47" s="222">
        <v>0.60399999999999998</v>
      </c>
      <c r="BA47" s="222">
        <v>0.61799999999999999</v>
      </c>
      <c r="BB47" s="91"/>
      <c r="BC47" s="91"/>
      <c r="BG47" s="3"/>
    </row>
    <row r="48" spans="1:59" ht="12.75" customHeight="1" x14ac:dyDescent="0.2">
      <c r="A48" s="88" t="s">
        <v>72</v>
      </c>
      <c r="B48" s="89"/>
      <c r="C48" s="104" t="e">
        <f t="shared" si="16"/>
        <v>#REF!</v>
      </c>
      <c r="D48" s="35"/>
      <c r="E48" s="35"/>
      <c r="F48" s="122" t="e">
        <f t="shared" ref="F48:L48" si="27">(F23+F24+F25+F26+F27+F28+F29+F32+F33+F34+F30+F31)/F16</f>
        <v>#REF!</v>
      </c>
      <c r="G48" s="122" t="e">
        <f t="shared" si="27"/>
        <v>#REF!</v>
      </c>
      <c r="H48" s="122" t="e">
        <f t="shared" si="27"/>
        <v>#REF!</v>
      </c>
      <c r="I48" s="122" t="e">
        <f t="shared" si="27"/>
        <v>#REF!</v>
      </c>
      <c r="J48" s="122" t="e">
        <f t="shared" si="27"/>
        <v>#REF!</v>
      </c>
      <c r="K48" s="122" t="e">
        <f t="shared" si="27"/>
        <v>#REF!</v>
      </c>
      <c r="L48" s="122" t="e">
        <f t="shared" si="27"/>
        <v>#REF!</v>
      </c>
      <c r="M48" s="122" t="e">
        <f t="shared" ref="M48:U48" si="28">(M23+M24+M25+M26+M27+M28+M29+M32+M33+M34+M30+M31)/M16</f>
        <v>#REF!</v>
      </c>
      <c r="N48" s="122" t="e">
        <f t="shared" si="28"/>
        <v>#REF!</v>
      </c>
      <c r="O48" s="122" t="e">
        <f t="shared" si="28"/>
        <v>#REF!</v>
      </c>
      <c r="P48" s="122" t="e">
        <f t="shared" si="28"/>
        <v>#REF!</v>
      </c>
      <c r="Q48" s="122" t="e">
        <f t="shared" si="28"/>
        <v>#REF!</v>
      </c>
      <c r="R48" s="122" t="e">
        <f t="shared" si="28"/>
        <v>#REF!</v>
      </c>
      <c r="S48" s="122" t="e">
        <f t="shared" si="28"/>
        <v>#REF!</v>
      </c>
      <c r="T48" s="122" t="e">
        <f t="shared" si="28"/>
        <v>#REF!</v>
      </c>
      <c r="U48" s="122">
        <f t="shared" si="28"/>
        <v>0.38562037496097984</v>
      </c>
      <c r="V48" s="122">
        <v>0.3649894921548224</v>
      </c>
      <c r="W48" s="122">
        <v>0.23753094009350784</v>
      </c>
      <c r="X48" s="122">
        <v>0.31925748200530368</v>
      </c>
      <c r="Y48" s="122">
        <v>0.27244296859007894</v>
      </c>
      <c r="Z48" s="122">
        <v>0.33695592437898442</v>
      </c>
      <c r="AA48" s="122">
        <v>0.90266878694645136</v>
      </c>
      <c r="AB48" s="122">
        <v>0.36575851393188852</v>
      </c>
      <c r="AC48" s="122">
        <v>0.29228126894322087</v>
      </c>
      <c r="AD48" s="32">
        <v>0.91199999999999992</v>
      </c>
      <c r="AE48" s="32">
        <v>0.32099999999999995</v>
      </c>
      <c r="AF48" s="32">
        <v>0.315</v>
      </c>
      <c r="AG48" s="32">
        <v>0.21399999999999997</v>
      </c>
      <c r="AH48" s="32">
        <v>0.19700000000000006</v>
      </c>
      <c r="AI48" s="32">
        <v>0.22300000000000009</v>
      </c>
      <c r="AJ48" s="32">
        <v>0.28700000000000003</v>
      </c>
      <c r="AK48" s="32">
        <v>0.28100000000000003</v>
      </c>
      <c r="AL48" s="91"/>
      <c r="AM48" s="122" t="e">
        <f>(AM35-AM20-AM21)/AM16</f>
        <v>#REF!</v>
      </c>
      <c r="AN48" s="122" t="e">
        <f>(AN35-AN20-AN21)/AN16</f>
        <v>#REF!</v>
      </c>
      <c r="AO48" s="104" t="e">
        <f t="shared" si="20"/>
        <v>#REF!</v>
      </c>
      <c r="AP48" s="35"/>
      <c r="AQ48" s="91"/>
      <c r="AR48" s="122" t="e">
        <f>(AR23+AR24+AR25+AR26+AR27+AR28+AR29+AR32+AR33+AR34+AR30+AR31)/AR16</f>
        <v>#REF!</v>
      </c>
      <c r="AS48" s="122" t="e">
        <f>(AS23+AS24+AS25+AS26+AS27+AS28+AS29+AS32+AS33+AS34+AS30+AS31)/AS16</f>
        <v>#REF!</v>
      </c>
      <c r="AT48" s="122">
        <f>(AT23+AT24+AT25+AT26+AT27+AT28+AT29+AT32+AT33+AT34+AT30+AT31)/AT16</f>
        <v>0.25307072354132276</v>
      </c>
      <c r="AU48" s="32">
        <v>0.29421100284999946</v>
      </c>
      <c r="AV48" s="32">
        <v>0.43109088411931429</v>
      </c>
      <c r="AW48" s="32">
        <v>0.40832982235497561</v>
      </c>
      <c r="AX48" s="32">
        <v>0.24299999999999999</v>
      </c>
      <c r="AY48" s="222">
        <v>0.24</v>
      </c>
      <c r="AZ48" s="222">
        <v>0.26200000000000001</v>
      </c>
      <c r="BA48" s="222">
        <v>0.23499999999999999</v>
      </c>
      <c r="BB48" s="91"/>
      <c r="BC48" s="91"/>
      <c r="BG48" s="3"/>
    </row>
    <row r="49" spans="1:59" ht="12.75" customHeight="1" x14ac:dyDescent="0.2">
      <c r="A49" s="88" t="s">
        <v>73</v>
      </c>
      <c r="B49" s="88"/>
      <c r="C49" s="104" t="e">
        <f t="shared" si="16"/>
        <v>#REF!</v>
      </c>
      <c r="D49" s="35"/>
      <c r="E49" s="35"/>
      <c r="F49" s="122" t="e">
        <f t="shared" ref="F49:L49" si="29">F35/F16</f>
        <v>#REF!</v>
      </c>
      <c r="G49" s="122" t="e">
        <f t="shared" si="29"/>
        <v>#REF!</v>
      </c>
      <c r="H49" s="122" t="e">
        <f t="shared" si="29"/>
        <v>#REF!</v>
      </c>
      <c r="I49" s="122" t="e">
        <f t="shared" si="29"/>
        <v>#REF!</v>
      </c>
      <c r="J49" s="122" t="e">
        <f t="shared" si="29"/>
        <v>#REF!</v>
      </c>
      <c r="K49" s="122" t="e">
        <f t="shared" si="29"/>
        <v>#REF!</v>
      </c>
      <c r="L49" s="122" t="e">
        <f t="shared" si="29"/>
        <v>#REF!</v>
      </c>
      <c r="M49" s="122" t="e">
        <f t="shared" ref="M49:U49" si="30">M35/M16</f>
        <v>#REF!</v>
      </c>
      <c r="N49" s="122" t="e">
        <f t="shared" si="30"/>
        <v>#REF!</v>
      </c>
      <c r="O49" s="122" t="e">
        <f t="shared" si="30"/>
        <v>#REF!</v>
      </c>
      <c r="P49" s="122" t="e">
        <f t="shared" si="30"/>
        <v>#REF!</v>
      </c>
      <c r="Q49" s="122" t="e">
        <f t="shared" si="30"/>
        <v>#REF!</v>
      </c>
      <c r="R49" s="122" t="e">
        <f t="shared" si="30"/>
        <v>#REF!</v>
      </c>
      <c r="S49" s="122" t="e">
        <f t="shared" si="30"/>
        <v>#REF!</v>
      </c>
      <c r="T49" s="122" t="e">
        <f t="shared" si="30"/>
        <v>#REF!</v>
      </c>
      <c r="U49" s="122">
        <f t="shared" si="30"/>
        <v>0.96834315723755482</v>
      </c>
      <c r="V49" s="122">
        <v>0.99750056109852892</v>
      </c>
      <c r="W49" s="122">
        <v>0.86163104848494654</v>
      </c>
      <c r="X49" s="122">
        <v>0.95557519888874853</v>
      </c>
      <c r="Y49" s="122">
        <v>0.89475135897377578</v>
      </c>
      <c r="Z49" s="122">
        <v>0.90710870520993625</v>
      </c>
      <c r="AA49" s="122">
        <v>1.5674456390223666</v>
      </c>
      <c r="AB49" s="122">
        <v>0.95019195046439631</v>
      </c>
      <c r="AC49" s="122">
        <v>0.88841639265967409</v>
      </c>
      <c r="AD49" s="32">
        <v>1.4359999999999999</v>
      </c>
      <c r="AE49" s="32">
        <v>0.872</v>
      </c>
      <c r="AF49" s="32">
        <v>0.85099999999999998</v>
      </c>
      <c r="AG49" s="32">
        <v>0.77300000000000002</v>
      </c>
      <c r="AH49" s="32">
        <v>0.77300000000000002</v>
      </c>
      <c r="AI49" s="32">
        <v>0.79400000000000004</v>
      </c>
      <c r="AJ49" s="32">
        <v>0.85499999999999998</v>
      </c>
      <c r="AK49" s="32">
        <v>0.84699999999999998</v>
      </c>
      <c r="AL49" s="91"/>
      <c r="AM49" s="122" t="e">
        <f>AM35/AM16</f>
        <v>#REF!</v>
      </c>
      <c r="AN49" s="122" t="e">
        <f>AN35/AN16</f>
        <v>#REF!</v>
      </c>
      <c r="AO49" s="104" t="e">
        <f t="shared" si="20"/>
        <v>#REF!</v>
      </c>
      <c r="AP49" s="35"/>
      <c r="AQ49" s="91"/>
      <c r="AR49" s="122" t="e">
        <f>AR35/AR16</f>
        <v>#REF!</v>
      </c>
      <c r="AS49" s="122" t="e">
        <f>AS35/AS16</f>
        <v>#REF!</v>
      </c>
      <c r="AT49" s="122">
        <f>AT35/AT16</f>
        <v>0.81304172040711309</v>
      </c>
      <c r="AU49" s="32">
        <v>0.921741349685677</v>
      </c>
      <c r="AV49" s="32">
        <v>1.0305870821940044</v>
      </c>
      <c r="AW49" s="32">
        <v>0.95154063826442381</v>
      </c>
      <c r="AX49" s="32">
        <v>0.81399999999999995</v>
      </c>
      <c r="AY49" s="222">
        <v>0.83099999999999996</v>
      </c>
      <c r="AZ49" s="222">
        <v>0.86599999999999999</v>
      </c>
      <c r="BA49" s="222">
        <v>0.85299999999999998</v>
      </c>
      <c r="BB49" s="91"/>
      <c r="BC49" s="91"/>
      <c r="BG49" s="3"/>
    </row>
    <row r="50" spans="1:59" ht="12.75" customHeight="1" x14ac:dyDescent="0.2">
      <c r="A50" s="88" t="s">
        <v>74</v>
      </c>
      <c r="B50" s="462"/>
      <c r="C50" s="104" t="e">
        <f>I50-M50</f>
        <v>#REF!</v>
      </c>
      <c r="D50" s="35"/>
      <c r="E50" s="35"/>
      <c r="F50" s="122" t="e">
        <f t="shared" ref="F50:L50" si="31">F36/F16</f>
        <v>#REF!</v>
      </c>
      <c r="G50" s="122" t="e">
        <f t="shared" si="31"/>
        <v>#REF!</v>
      </c>
      <c r="H50" s="122" t="e">
        <f t="shared" si="31"/>
        <v>#REF!</v>
      </c>
      <c r="I50" s="122" t="e">
        <f t="shared" si="31"/>
        <v>#REF!</v>
      </c>
      <c r="J50" s="122" t="e">
        <f t="shared" si="31"/>
        <v>#REF!</v>
      </c>
      <c r="K50" s="122" t="e">
        <f t="shared" si="31"/>
        <v>#REF!</v>
      </c>
      <c r="L50" s="122" t="e">
        <f t="shared" si="31"/>
        <v>#REF!</v>
      </c>
      <c r="M50" s="122" t="e">
        <f t="shared" ref="M50:U50" si="32">M36/M16</f>
        <v>#REF!</v>
      </c>
      <c r="N50" s="122" t="e">
        <f t="shared" si="32"/>
        <v>#REF!</v>
      </c>
      <c r="O50" s="122" t="e">
        <f t="shared" si="32"/>
        <v>#REF!</v>
      </c>
      <c r="P50" s="122" t="e">
        <f t="shared" si="32"/>
        <v>#REF!</v>
      </c>
      <c r="Q50" s="122" t="e">
        <f t="shared" si="32"/>
        <v>#REF!</v>
      </c>
      <c r="R50" s="122" t="e">
        <f t="shared" si="32"/>
        <v>#REF!</v>
      </c>
      <c r="S50" s="122" t="e">
        <f t="shared" si="32"/>
        <v>#REF!</v>
      </c>
      <c r="T50" s="122" t="e">
        <f t="shared" si="32"/>
        <v>#REF!</v>
      </c>
      <c r="U50" s="122">
        <f t="shared" si="32"/>
        <v>3.1656842762445139E-2</v>
      </c>
      <c r="V50" s="122">
        <v>2.4994389014710984E-3</v>
      </c>
      <c r="W50" s="122">
        <v>0.13836895151505346</v>
      </c>
      <c r="X50" s="122">
        <v>4.4424801111251418E-2</v>
      </c>
      <c r="Y50" s="122">
        <v>0.10424864102622422</v>
      </c>
      <c r="Z50" s="122">
        <v>9.289129479006375E-2</v>
      </c>
      <c r="AA50" s="122">
        <v>-0.56601101766625794</v>
      </c>
      <c r="AB50" s="122">
        <v>5.0102135561745587E-2</v>
      </c>
      <c r="AC50" s="122">
        <v>0.111746772208856</v>
      </c>
      <c r="AD50" s="32">
        <v>-0.43578425270737381</v>
      </c>
      <c r="AE50" s="32">
        <v>0.128</v>
      </c>
      <c r="AF50" s="32">
        <v>0.14900000000000002</v>
      </c>
      <c r="AG50" s="32">
        <v>0.22699999999999998</v>
      </c>
      <c r="AH50" s="32">
        <v>0.22699999999999998</v>
      </c>
      <c r="AI50" s="32">
        <v>0.20599999999999996</v>
      </c>
      <c r="AJ50" s="32">
        <v>0.14499999999999999</v>
      </c>
      <c r="AK50" s="32">
        <v>0.15300000000000002</v>
      </c>
      <c r="AL50" s="91"/>
      <c r="AM50" s="122" t="e">
        <f>AM36/AM16</f>
        <v>#REF!</v>
      </c>
      <c r="AN50" s="122" t="e">
        <f>AN36/AN16</f>
        <v>#REF!</v>
      </c>
      <c r="AO50" s="104" t="e">
        <f t="shared" si="20"/>
        <v>#REF!</v>
      </c>
      <c r="AP50" s="35"/>
      <c r="AQ50" s="91"/>
      <c r="AR50" s="122" t="e">
        <f>AR36/AR16</f>
        <v>#REF!</v>
      </c>
      <c r="AS50" s="122" t="e">
        <f>AS36/AS16</f>
        <v>#REF!</v>
      </c>
      <c r="AT50" s="122">
        <f>AT36/AT16</f>
        <v>0.18695827959288688</v>
      </c>
      <c r="AU50" s="32">
        <v>7.7258650314323052E-2</v>
      </c>
      <c r="AV50" s="32">
        <v>-3.0587082194004321E-2</v>
      </c>
      <c r="AW50" s="32">
        <v>4.8807030915441217E-2</v>
      </c>
      <c r="AX50" s="32">
        <v>0.18703015314085791</v>
      </c>
      <c r="AY50" s="222">
        <f>AY36/AY16</f>
        <v>0.16914940784451749</v>
      </c>
      <c r="AZ50" s="222">
        <f>AZ36/AZ16</f>
        <v>0.13366467943212246</v>
      </c>
      <c r="BA50" s="222">
        <v>0.14700000000000002</v>
      </c>
      <c r="BB50" s="91"/>
      <c r="BC50" s="91"/>
      <c r="BG50" s="3"/>
    </row>
    <row r="51" spans="1:59" ht="12.75" customHeight="1" x14ac:dyDescent="0.2">
      <c r="A51" s="89"/>
      <c r="B51" s="89"/>
      <c r="C51" s="104"/>
      <c r="D51" s="35"/>
      <c r="E51" s="35"/>
      <c r="F51" s="508"/>
      <c r="G51" s="508"/>
      <c r="H51" s="508"/>
      <c r="I51" s="508"/>
      <c r="J51" s="508"/>
      <c r="K51" s="508"/>
      <c r="L51" s="508"/>
      <c r="M51" s="508"/>
      <c r="N51" s="35"/>
      <c r="O51" s="35"/>
      <c r="P51" s="35"/>
      <c r="Q51" s="35"/>
      <c r="R51" s="35"/>
      <c r="S51" s="35"/>
      <c r="T51" s="35"/>
      <c r="U51" s="35"/>
      <c r="V51" s="35"/>
      <c r="W51" s="35"/>
      <c r="X51" s="35"/>
      <c r="Y51" s="35"/>
      <c r="Z51" s="35"/>
      <c r="AA51" s="35"/>
      <c r="AB51" s="35"/>
      <c r="AC51" s="122"/>
      <c r="AD51" s="122"/>
      <c r="AE51" s="44"/>
      <c r="AF51" s="44"/>
      <c r="AG51" s="44"/>
      <c r="AH51" s="122"/>
      <c r="AI51" s="122"/>
      <c r="AJ51" s="122"/>
      <c r="AK51" s="122"/>
      <c r="AL51" s="91"/>
      <c r="AM51" s="91"/>
      <c r="AN51" s="91"/>
      <c r="AO51" s="104"/>
      <c r="AP51" s="35"/>
      <c r="AQ51" s="91"/>
      <c r="AR51" s="32"/>
      <c r="AS51" s="32"/>
      <c r="AT51" s="32"/>
      <c r="AU51" s="32"/>
      <c r="AV51" s="32"/>
      <c r="AW51" s="32"/>
      <c r="AX51" s="9"/>
      <c r="AY51" s="222"/>
      <c r="AZ51" s="222"/>
      <c r="BA51" s="222"/>
      <c r="BB51" s="91"/>
      <c r="BC51" s="91"/>
      <c r="BG51" s="3"/>
    </row>
    <row r="52" spans="1:59" ht="12.75" customHeight="1" x14ac:dyDescent="0.2">
      <c r="A52" s="89" t="s">
        <v>84</v>
      </c>
      <c r="B52" s="89"/>
      <c r="C52" s="108" t="e">
        <f>I52-M52</f>
        <v>#REF!</v>
      </c>
      <c r="D52" s="508" t="e">
        <f>IF(OR((C52/M52)&gt;3,(C52/M52)&lt;-3),"n.m.",(C52/M52))</f>
        <v>#REF!</v>
      </c>
      <c r="E52" s="35"/>
      <c r="F52" s="411"/>
      <c r="G52" s="411"/>
      <c r="H52" s="411"/>
      <c r="I52" s="411" t="e">
        <f>+'14 Misc Operating Stats'!#REF!</f>
        <v>#REF!</v>
      </c>
      <c r="J52" s="411" t="e">
        <f>+'14 Misc Operating Stats'!#REF!</f>
        <v>#REF!</v>
      </c>
      <c r="K52" s="411" t="e">
        <f>+'14 Misc Operating Stats'!#REF!</f>
        <v>#REF!</v>
      </c>
      <c r="L52" s="411" t="e">
        <f>+'14 Misc Operating Stats'!#REF!</f>
        <v>#REF!</v>
      </c>
      <c r="M52" s="411" t="e">
        <f>+'14 Misc Operating Stats'!#REF!</f>
        <v>#REF!</v>
      </c>
      <c r="N52" s="411" t="e">
        <f>'14 Misc Operating Stats'!#REF!</f>
        <v>#REF!</v>
      </c>
      <c r="O52" s="411" t="e">
        <f>'14 Misc Operating Stats'!#REF!</f>
        <v>#REF!</v>
      </c>
      <c r="P52" s="411" t="e">
        <f>'14 Misc Operating Stats'!#REF!</f>
        <v>#REF!</v>
      </c>
      <c r="Q52" s="186" t="e">
        <f>'14 Misc Operating Stats'!#REF!</f>
        <v>#REF!</v>
      </c>
      <c r="R52" s="186">
        <v>1325</v>
      </c>
      <c r="S52" s="186">
        <v>1312</v>
      </c>
      <c r="T52" s="186">
        <v>1310</v>
      </c>
      <c r="U52" s="186">
        <v>1333</v>
      </c>
      <c r="V52" s="96">
        <v>1247</v>
      </c>
      <c r="W52" s="186">
        <v>1271</v>
      </c>
      <c r="X52" s="186">
        <v>1257</v>
      </c>
      <c r="Y52" s="186">
        <v>1244</v>
      </c>
      <c r="Z52" s="186">
        <v>1265</v>
      </c>
      <c r="AA52" s="186">
        <v>1301</v>
      </c>
      <c r="AB52" s="186">
        <v>1385</v>
      </c>
      <c r="AC52" s="216">
        <v>1404</v>
      </c>
      <c r="AD52" s="216">
        <v>1395</v>
      </c>
      <c r="AE52" s="216">
        <v>1399</v>
      </c>
      <c r="AF52" s="216">
        <v>1418</v>
      </c>
      <c r="AG52" s="216">
        <v>1383</v>
      </c>
      <c r="AH52" s="216">
        <v>1334</v>
      </c>
      <c r="AI52" s="216">
        <v>1310</v>
      </c>
      <c r="AJ52" s="216">
        <v>1309</v>
      </c>
      <c r="AK52" s="216">
        <v>1292</v>
      </c>
      <c r="AL52" s="91"/>
      <c r="AM52" s="140" t="e">
        <f>K52</f>
        <v>#REF!</v>
      </c>
      <c r="AN52" s="140" t="e">
        <f>O52</f>
        <v>#REF!</v>
      </c>
      <c r="AO52" s="140" t="e">
        <f>AR52-AS52</f>
        <v>#REF!</v>
      </c>
      <c r="AP52" s="35" t="e">
        <f>IF(OR((AO52/AS52)&gt;3,(AO52/AS52)&lt;-3),"n.m.",(AO52/AS52))</f>
        <v>#REF!</v>
      </c>
      <c r="AQ52" s="91"/>
      <c r="AR52" s="108" t="e">
        <f>+J52</f>
        <v>#REF!</v>
      </c>
      <c r="AS52" s="108" t="e">
        <f>N52</f>
        <v>#REF!</v>
      </c>
      <c r="AT52" s="108">
        <v>1325</v>
      </c>
      <c r="AU52" s="108">
        <v>1247</v>
      </c>
      <c r="AV52" s="108">
        <v>1265</v>
      </c>
      <c r="AW52" s="108">
        <v>1395</v>
      </c>
      <c r="AX52" s="108">
        <v>1334</v>
      </c>
      <c r="AY52" s="216">
        <v>1257</v>
      </c>
      <c r="AZ52" s="216">
        <v>1190</v>
      </c>
      <c r="BA52" s="216">
        <v>1104</v>
      </c>
      <c r="BB52" s="91"/>
      <c r="BC52" s="91"/>
      <c r="BG52" s="3"/>
    </row>
    <row r="53" spans="1:59" ht="12.75" customHeight="1" x14ac:dyDescent="0.2">
      <c r="A53" s="6"/>
      <c r="B53" s="6"/>
      <c r="C53" s="91"/>
      <c r="D53" s="91"/>
      <c r="E53" s="91"/>
      <c r="F53" s="483"/>
      <c r="G53" s="483"/>
      <c r="H53" s="483"/>
      <c r="I53" s="483"/>
      <c r="J53" s="483"/>
      <c r="K53" s="483"/>
      <c r="L53" s="483"/>
      <c r="M53" s="483"/>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483"/>
      <c r="AS53" s="91"/>
      <c r="AT53" s="91"/>
      <c r="AU53" s="91"/>
      <c r="AV53" s="91"/>
      <c r="AW53" s="91"/>
      <c r="AX53" s="91"/>
      <c r="AY53" s="216"/>
      <c r="AZ53" s="216"/>
      <c r="BA53" s="216"/>
      <c r="BB53" s="91"/>
      <c r="BC53" s="91"/>
      <c r="BG53" s="3"/>
    </row>
    <row r="54" spans="1:59" ht="18" customHeight="1" x14ac:dyDescent="0.2">
      <c r="A54" s="10" t="s">
        <v>231</v>
      </c>
      <c r="B54" s="6"/>
      <c r="C54" s="44"/>
      <c r="D54" s="44"/>
      <c r="E54" s="91"/>
      <c r="F54" s="483"/>
      <c r="G54" s="483"/>
      <c r="H54" s="483"/>
      <c r="I54" s="483"/>
      <c r="J54" s="483"/>
      <c r="K54" s="483"/>
      <c r="L54" s="483"/>
      <c r="M54" s="483"/>
      <c r="N54" s="91"/>
      <c r="O54" s="91"/>
      <c r="P54" s="91"/>
      <c r="Q54" s="91"/>
      <c r="R54" s="91"/>
      <c r="S54" s="91"/>
      <c r="T54" s="91"/>
      <c r="U54" s="91"/>
      <c r="V54" s="91"/>
      <c r="W54" s="91"/>
      <c r="X54" s="91"/>
      <c r="Y54" s="91"/>
      <c r="Z54" s="91"/>
      <c r="AA54" s="91"/>
      <c r="AB54" s="91"/>
      <c r="AC54" s="91"/>
      <c r="AD54" s="91"/>
      <c r="AE54" s="91"/>
      <c r="AF54" s="44"/>
      <c r="AG54" s="44"/>
      <c r="AH54" s="44"/>
      <c r="AI54" s="44"/>
      <c r="AJ54" s="44"/>
      <c r="AK54" s="44"/>
      <c r="AL54" s="44"/>
      <c r="AM54" s="44"/>
      <c r="AN54" s="44"/>
      <c r="AO54" s="91"/>
      <c r="AP54" s="91"/>
      <c r="AQ54" s="44"/>
      <c r="AR54" s="457"/>
      <c r="AS54" s="457"/>
      <c r="AT54" s="44"/>
      <c r="AU54" s="44"/>
      <c r="AV54" s="44"/>
      <c r="AW54" s="44"/>
      <c r="AX54" s="44"/>
      <c r="AY54" s="221"/>
      <c r="AZ54" s="221"/>
      <c r="BA54" s="221"/>
      <c r="BB54" s="91"/>
      <c r="BC54" s="91"/>
      <c r="BG54" s="3"/>
    </row>
    <row r="55" spans="1:59" ht="12.75" customHeight="1" x14ac:dyDescent="0.2">
      <c r="A55" s="123"/>
      <c r="B55" s="6"/>
      <c r="C55" s="44"/>
      <c r="D55" s="44"/>
      <c r="E55" s="91"/>
      <c r="F55" s="265"/>
      <c r="G55" s="265"/>
      <c r="H55" s="265"/>
      <c r="I55" s="483"/>
      <c r="J55" s="265"/>
      <c r="K55" s="265"/>
      <c r="L55" s="265"/>
      <c r="M55" s="483"/>
      <c r="N55" s="265"/>
      <c r="O55" s="265"/>
      <c r="P55" s="265"/>
      <c r="Q55" s="91"/>
      <c r="R55" s="265"/>
      <c r="S55" s="265"/>
      <c r="T55" s="265"/>
      <c r="U55" s="91"/>
      <c r="V55" s="265"/>
      <c r="W55" s="265"/>
      <c r="X55" s="265"/>
      <c r="Y55" s="91"/>
      <c r="Z55" s="265"/>
      <c r="AA55" s="91"/>
      <c r="AB55" s="91"/>
      <c r="AC55" s="91"/>
      <c r="AD55" s="91"/>
      <c r="AE55" s="91"/>
      <c r="AF55" s="44"/>
      <c r="AG55" s="44"/>
      <c r="AH55" s="44"/>
      <c r="AI55" s="44"/>
      <c r="AJ55" s="44"/>
      <c r="AK55" s="44"/>
      <c r="AL55" s="44"/>
      <c r="AM55" s="44"/>
      <c r="AN55" s="44"/>
      <c r="AO55" s="44"/>
      <c r="AP55" s="44"/>
      <c r="AQ55" s="44"/>
      <c r="AR55" s="482"/>
      <c r="AS55" s="44"/>
      <c r="AT55" s="44"/>
      <c r="AU55" s="44"/>
      <c r="AV55" s="44"/>
      <c r="AW55" s="44"/>
      <c r="AX55" s="44"/>
      <c r="AY55" s="221"/>
      <c r="AZ55" s="221"/>
      <c r="BA55" s="221"/>
      <c r="BB55" s="91"/>
      <c r="BC55" s="91"/>
      <c r="BG55" s="3"/>
    </row>
    <row r="56" spans="1:59" ht="12.75" customHeight="1" x14ac:dyDescent="0.2">
      <c r="A56" s="5"/>
      <c r="B56" s="6"/>
      <c r="C56" s="2431" t="s">
        <v>293</v>
      </c>
      <c r="D56" s="2432"/>
      <c r="E56" s="184"/>
      <c r="F56" s="273"/>
      <c r="G56" s="273"/>
      <c r="H56" s="273"/>
      <c r="I56" s="17"/>
      <c r="J56" s="273"/>
      <c r="K56" s="273"/>
      <c r="L56" s="273"/>
      <c r="M56" s="17"/>
      <c r="N56" s="15"/>
      <c r="O56" s="16"/>
      <c r="P56" s="273"/>
      <c r="Q56" s="17"/>
      <c r="R56" s="15"/>
      <c r="S56" s="16"/>
      <c r="T56" s="273"/>
      <c r="U56" s="17"/>
      <c r="V56" s="481"/>
      <c r="W56" s="16"/>
      <c r="X56" s="2"/>
      <c r="Y56" s="17"/>
      <c r="Z56" s="16"/>
      <c r="AA56" s="481"/>
      <c r="AB56" s="273"/>
      <c r="AC56" s="17"/>
      <c r="AD56" s="16"/>
      <c r="AE56" s="16"/>
      <c r="AF56" s="16"/>
      <c r="AG56" s="16"/>
      <c r="AH56" s="20"/>
      <c r="AI56" s="17"/>
      <c r="AJ56" s="17"/>
      <c r="AK56" s="17"/>
      <c r="AL56" s="22"/>
      <c r="AM56" s="445" t="s">
        <v>281</v>
      </c>
      <c r="AN56" s="433"/>
      <c r="AO56" s="433" t="s">
        <v>266</v>
      </c>
      <c r="AP56" s="434"/>
      <c r="AQ56" s="13"/>
      <c r="AR56" s="46"/>
      <c r="AS56" s="46"/>
      <c r="AT56" s="46"/>
      <c r="AU56" s="46"/>
      <c r="AV56" s="46"/>
      <c r="AW56" s="124"/>
      <c r="AX56" s="124"/>
      <c r="AY56" s="46"/>
      <c r="AZ56" s="46"/>
      <c r="BA56" s="464"/>
      <c r="BB56" s="105"/>
      <c r="BC56" s="91"/>
      <c r="BG56" s="3"/>
    </row>
    <row r="57" spans="1:59" ht="12.75" customHeight="1" x14ac:dyDescent="0.2">
      <c r="A57" s="5" t="s">
        <v>91</v>
      </c>
      <c r="B57" s="6"/>
      <c r="C57" s="2433" t="s">
        <v>35</v>
      </c>
      <c r="D57" s="2434"/>
      <c r="E57" s="355"/>
      <c r="F57" s="19" t="s">
        <v>296</v>
      </c>
      <c r="G57" s="19" t="s">
        <v>295</v>
      </c>
      <c r="H57" s="19" t="s">
        <v>294</v>
      </c>
      <c r="I57" s="12" t="s">
        <v>292</v>
      </c>
      <c r="J57" s="19" t="s">
        <v>252</v>
      </c>
      <c r="K57" s="19" t="s">
        <v>253</v>
      </c>
      <c r="L57" s="19" t="s">
        <v>254</v>
      </c>
      <c r="M57" s="12" t="s">
        <v>255</v>
      </c>
      <c r="N57" s="18" t="s">
        <v>202</v>
      </c>
      <c r="O57" s="19" t="s">
        <v>203</v>
      </c>
      <c r="P57" s="19" t="s">
        <v>204</v>
      </c>
      <c r="Q57" s="12" t="s">
        <v>201</v>
      </c>
      <c r="R57" s="18" t="s">
        <v>173</v>
      </c>
      <c r="S57" s="19" t="s">
        <v>174</v>
      </c>
      <c r="T57" s="19" t="s">
        <v>175</v>
      </c>
      <c r="U57" s="12" t="s">
        <v>176</v>
      </c>
      <c r="V57" s="19" t="s">
        <v>109</v>
      </c>
      <c r="W57" s="19" t="s">
        <v>108</v>
      </c>
      <c r="X57" s="19" t="s">
        <v>107</v>
      </c>
      <c r="Y57" s="12" t="s">
        <v>106</v>
      </c>
      <c r="Z57" s="19" t="s">
        <v>78</v>
      </c>
      <c r="AA57" s="19" t="s">
        <v>79</v>
      </c>
      <c r="AB57" s="19" t="s">
        <v>80</v>
      </c>
      <c r="AC57" s="12" t="s">
        <v>26</v>
      </c>
      <c r="AD57" s="19" t="s">
        <v>27</v>
      </c>
      <c r="AE57" s="19" t="s">
        <v>28</v>
      </c>
      <c r="AF57" s="19" t="s">
        <v>29</v>
      </c>
      <c r="AG57" s="19" t="s">
        <v>30</v>
      </c>
      <c r="AH57" s="21" t="s">
        <v>31</v>
      </c>
      <c r="AI57" s="12" t="s">
        <v>32</v>
      </c>
      <c r="AJ57" s="12" t="s">
        <v>33</v>
      </c>
      <c r="AK57" s="12" t="s">
        <v>34</v>
      </c>
      <c r="AL57" s="184"/>
      <c r="AM57" s="19" t="s">
        <v>253</v>
      </c>
      <c r="AN57" s="19" t="s">
        <v>203</v>
      </c>
      <c r="AO57" s="2436" t="s">
        <v>35</v>
      </c>
      <c r="AP57" s="2437"/>
      <c r="AQ57" s="127"/>
      <c r="AR57" s="18" t="s">
        <v>257</v>
      </c>
      <c r="AS57" s="18" t="s">
        <v>206</v>
      </c>
      <c r="AT57" s="18" t="s">
        <v>111</v>
      </c>
      <c r="AU57" s="18" t="s">
        <v>110</v>
      </c>
      <c r="AV57" s="18" t="s">
        <v>39</v>
      </c>
      <c r="AW57" s="21" t="s">
        <v>36</v>
      </c>
      <c r="AX57" s="21" t="s">
        <v>37</v>
      </c>
      <c r="AY57" s="21" t="s">
        <v>128</v>
      </c>
      <c r="AZ57" s="21" t="s">
        <v>129</v>
      </c>
      <c r="BA57" s="19" t="s">
        <v>130</v>
      </c>
      <c r="BB57" s="105"/>
      <c r="BC57" s="91"/>
      <c r="BG57" s="3"/>
    </row>
    <row r="58" spans="1:59" ht="12.75" customHeight="1" x14ac:dyDescent="0.2">
      <c r="A58" s="90"/>
      <c r="B58" s="91" t="s">
        <v>4</v>
      </c>
      <c r="C58" s="45" t="e">
        <f>I58-M58</f>
        <v>#REF!</v>
      </c>
      <c r="D58" s="498" t="e">
        <f>IF(OR((C58/M58)&gt;3,(C58/M58)&lt;-3),"n.m.",(C58/M58))</f>
        <v>#REF!</v>
      </c>
      <c r="E58" s="47"/>
      <c r="F58" s="494" t="e">
        <f t="shared" ref="F58:M58" si="33">+F16</f>
        <v>#REF!</v>
      </c>
      <c r="G58" s="494" t="e">
        <f t="shared" si="33"/>
        <v>#REF!</v>
      </c>
      <c r="H58" s="494" t="e">
        <f t="shared" si="33"/>
        <v>#REF!</v>
      </c>
      <c r="I58" s="495" t="e">
        <f t="shared" si="33"/>
        <v>#REF!</v>
      </c>
      <c r="J58" s="494" t="e">
        <f t="shared" si="33"/>
        <v>#REF!</v>
      </c>
      <c r="K58" s="494" t="e">
        <f t="shared" si="33"/>
        <v>#REF!</v>
      </c>
      <c r="L58" s="494" t="e">
        <f t="shared" si="33"/>
        <v>#REF!</v>
      </c>
      <c r="M58" s="495" t="e">
        <f t="shared" si="33"/>
        <v>#REF!</v>
      </c>
      <c r="N58" s="235" t="e">
        <f t="shared" ref="N58:U58" si="34">N16</f>
        <v>#REF!</v>
      </c>
      <c r="O58" s="235" t="e">
        <f t="shared" si="34"/>
        <v>#REF!</v>
      </c>
      <c r="P58" s="235" t="e">
        <f t="shared" si="34"/>
        <v>#REF!</v>
      </c>
      <c r="Q58" s="252" t="e">
        <f t="shared" si="34"/>
        <v>#REF!</v>
      </c>
      <c r="R58" s="235" t="e">
        <f t="shared" si="34"/>
        <v>#REF!</v>
      </c>
      <c r="S58" s="235" t="e">
        <f t="shared" si="34"/>
        <v>#REF!</v>
      </c>
      <c r="T58" s="235" t="e">
        <f t="shared" si="34"/>
        <v>#REF!</v>
      </c>
      <c r="U58" s="252">
        <f t="shared" si="34"/>
        <v>108918</v>
      </c>
      <c r="V58" s="235">
        <v>98022</v>
      </c>
      <c r="W58" s="235">
        <v>123626</v>
      </c>
      <c r="X58" s="235">
        <v>79190</v>
      </c>
      <c r="Y58" s="252">
        <v>87934</v>
      </c>
      <c r="Z58" s="245">
        <v>72784</v>
      </c>
      <c r="AA58" s="235">
        <v>57907</v>
      </c>
      <c r="AB58" s="235">
        <v>80775</v>
      </c>
      <c r="AC58" s="235">
        <v>108898</v>
      </c>
      <c r="AD58" s="157">
        <v>104437</v>
      </c>
      <c r="AE58" s="235">
        <v>125130</v>
      </c>
      <c r="AF58" s="235">
        <v>117358</v>
      </c>
      <c r="AG58" s="245">
        <v>162141</v>
      </c>
      <c r="AH58" s="156">
        <v>153624</v>
      </c>
      <c r="AI58" s="143">
        <v>134705</v>
      </c>
      <c r="AJ58" s="143">
        <v>108408</v>
      </c>
      <c r="AK58" s="152">
        <v>133250</v>
      </c>
      <c r="AL58" s="47"/>
      <c r="AM58" s="235" t="e">
        <f>SUM(K58:M58)</f>
        <v>#REF!</v>
      </c>
      <c r="AN58" s="235" t="e">
        <f>SUM(O58:Q58)</f>
        <v>#REF!</v>
      </c>
      <c r="AO58" s="246" t="e">
        <f>AR58-AS58</f>
        <v>#REF!</v>
      </c>
      <c r="AP58" s="247" t="e">
        <f>IF(OR((AO58/AS58)&gt;3,(AO58/AS58)&lt;-3),"n.m.",(AO58/AS58))</f>
        <v>#REF!</v>
      </c>
      <c r="AQ58" s="44"/>
      <c r="AR58" s="487" t="e">
        <f>SUM(J58:M58)</f>
        <v>#REF!</v>
      </c>
      <c r="AS58" s="118" t="e">
        <f>SUM(N58:Q58)</f>
        <v>#REF!</v>
      </c>
      <c r="AT58" s="118" t="e">
        <f>SUM(R58:U58)</f>
        <v>#REF!</v>
      </c>
      <c r="AU58" s="118">
        <v>388772</v>
      </c>
      <c r="AV58" s="118">
        <v>320364</v>
      </c>
      <c r="AW58" s="284">
        <v>509066</v>
      </c>
      <c r="AX58" s="284">
        <v>530492</v>
      </c>
      <c r="AY58" s="284">
        <f>AY16</f>
        <v>437554</v>
      </c>
      <c r="AZ58" s="284">
        <f>AZ16</f>
        <v>316688</v>
      </c>
      <c r="BA58" s="224">
        <v>317668</v>
      </c>
      <c r="BB58" s="105"/>
      <c r="BC58" s="91"/>
      <c r="BG58" s="3"/>
    </row>
    <row r="59" spans="1:59" ht="12.75" customHeight="1" x14ac:dyDescent="0.2">
      <c r="A59" s="44"/>
      <c r="B59" s="44" t="s">
        <v>77</v>
      </c>
      <c r="C59" s="45">
        <f>I59-M59</f>
        <v>-14408</v>
      </c>
      <c r="D59" s="39">
        <f>IF(OR((C59/M59)&gt;3,(C59/M59)&lt;-3),"n.m.",(C59/M59))</f>
        <v>-0.18294943748888945</v>
      </c>
      <c r="E59" s="356"/>
      <c r="F59" s="264">
        <f>+F35-F30-F31</f>
        <v>0</v>
      </c>
      <c r="G59" s="264">
        <f>+G35-G30-G31</f>
        <v>0</v>
      </c>
      <c r="H59" s="264">
        <f>+H35-H30-H31</f>
        <v>0</v>
      </c>
      <c r="I59" s="495">
        <f>+I35-I30-I31-930</f>
        <v>64346</v>
      </c>
      <c r="J59" s="264">
        <f>+J35-J30-J31-930</f>
        <v>88463</v>
      </c>
      <c r="K59" s="264">
        <f>+K35-K30-K31-930</f>
        <v>96572</v>
      </c>
      <c r="L59" s="264">
        <f>+L35-L30-L31-930</f>
        <v>79613</v>
      </c>
      <c r="M59" s="495">
        <f>+M35-930</f>
        <v>78754</v>
      </c>
      <c r="N59" s="264">
        <f>N35-N30-930</f>
        <v>112287</v>
      </c>
      <c r="O59" s="264">
        <f>O35-O31-930-O30</f>
        <v>93171</v>
      </c>
      <c r="P59" s="264">
        <f>P35-P31-930</f>
        <v>87147</v>
      </c>
      <c r="Q59" s="252">
        <f>Q35-930</f>
        <v>103084</v>
      </c>
      <c r="R59" s="264">
        <f>R35-R31-930</f>
        <v>138302</v>
      </c>
      <c r="S59" s="264">
        <f>S35-S31-930</f>
        <v>141951</v>
      </c>
      <c r="T59" s="264">
        <f>T35-T31-1827</f>
        <v>95491</v>
      </c>
      <c r="U59" s="252">
        <f>U35-U31-1439</f>
        <v>93041</v>
      </c>
      <c r="V59" s="264">
        <v>92777</v>
      </c>
      <c r="W59" s="264">
        <v>106520</v>
      </c>
      <c r="X59" s="264">
        <v>75672</v>
      </c>
      <c r="Y59" s="252">
        <v>78767</v>
      </c>
      <c r="Z59" s="264">
        <v>65881</v>
      </c>
      <c r="AA59" s="264">
        <v>72055</v>
      </c>
      <c r="AB59" s="264">
        <v>76728</v>
      </c>
      <c r="AC59" s="252">
        <v>96729</v>
      </c>
      <c r="AD59" s="139">
        <v>87577</v>
      </c>
      <c r="AE59" s="139">
        <v>104907</v>
      </c>
      <c r="AF59" s="139">
        <v>95426</v>
      </c>
      <c r="AG59" s="139">
        <v>125313</v>
      </c>
      <c r="AH59" s="103">
        <v>118739</v>
      </c>
      <c r="AI59" s="143">
        <v>106957</v>
      </c>
      <c r="AJ59" s="143">
        <v>92702</v>
      </c>
      <c r="AK59" s="143">
        <v>112876</v>
      </c>
      <c r="AL59" s="47"/>
      <c r="AM59" s="494">
        <f>SUM(K59:M59)</f>
        <v>254939</v>
      </c>
      <c r="AN59" s="235">
        <f>SUM(O59:Q59)</f>
        <v>283402</v>
      </c>
      <c r="AO59" s="96">
        <f>AR59-AS59</f>
        <v>-52287</v>
      </c>
      <c r="AP59" s="39">
        <f>IF(OR((AO59/AS59)&gt;3,(AO59/AS59)&lt;-3),"n.m.",(AO59/AS59))</f>
        <v>-0.13214165670513964</v>
      </c>
      <c r="AQ59" s="44"/>
      <c r="AR59" s="487">
        <f>SUM(J59:M59)</f>
        <v>343402</v>
      </c>
      <c r="AS59" s="118">
        <f>SUM(N59:Q59)</f>
        <v>395689</v>
      </c>
      <c r="AT59" s="118">
        <f>SUM(R59:U59)</f>
        <v>468785</v>
      </c>
      <c r="AU59" s="118">
        <v>353736</v>
      </c>
      <c r="AV59" s="118">
        <v>311393</v>
      </c>
      <c r="AW59" s="103">
        <v>413223</v>
      </c>
      <c r="AX59" s="103">
        <v>431274</v>
      </c>
      <c r="AY59" s="37">
        <v>363542</v>
      </c>
      <c r="AZ59" s="37">
        <v>274358</v>
      </c>
      <c r="BA59" s="37">
        <v>271025</v>
      </c>
      <c r="BB59" s="105"/>
      <c r="BC59" s="91"/>
      <c r="BG59" s="3"/>
    </row>
    <row r="60" spans="1:59" x14ac:dyDescent="0.2">
      <c r="A60" s="44"/>
      <c r="B60" s="496" t="s">
        <v>69</v>
      </c>
      <c r="C60" s="97" t="e">
        <f>I60-M60</f>
        <v>#REF!</v>
      </c>
      <c r="D60" s="98" t="e">
        <f>IF(OR((C60/M60)&gt;3,(C60/M60)&lt;-3),"n.m.",(C60/M60))</f>
        <v>#REF!</v>
      </c>
      <c r="E60" s="356"/>
      <c r="F60" s="270" t="e">
        <f t="shared" ref="F60:M60" si="35">+F58-F59</f>
        <v>#REF!</v>
      </c>
      <c r="G60" s="270" t="e">
        <f t="shared" si="35"/>
        <v>#REF!</v>
      </c>
      <c r="H60" s="270" t="e">
        <f t="shared" si="35"/>
        <v>#REF!</v>
      </c>
      <c r="I60" s="254" t="e">
        <f t="shared" si="35"/>
        <v>#REF!</v>
      </c>
      <c r="J60" s="270" t="e">
        <f t="shared" si="35"/>
        <v>#REF!</v>
      </c>
      <c r="K60" s="270" t="e">
        <f t="shared" si="35"/>
        <v>#REF!</v>
      </c>
      <c r="L60" s="270" t="e">
        <f t="shared" si="35"/>
        <v>#REF!</v>
      </c>
      <c r="M60" s="254" t="e">
        <f t="shared" si="35"/>
        <v>#REF!</v>
      </c>
      <c r="N60" s="270" t="e">
        <f t="shared" ref="N60:U60" si="36">N58-N59</f>
        <v>#REF!</v>
      </c>
      <c r="O60" s="270" t="e">
        <f>O58-O59</f>
        <v>#REF!</v>
      </c>
      <c r="P60" s="270" t="e">
        <f>P58-P59</f>
        <v>#REF!</v>
      </c>
      <c r="Q60" s="254" t="e">
        <f t="shared" si="36"/>
        <v>#REF!</v>
      </c>
      <c r="R60" s="270" t="e">
        <f t="shared" si="36"/>
        <v>#REF!</v>
      </c>
      <c r="S60" s="270" t="e">
        <f t="shared" si="36"/>
        <v>#REF!</v>
      </c>
      <c r="T60" s="270" t="e">
        <f t="shared" si="36"/>
        <v>#REF!</v>
      </c>
      <c r="U60" s="254">
        <f t="shared" si="36"/>
        <v>15877</v>
      </c>
      <c r="V60" s="270">
        <v>5245</v>
      </c>
      <c r="W60" s="270">
        <v>17106</v>
      </c>
      <c r="X60" s="270">
        <v>3518</v>
      </c>
      <c r="Y60" s="254">
        <v>9167</v>
      </c>
      <c r="Z60" s="270">
        <v>6903</v>
      </c>
      <c r="AA60" s="270">
        <v>-14148</v>
      </c>
      <c r="AB60" s="270">
        <v>4047</v>
      </c>
      <c r="AC60" s="270">
        <v>12169</v>
      </c>
      <c r="AD60" s="277">
        <v>16860</v>
      </c>
      <c r="AE60" s="270">
        <v>20223</v>
      </c>
      <c r="AF60" s="270">
        <v>21932</v>
      </c>
      <c r="AG60" s="270">
        <v>36828</v>
      </c>
      <c r="AH60" s="277">
        <v>34885</v>
      </c>
      <c r="AI60" s="146">
        <v>27748</v>
      </c>
      <c r="AJ60" s="146">
        <v>15706</v>
      </c>
      <c r="AK60" s="146">
        <v>20374</v>
      </c>
      <c r="AL60" s="47"/>
      <c r="AM60" s="155" t="e">
        <f>AM58-AM59</f>
        <v>#REF!</v>
      </c>
      <c r="AN60" s="243" t="e">
        <f>AN58-AN59</f>
        <v>#REF!</v>
      </c>
      <c r="AO60" s="248" t="e">
        <f>AR60-AS60</f>
        <v>#REF!</v>
      </c>
      <c r="AP60" s="322" t="e">
        <f>IF(OR((AO60/AS60)&gt;3,(AO60/AS60)&lt;-3),"n.m.",(AO60/AS60))</f>
        <v>#REF!</v>
      </c>
      <c r="AQ60" s="44"/>
      <c r="AR60" s="128" t="e">
        <f>SUM(J60:M60)</f>
        <v>#REF!</v>
      </c>
      <c r="AS60" s="128" t="e">
        <f>AS58-AS59</f>
        <v>#REF!</v>
      </c>
      <c r="AT60" s="128" t="e">
        <f>SUM(R60:U60)</f>
        <v>#REF!</v>
      </c>
      <c r="AU60" s="128">
        <v>35036</v>
      </c>
      <c r="AV60" s="128">
        <v>8971</v>
      </c>
      <c r="AW60" s="255">
        <v>95843</v>
      </c>
      <c r="AX60" s="255">
        <v>99218</v>
      </c>
      <c r="AY60" s="255">
        <f>AY58-AY59</f>
        <v>74012</v>
      </c>
      <c r="AZ60" s="255">
        <f>AZ58-AZ59</f>
        <v>42330</v>
      </c>
      <c r="BA60" s="102">
        <v>46643</v>
      </c>
      <c r="BB60" s="105"/>
      <c r="BC60" s="91"/>
      <c r="BG60" s="3"/>
    </row>
    <row r="61" spans="1:59" ht="12.75" customHeight="1" x14ac:dyDescent="0.2">
      <c r="A61" s="44"/>
      <c r="B61" s="44"/>
      <c r="C61" s="96"/>
      <c r="D61" s="9"/>
      <c r="E61" s="9"/>
      <c r="F61" s="9"/>
      <c r="G61" s="9"/>
      <c r="H61" s="9"/>
      <c r="I61" s="483"/>
      <c r="J61" s="9"/>
      <c r="K61" s="9"/>
      <c r="L61" s="9"/>
      <c r="M61" s="483"/>
      <c r="N61" s="9"/>
      <c r="O61" s="9"/>
      <c r="P61" s="9"/>
      <c r="Q61" s="91"/>
      <c r="R61" s="9"/>
      <c r="S61" s="9"/>
      <c r="T61" s="9"/>
      <c r="U61" s="91"/>
      <c r="V61" s="9"/>
      <c r="W61" s="9"/>
      <c r="X61" s="9"/>
      <c r="Y61" s="91"/>
      <c r="Z61" s="9"/>
      <c r="AA61" s="9"/>
      <c r="AB61" s="9"/>
      <c r="AC61" s="91"/>
      <c r="AD61" s="44"/>
      <c r="AE61" s="44"/>
      <c r="AF61" s="44"/>
      <c r="AG61" s="44"/>
      <c r="AH61" s="44"/>
      <c r="AI61" s="44"/>
      <c r="AJ61" s="44"/>
      <c r="AK61" s="44"/>
      <c r="AL61" s="91"/>
      <c r="AM61" s="91"/>
      <c r="AN61" s="91"/>
      <c r="AO61" s="96"/>
      <c r="AP61" s="9"/>
      <c r="AQ61" s="91"/>
      <c r="AR61" s="483"/>
      <c r="AS61" s="91"/>
      <c r="AT61" s="91"/>
      <c r="AU61" s="91"/>
      <c r="AV61" s="91"/>
      <c r="AW61" s="44"/>
      <c r="AX61" s="44"/>
      <c r="AY61" s="216"/>
      <c r="AZ61" s="216"/>
      <c r="BA61" s="216"/>
      <c r="BB61" s="91"/>
      <c r="BC61" s="91"/>
      <c r="BG61" s="3"/>
    </row>
    <row r="62" spans="1:59" ht="12.75" customHeight="1" x14ac:dyDescent="0.2">
      <c r="A62" s="44"/>
      <c r="B62" s="88" t="s">
        <v>72</v>
      </c>
      <c r="C62" s="135" t="e">
        <f>(I62-M62)*100</f>
        <v>#REF!</v>
      </c>
      <c r="D62" s="9"/>
      <c r="E62" s="9"/>
      <c r="F62" s="9" t="e">
        <f t="shared" ref="F62:K62" si="37">(F59-F20-F21)/F16</f>
        <v>#REF!</v>
      </c>
      <c r="G62" s="9" t="e">
        <f t="shared" si="37"/>
        <v>#REF!</v>
      </c>
      <c r="H62" s="9" t="e">
        <f t="shared" si="37"/>
        <v>#REF!</v>
      </c>
      <c r="I62" s="9" t="e">
        <f t="shared" si="37"/>
        <v>#REF!</v>
      </c>
      <c r="J62" s="9" t="e">
        <f t="shared" si="37"/>
        <v>#REF!</v>
      </c>
      <c r="K62" s="9" t="e">
        <f t="shared" si="37"/>
        <v>#REF!</v>
      </c>
      <c r="L62" s="9" t="e">
        <f t="shared" ref="L62:U62" si="38">(L59-L20-L21)/L16</f>
        <v>#REF!</v>
      </c>
      <c r="M62" s="9" t="e">
        <f t="shared" si="38"/>
        <v>#REF!</v>
      </c>
      <c r="N62" s="9" t="e">
        <f t="shared" si="38"/>
        <v>#REF!</v>
      </c>
      <c r="O62" s="9" t="e">
        <f t="shared" si="38"/>
        <v>#REF!</v>
      </c>
      <c r="P62" s="9" t="e">
        <f t="shared" si="38"/>
        <v>#REF!</v>
      </c>
      <c r="Q62" s="9" t="e">
        <f t="shared" si="38"/>
        <v>#REF!</v>
      </c>
      <c r="R62" s="9" t="e">
        <f t="shared" si="38"/>
        <v>#REF!</v>
      </c>
      <c r="S62" s="9" t="e">
        <f t="shared" si="38"/>
        <v>#REF!</v>
      </c>
      <c r="T62" s="9" t="e">
        <f t="shared" si="38"/>
        <v>#REF!</v>
      </c>
      <c r="U62" s="9">
        <f t="shared" si="38"/>
        <v>0.27150700527001964</v>
      </c>
      <c r="V62" s="9">
        <v>0.31398053498194284</v>
      </c>
      <c r="W62" s="9">
        <v>0.23753094009350784</v>
      </c>
      <c r="X62" s="9">
        <v>0.31925748200530368</v>
      </c>
      <c r="Y62" s="9">
        <v>0.27244296859007894</v>
      </c>
      <c r="Z62" s="9">
        <v>0.33500494614200921</v>
      </c>
      <c r="AA62" s="9">
        <v>0.58068586441732639</v>
      </c>
      <c r="AB62" s="9">
        <v>0.36575851393188852</v>
      </c>
      <c r="AC62" s="9">
        <v>0.29228126894322087</v>
      </c>
      <c r="AD62" s="32">
        <v>0.31506560674264916</v>
      </c>
      <c r="AE62" s="32">
        <v>0.28772521622356156</v>
      </c>
      <c r="AF62" s="32">
        <v>0.27809848646344065</v>
      </c>
      <c r="AG62" s="32">
        <v>0.21399999999999997</v>
      </c>
      <c r="AH62" s="32">
        <v>0.19700000000000006</v>
      </c>
      <c r="AI62" s="32">
        <v>0.22300000000000009</v>
      </c>
      <c r="AJ62" s="32">
        <v>0.28700000000000003</v>
      </c>
      <c r="AK62" s="32">
        <v>0.28100000000000003</v>
      </c>
      <c r="AL62" s="91"/>
      <c r="AM62" s="9" t="e">
        <f>(AM59-AM20-AM21)/AM16</f>
        <v>#REF!</v>
      </c>
      <c r="AN62" s="9" t="e">
        <f>(AN59-AN20-AN21)/AN16</f>
        <v>#REF!</v>
      </c>
      <c r="AO62" s="104" t="e">
        <f>(AR62-AS62)*100</f>
        <v>#REF!</v>
      </c>
      <c r="AP62" s="9"/>
      <c r="AQ62" s="91"/>
      <c r="AR62" s="9" t="e">
        <f>(AR59-AR20-AR21)/AR16</f>
        <v>#REF!</v>
      </c>
      <c r="AS62" s="9" t="e">
        <f>(AS59-AS20-AS21)/AS16</f>
        <v>#REF!</v>
      </c>
      <c r="AT62" s="9">
        <f>(AT59-AT20-AT21)/AT16</f>
        <v>0.22322222147969448</v>
      </c>
      <c r="AU62" s="32">
        <v>0.28134999434115626</v>
      </c>
      <c r="AV62" s="32">
        <v>0.37250127979423409</v>
      </c>
      <c r="AW62" s="32">
        <v>0.26781362993240054</v>
      </c>
      <c r="AX62" s="32">
        <v>0.24299999999999999</v>
      </c>
      <c r="AY62" s="222">
        <v>0.24</v>
      </c>
      <c r="AZ62" s="222">
        <v>0.26200000000000001</v>
      </c>
      <c r="BA62" s="222">
        <v>0.23499999999999999</v>
      </c>
      <c r="BB62" s="91"/>
      <c r="BC62" s="91"/>
      <c r="BG62" s="3"/>
    </row>
    <row r="63" spans="1:59" ht="12.75" customHeight="1" x14ac:dyDescent="0.2">
      <c r="A63" s="44"/>
      <c r="B63" s="88" t="s">
        <v>73</v>
      </c>
      <c r="C63" s="135" t="e">
        <f>(I63-M63)*100</f>
        <v>#REF!</v>
      </c>
      <c r="D63" s="9"/>
      <c r="E63" s="9"/>
      <c r="F63" s="9" t="e">
        <f t="shared" ref="F63:K63" si="39">F59/F58</f>
        <v>#REF!</v>
      </c>
      <c r="G63" s="9" t="e">
        <f t="shared" si="39"/>
        <v>#REF!</v>
      </c>
      <c r="H63" s="9" t="e">
        <f t="shared" si="39"/>
        <v>#REF!</v>
      </c>
      <c r="I63" s="9" t="e">
        <f t="shared" si="39"/>
        <v>#REF!</v>
      </c>
      <c r="J63" s="9" t="e">
        <f t="shared" si="39"/>
        <v>#REF!</v>
      </c>
      <c r="K63" s="9" t="e">
        <f t="shared" si="39"/>
        <v>#REF!</v>
      </c>
      <c r="L63" s="9" t="e">
        <f t="shared" ref="L63:Q63" si="40">L59/L58</f>
        <v>#REF!</v>
      </c>
      <c r="M63" s="9" t="e">
        <f t="shared" si="40"/>
        <v>#REF!</v>
      </c>
      <c r="N63" s="9" t="e">
        <f t="shared" si="40"/>
        <v>#REF!</v>
      </c>
      <c r="O63" s="9" t="e">
        <f t="shared" si="40"/>
        <v>#REF!</v>
      </c>
      <c r="P63" s="9" t="e">
        <f t="shared" si="40"/>
        <v>#REF!</v>
      </c>
      <c r="Q63" s="9" t="e">
        <f t="shared" si="40"/>
        <v>#REF!</v>
      </c>
      <c r="R63" s="9" t="e">
        <f>R59/R58</f>
        <v>#REF!</v>
      </c>
      <c r="S63" s="9" t="e">
        <f>S59/S58</f>
        <v>#REF!</v>
      </c>
      <c r="T63" s="9" t="e">
        <f>T59/T58</f>
        <v>#REF!</v>
      </c>
      <c r="U63" s="9">
        <f>U59/U58</f>
        <v>0.85422978754659473</v>
      </c>
      <c r="V63" s="9">
        <v>0.94649160392564935</v>
      </c>
      <c r="W63" s="9">
        <v>0.86163104848494654</v>
      </c>
      <c r="X63" s="9">
        <v>0.95557519888874853</v>
      </c>
      <c r="Y63" s="9">
        <v>0.89475135897377578</v>
      </c>
      <c r="Z63" s="9">
        <v>0.90515772697296104</v>
      </c>
      <c r="AA63" s="9">
        <v>1.2454627164932417</v>
      </c>
      <c r="AB63" s="9">
        <v>0.95019195046439631</v>
      </c>
      <c r="AC63" s="9">
        <v>0.88841639265967409</v>
      </c>
      <c r="AD63" s="32">
        <v>0.8387798103629921</v>
      </c>
      <c r="AE63" s="32">
        <v>0.83857172547201486</v>
      </c>
      <c r="AF63" s="32">
        <v>0.81369430824984013</v>
      </c>
      <c r="AG63" s="32">
        <v>0.77300000000000002</v>
      </c>
      <c r="AH63" s="32">
        <v>0.77300000000000002</v>
      </c>
      <c r="AI63" s="32">
        <v>0.79400000000000004</v>
      </c>
      <c r="AJ63" s="32">
        <v>0.85499999999999998</v>
      </c>
      <c r="AK63" s="32">
        <v>0.84699999999999998</v>
      </c>
      <c r="AL63" s="91"/>
      <c r="AM63" s="9" t="e">
        <f>AM59/AM58</f>
        <v>#REF!</v>
      </c>
      <c r="AN63" s="9" t="e">
        <f>AN59/AN58</f>
        <v>#REF!</v>
      </c>
      <c r="AO63" s="104" t="e">
        <f>(AR63-AS63)*100</f>
        <v>#REF!</v>
      </c>
      <c r="AP63" s="9"/>
      <c r="AQ63" s="91"/>
      <c r="AR63" s="9" t="e">
        <f>AR59/AR58</f>
        <v>#REF!</v>
      </c>
      <c r="AS63" s="9" t="e">
        <f>AS59/AS58</f>
        <v>#REF!</v>
      </c>
      <c r="AT63" s="9" t="e">
        <f>AT59/AT58</f>
        <v>#REF!</v>
      </c>
      <c r="AU63" s="32">
        <v>0.90888034117683369</v>
      </c>
      <c r="AV63" s="32">
        <v>0.9719974778689241</v>
      </c>
      <c r="AW63" s="32">
        <v>0.81202444584184874</v>
      </c>
      <c r="AX63" s="32">
        <v>0.81399999999999995</v>
      </c>
      <c r="AY63" s="222">
        <v>0.83099999999999996</v>
      </c>
      <c r="AZ63" s="222">
        <v>0.86599999999999999</v>
      </c>
      <c r="BA63" s="222">
        <v>0.85299999999999998</v>
      </c>
      <c r="BB63" s="91"/>
      <c r="BC63" s="91"/>
      <c r="BG63" s="3"/>
    </row>
    <row r="64" spans="1:59" ht="12.75" customHeight="1" x14ac:dyDescent="0.2">
      <c r="A64" s="44"/>
      <c r="B64" s="88" t="s">
        <v>74</v>
      </c>
      <c r="C64" s="135" t="e">
        <f>(I64-M64)*100</f>
        <v>#REF!</v>
      </c>
      <c r="D64" s="9"/>
      <c r="E64" s="9"/>
      <c r="F64" s="9" t="e">
        <f t="shared" ref="F64:K64" si="41">F60/F58</f>
        <v>#REF!</v>
      </c>
      <c r="G64" s="9" t="e">
        <f t="shared" si="41"/>
        <v>#REF!</v>
      </c>
      <c r="H64" s="9" t="e">
        <f t="shared" si="41"/>
        <v>#REF!</v>
      </c>
      <c r="I64" s="9" t="e">
        <f t="shared" si="41"/>
        <v>#REF!</v>
      </c>
      <c r="J64" s="9" t="e">
        <f t="shared" si="41"/>
        <v>#REF!</v>
      </c>
      <c r="K64" s="9" t="e">
        <f t="shared" si="41"/>
        <v>#REF!</v>
      </c>
      <c r="L64" s="9" t="e">
        <f t="shared" ref="L64:Q64" si="42">L60/L58</f>
        <v>#REF!</v>
      </c>
      <c r="M64" s="9" t="e">
        <f t="shared" si="42"/>
        <v>#REF!</v>
      </c>
      <c r="N64" s="9" t="e">
        <f t="shared" si="42"/>
        <v>#REF!</v>
      </c>
      <c r="O64" s="9" t="e">
        <f t="shared" si="42"/>
        <v>#REF!</v>
      </c>
      <c r="P64" s="9" t="e">
        <f t="shared" si="42"/>
        <v>#REF!</v>
      </c>
      <c r="Q64" s="9" t="e">
        <f t="shared" si="42"/>
        <v>#REF!</v>
      </c>
      <c r="R64" s="9" t="e">
        <f>R60/R58</f>
        <v>#REF!</v>
      </c>
      <c r="S64" s="9" t="e">
        <f>S60/S58</f>
        <v>#REF!</v>
      </c>
      <c r="T64" s="9" t="e">
        <f>T60/T58</f>
        <v>#REF!</v>
      </c>
      <c r="U64" s="9">
        <f>U60/U58</f>
        <v>0.14577021245340532</v>
      </c>
      <c r="V64" s="9">
        <v>5.3508396074350657E-2</v>
      </c>
      <c r="W64" s="9">
        <v>0.13836895151505346</v>
      </c>
      <c r="X64" s="9">
        <v>4.4424801111251418E-2</v>
      </c>
      <c r="Y64" s="9">
        <v>0.10424864102622422</v>
      </c>
      <c r="Z64" s="9">
        <v>9.4842273027038904E-2</v>
      </c>
      <c r="AA64" s="9">
        <v>-0.24546271649324161</v>
      </c>
      <c r="AB64" s="9">
        <v>4.9808049535603714E-2</v>
      </c>
      <c r="AC64" s="9">
        <v>0.11158360734032587</v>
      </c>
      <c r="AD64" s="32">
        <v>0.16122018963700796</v>
      </c>
      <c r="AE64" s="32">
        <v>0.16142827452798517</v>
      </c>
      <c r="AF64" s="32">
        <v>0.18630569175015987</v>
      </c>
      <c r="AG64" s="32">
        <v>0.22699999999999998</v>
      </c>
      <c r="AH64" s="32">
        <v>0.22699999999999998</v>
      </c>
      <c r="AI64" s="32">
        <v>0.20599999999999996</v>
      </c>
      <c r="AJ64" s="32">
        <v>0.14499999999999999</v>
      </c>
      <c r="AK64" s="32">
        <v>0.15300000000000002</v>
      </c>
      <c r="AL64" s="91"/>
      <c r="AM64" s="9" t="e">
        <f>AM60/AM58</f>
        <v>#REF!</v>
      </c>
      <c r="AN64" s="9" t="e">
        <f>AN60/AN58</f>
        <v>#REF!</v>
      </c>
      <c r="AO64" s="104" t="e">
        <f>(AR64-AS64)*100</f>
        <v>#REF!</v>
      </c>
      <c r="AP64" s="9"/>
      <c r="AQ64" s="91"/>
      <c r="AR64" s="9" t="e">
        <f>AR60/AR58</f>
        <v>#REF!</v>
      </c>
      <c r="AS64" s="9" t="e">
        <f>AS60/AS58</f>
        <v>#REF!</v>
      </c>
      <c r="AT64" s="9" t="e">
        <f>AT60/AT58</f>
        <v>#REF!</v>
      </c>
      <c r="AU64" s="32">
        <v>9.0119658823166277E-2</v>
      </c>
      <c r="AV64" s="32">
        <v>2.8002522131075902E-2</v>
      </c>
      <c r="AW64" s="32">
        <v>0.18797555415815123</v>
      </c>
      <c r="AX64" s="32">
        <v>0.18600000000000005</v>
      </c>
      <c r="AY64" s="222">
        <v>0.16900000000000004</v>
      </c>
      <c r="AZ64" s="222">
        <v>0.13400000000000001</v>
      </c>
      <c r="BA64" s="222">
        <v>0.14700000000000002</v>
      </c>
      <c r="BB64" s="91"/>
      <c r="BC64" s="91"/>
    </row>
    <row r="65" spans="1:55" ht="12.75" customHeight="1" x14ac:dyDescent="0.2">
      <c r="A65" s="44"/>
      <c r="B65" s="88"/>
      <c r="C65" s="135"/>
      <c r="D65" s="9"/>
      <c r="E65" s="9"/>
      <c r="F65" s="9"/>
      <c r="G65" s="9"/>
      <c r="H65" s="9"/>
      <c r="I65" s="9"/>
      <c r="J65" s="9"/>
      <c r="K65" s="9"/>
      <c r="L65" s="9"/>
      <c r="M65" s="9"/>
      <c r="N65" s="9"/>
      <c r="O65" s="9"/>
      <c r="P65" s="9"/>
      <c r="Q65" s="9"/>
      <c r="R65" s="9"/>
      <c r="S65" s="9"/>
      <c r="T65" s="9"/>
      <c r="U65" s="9"/>
      <c r="V65" s="9"/>
      <c r="W65" s="9"/>
      <c r="X65" s="9"/>
      <c r="Y65" s="9"/>
      <c r="Z65" s="9"/>
      <c r="AA65" s="9"/>
      <c r="AB65" s="9"/>
      <c r="AC65" s="9"/>
      <c r="AD65" s="32"/>
      <c r="AE65" s="32"/>
      <c r="AF65" s="32"/>
      <c r="AG65" s="32"/>
      <c r="AH65" s="32"/>
      <c r="AI65" s="32"/>
      <c r="AJ65" s="32"/>
      <c r="AK65" s="32"/>
      <c r="AL65" s="91"/>
      <c r="AM65" s="91"/>
      <c r="AN65" s="91"/>
      <c r="AO65" s="135"/>
      <c r="AP65" s="9"/>
      <c r="AQ65" s="91"/>
      <c r="AR65" s="32"/>
      <c r="AS65" s="32"/>
      <c r="AT65" s="32"/>
      <c r="AU65" s="32"/>
      <c r="AV65" s="32"/>
      <c r="AW65" s="32"/>
      <c r="AX65" s="32"/>
      <c r="AY65" s="222"/>
      <c r="AZ65" s="222"/>
      <c r="BA65" s="222"/>
      <c r="BB65" s="91"/>
      <c r="BC65" s="91"/>
    </row>
    <row r="66" spans="1:55" ht="12.75" customHeight="1" x14ac:dyDescent="0.2">
      <c r="A66" s="10" t="s">
        <v>177</v>
      </c>
      <c r="B66" s="88"/>
      <c r="C66" s="91"/>
      <c r="D66" s="91"/>
      <c r="E66" s="91"/>
      <c r="F66" s="483"/>
      <c r="G66" s="483"/>
      <c r="H66" s="483"/>
      <c r="I66" s="483"/>
      <c r="J66" s="483"/>
      <c r="K66" s="483"/>
      <c r="L66" s="483"/>
      <c r="M66" s="483"/>
      <c r="N66" s="91"/>
      <c r="O66" s="91"/>
      <c r="P66" s="91"/>
      <c r="Q66" s="91"/>
      <c r="R66" s="91"/>
      <c r="S66" s="91"/>
      <c r="T66" s="91"/>
      <c r="U66" s="91"/>
      <c r="V66" s="91"/>
      <c r="W66" s="91"/>
      <c r="X66" s="91"/>
      <c r="Y66" s="91"/>
      <c r="Z66" s="265"/>
      <c r="AA66" s="91"/>
      <c r="AB66" s="91"/>
      <c r="AC66" s="91"/>
      <c r="AD66" s="91"/>
      <c r="AE66" s="91"/>
      <c r="AF66" s="91"/>
      <c r="AG66" s="6"/>
      <c r="AH66" s="91"/>
      <c r="AI66" s="6"/>
      <c r="AJ66" s="6"/>
      <c r="AK66" s="91"/>
      <c r="AL66" s="91"/>
      <c r="AM66" s="91"/>
      <c r="AN66" s="91"/>
      <c r="AO66" s="91"/>
      <c r="AP66" s="91"/>
      <c r="AQ66" s="91"/>
      <c r="AR66" s="483"/>
      <c r="AS66" s="91"/>
      <c r="AT66" s="91"/>
      <c r="AU66" s="91"/>
      <c r="AV66" s="91"/>
      <c r="AW66" s="91"/>
      <c r="AX66" s="91"/>
      <c r="AY66" s="28"/>
      <c r="AZ66" s="222"/>
      <c r="BA66" s="222"/>
      <c r="BB66" s="91"/>
      <c r="BC66" s="91"/>
    </row>
    <row r="67" spans="1:55" ht="12.75" customHeight="1" x14ac:dyDescent="0.2">
      <c r="C67" s="2431" t="s">
        <v>293</v>
      </c>
      <c r="D67" s="2432"/>
      <c r="E67" s="184"/>
      <c r="F67" s="273"/>
      <c r="G67" s="273"/>
      <c r="H67" s="273"/>
      <c r="I67" s="17"/>
      <c r="J67" s="273"/>
      <c r="K67" s="273"/>
      <c r="L67" s="273"/>
      <c r="M67" s="17"/>
      <c r="N67" s="15"/>
      <c r="O67" s="16"/>
      <c r="P67" s="273"/>
      <c r="Q67" s="17"/>
      <c r="R67" s="15"/>
      <c r="S67" s="16"/>
      <c r="T67" s="273"/>
      <c r="U67" s="17"/>
      <c r="V67" s="481"/>
      <c r="W67" s="16"/>
      <c r="X67" s="2"/>
      <c r="Y67" s="17"/>
      <c r="Z67" s="16"/>
      <c r="AA67" s="481"/>
      <c r="AB67" s="273"/>
      <c r="AC67" s="17"/>
      <c r="AD67" s="16"/>
      <c r="AE67" s="16"/>
      <c r="AF67" s="16"/>
      <c r="AG67" s="16"/>
      <c r="AH67" s="20"/>
      <c r="AI67" s="17"/>
      <c r="AJ67" s="17"/>
      <c r="AK67" s="17"/>
      <c r="AL67" s="22"/>
      <c r="AM67" s="445" t="s">
        <v>281</v>
      </c>
      <c r="AN67" s="433"/>
      <c r="AO67" s="433" t="s">
        <v>266</v>
      </c>
      <c r="AP67" s="434"/>
      <c r="AQ67" s="91"/>
      <c r="AR67" s="46"/>
      <c r="AS67" s="46"/>
      <c r="AT67" s="46"/>
      <c r="AU67" s="46"/>
      <c r="AV67" s="46"/>
      <c r="AW67" s="124"/>
      <c r="AX67" s="124"/>
      <c r="AY67" s="46"/>
      <c r="AZ67" s="222"/>
      <c r="BA67" s="222"/>
      <c r="BB67" s="105"/>
      <c r="BC67" s="91"/>
    </row>
    <row r="68" spans="1:55" ht="12.75" customHeight="1" x14ac:dyDescent="0.2">
      <c r="C68" s="2433" t="s">
        <v>35</v>
      </c>
      <c r="D68" s="2434"/>
      <c r="E68" s="355"/>
      <c r="F68" s="19" t="s">
        <v>296</v>
      </c>
      <c r="G68" s="19" t="s">
        <v>295</v>
      </c>
      <c r="H68" s="19" t="s">
        <v>294</v>
      </c>
      <c r="I68" s="12" t="s">
        <v>292</v>
      </c>
      <c r="J68" s="19" t="s">
        <v>252</v>
      </c>
      <c r="K68" s="19" t="s">
        <v>253</v>
      </c>
      <c r="L68" s="19" t="s">
        <v>254</v>
      </c>
      <c r="M68" s="12" t="s">
        <v>255</v>
      </c>
      <c r="N68" s="18" t="s">
        <v>202</v>
      </c>
      <c r="O68" s="19" t="s">
        <v>203</v>
      </c>
      <c r="P68" s="19" t="s">
        <v>204</v>
      </c>
      <c r="Q68" s="12" t="s">
        <v>201</v>
      </c>
      <c r="R68" s="18" t="s">
        <v>173</v>
      </c>
      <c r="S68" s="19" t="s">
        <v>174</v>
      </c>
      <c r="T68" s="19" t="s">
        <v>175</v>
      </c>
      <c r="U68" s="12" t="s">
        <v>176</v>
      </c>
      <c r="V68" s="19" t="s">
        <v>109</v>
      </c>
      <c r="W68" s="19" t="s">
        <v>108</v>
      </c>
      <c r="X68" s="19" t="s">
        <v>107</v>
      </c>
      <c r="Y68" s="12" t="s">
        <v>106</v>
      </c>
      <c r="Z68" s="19" t="s">
        <v>78</v>
      </c>
      <c r="AA68" s="19" t="s">
        <v>79</v>
      </c>
      <c r="AB68" s="19" t="s">
        <v>80</v>
      </c>
      <c r="AC68" s="12" t="s">
        <v>26</v>
      </c>
      <c r="AD68" s="19" t="s">
        <v>27</v>
      </c>
      <c r="AE68" s="19" t="s">
        <v>28</v>
      </c>
      <c r="AF68" s="19" t="s">
        <v>29</v>
      </c>
      <c r="AG68" s="19" t="s">
        <v>30</v>
      </c>
      <c r="AH68" s="21" t="s">
        <v>31</v>
      </c>
      <c r="AI68" s="12" t="s">
        <v>32</v>
      </c>
      <c r="AJ68" s="12" t="s">
        <v>33</v>
      </c>
      <c r="AK68" s="12" t="s">
        <v>34</v>
      </c>
      <c r="AL68" s="184"/>
      <c r="AM68" s="19" t="s">
        <v>253</v>
      </c>
      <c r="AN68" s="19" t="s">
        <v>203</v>
      </c>
      <c r="AO68" s="2436" t="s">
        <v>35</v>
      </c>
      <c r="AP68" s="2437"/>
      <c r="AQ68" s="91"/>
      <c r="AR68" s="18" t="s">
        <v>257</v>
      </c>
      <c r="AS68" s="18" t="s">
        <v>206</v>
      </c>
      <c r="AT68" s="18" t="s">
        <v>111</v>
      </c>
      <c r="AU68" s="18" t="s">
        <v>110</v>
      </c>
      <c r="AV68" s="18" t="s">
        <v>39</v>
      </c>
      <c r="AW68" s="21" t="s">
        <v>36</v>
      </c>
      <c r="AX68" s="21" t="s">
        <v>37</v>
      </c>
      <c r="AY68" s="21" t="s">
        <v>128</v>
      </c>
      <c r="AZ68" s="222"/>
      <c r="BA68" s="222"/>
      <c r="BB68" s="105"/>
      <c r="BC68" s="91"/>
    </row>
    <row r="69" spans="1:55" ht="12.75" customHeight="1" x14ac:dyDescent="0.2">
      <c r="A69" s="44"/>
      <c r="B69" s="6" t="s">
        <v>282</v>
      </c>
      <c r="C69" s="45">
        <f t="shared" ref="C69:C75" si="43">I69-M69</f>
        <v>-4681</v>
      </c>
      <c r="D69" s="39">
        <f t="shared" ref="D69:D75" si="44">IF(OR((C69/M69)&gt;3,(C69/M69)&lt;-3),"n.m.",(C69/M69))</f>
        <v>-0.11540927021696253</v>
      </c>
      <c r="E69" s="47"/>
      <c r="F69" s="488"/>
      <c r="G69" s="488"/>
      <c r="H69" s="488"/>
      <c r="I69" s="109">
        <v>35879</v>
      </c>
      <c r="J69" s="488">
        <v>33903</v>
      </c>
      <c r="K69" s="488">
        <v>38555</v>
      </c>
      <c r="L69" s="488">
        <v>39686</v>
      </c>
      <c r="M69" s="109">
        <v>40560</v>
      </c>
      <c r="N69" s="140">
        <v>55318</v>
      </c>
      <c r="O69" s="140">
        <v>42584</v>
      </c>
      <c r="P69" s="140">
        <v>45125</v>
      </c>
      <c r="Q69" s="109">
        <v>44915</v>
      </c>
      <c r="R69" s="140">
        <v>61873</v>
      </c>
      <c r="S69" s="140">
        <v>67349</v>
      </c>
      <c r="T69" s="140">
        <v>44815</v>
      </c>
      <c r="U69" s="109">
        <v>44827</v>
      </c>
      <c r="V69" s="140">
        <v>49348</v>
      </c>
      <c r="W69" s="140">
        <v>47003</v>
      </c>
      <c r="X69" s="140">
        <v>43321</v>
      </c>
      <c r="Y69" s="109">
        <v>42012</v>
      </c>
      <c r="Z69" s="140">
        <v>35191</v>
      </c>
      <c r="AA69" s="140">
        <v>39059</v>
      </c>
      <c r="AB69" s="109">
        <v>44316</v>
      </c>
      <c r="AC69" s="109">
        <v>54791</v>
      </c>
      <c r="AD69" s="252">
        <v>29584</v>
      </c>
      <c r="AE69" s="91"/>
      <c r="AF69" s="91"/>
      <c r="AG69" s="6"/>
      <c r="AH69" s="91"/>
      <c r="AI69" s="6"/>
      <c r="AJ69" s="6"/>
      <c r="AK69" s="91"/>
      <c r="AL69" s="47"/>
      <c r="AM69" s="235">
        <f t="shared" ref="AM69:AM74" si="45">SUM(K69:M69)</f>
        <v>118801</v>
      </c>
      <c r="AN69" s="235">
        <f t="shared" ref="AN69:AN74" si="46">SUM(O69:Q69)</f>
        <v>132624</v>
      </c>
      <c r="AO69" s="358">
        <f t="shared" ref="AO69:AO75" si="47">AR69-AS69</f>
        <v>-35238</v>
      </c>
      <c r="AP69" s="247">
        <f t="shared" ref="AP69:AP75" si="48">IF(OR((AO69/AS69)&gt;3,(AO69/AS69)&lt;-3),"n.m.",(AO69/AS69))</f>
        <v>-0.1874940141107363</v>
      </c>
      <c r="AQ69" s="91"/>
      <c r="AR69" s="487">
        <f t="shared" ref="AR69:AR74" si="49">SUM(J69:M69)</f>
        <v>152704</v>
      </c>
      <c r="AS69" s="129">
        <f t="shared" ref="AS69:AS74" si="50">SUM(N69:Q69)</f>
        <v>187942</v>
      </c>
      <c r="AT69" s="37">
        <v>218864</v>
      </c>
      <c r="AU69" s="37">
        <v>181684</v>
      </c>
      <c r="AV69" s="37">
        <v>173357</v>
      </c>
      <c r="AW69" s="37">
        <v>234389</v>
      </c>
      <c r="AX69" s="37">
        <v>245369</v>
      </c>
      <c r="AY69" s="224">
        <v>203714</v>
      </c>
      <c r="AZ69" s="222"/>
      <c r="BA69" s="222"/>
      <c r="BB69" s="105"/>
      <c r="BC69" s="91"/>
    </row>
    <row r="70" spans="1:55" ht="12.75" customHeight="1" x14ac:dyDescent="0.2">
      <c r="A70" s="44"/>
      <c r="B70" s="6" t="s">
        <v>57</v>
      </c>
      <c r="C70" s="45">
        <f t="shared" si="43"/>
        <v>-6612</v>
      </c>
      <c r="D70" s="39">
        <f t="shared" si="44"/>
        <v>-0.35377207062600319</v>
      </c>
      <c r="E70" s="47"/>
      <c r="F70" s="488"/>
      <c r="G70" s="488"/>
      <c r="H70" s="488"/>
      <c r="I70" s="109">
        <v>12078</v>
      </c>
      <c r="J70" s="488">
        <v>18076</v>
      </c>
      <c r="K70" s="488">
        <v>20205</v>
      </c>
      <c r="L70" s="488">
        <v>17189</v>
      </c>
      <c r="M70" s="109">
        <v>18690</v>
      </c>
      <c r="N70" s="140">
        <v>41150</v>
      </c>
      <c r="O70" s="140">
        <v>22843</v>
      </c>
      <c r="P70" s="140">
        <v>24217</v>
      </c>
      <c r="Q70" s="109">
        <v>46052</v>
      </c>
      <c r="R70" s="140">
        <v>75738</v>
      </c>
      <c r="S70" s="140">
        <v>91523</v>
      </c>
      <c r="T70" s="140">
        <v>41541</v>
      </c>
      <c r="U70" s="109">
        <v>41164</v>
      </c>
      <c r="V70" s="140">
        <v>34068</v>
      </c>
      <c r="W70" s="140">
        <v>56636</v>
      </c>
      <c r="X70" s="140">
        <v>22209</v>
      </c>
      <c r="Y70" s="109">
        <v>25318</v>
      </c>
      <c r="Z70" s="140">
        <v>21433</v>
      </c>
      <c r="AA70" s="140">
        <v>6245</v>
      </c>
      <c r="AB70" s="109">
        <v>17686</v>
      </c>
      <c r="AC70" s="109">
        <v>25366</v>
      </c>
      <c r="AD70" s="252">
        <v>68274</v>
      </c>
      <c r="AE70" s="91">
        <v>0</v>
      </c>
      <c r="AF70" s="91">
        <v>0</v>
      </c>
      <c r="AG70" s="6">
        <v>0</v>
      </c>
      <c r="AH70" s="91">
        <v>0</v>
      </c>
      <c r="AI70" s="6">
        <v>0</v>
      </c>
      <c r="AJ70" s="6">
        <v>0</v>
      </c>
      <c r="AK70" s="91">
        <v>0</v>
      </c>
      <c r="AL70" s="47"/>
      <c r="AM70" s="494">
        <f t="shared" si="45"/>
        <v>56084</v>
      </c>
      <c r="AN70" s="494">
        <f t="shared" si="46"/>
        <v>93112</v>
      </c>
      <c r="AO70" s="359">
        <f t="shared" si="47"/>
        <v>-60102</v>
      </c>
      <c r="AP70" s="39">
        <f t="shared" si="48"/>
        <v>-0.44764713768601688</v>
      </c>
      <c r="AQ70" s="91"/>
      <c r="AR70" s="487">
        <f t="shared" si="49"/>
        <v>74160</v>
      </c>
      <c r="AS70" s="129">
        <f t="shared" si="50"/>
        <v>134262</v>
      </c>
      <c r="AT70" s="37">
        <v>249966</v>
      </c>
      <c r="AU70" s="37">
        <v>138231</v>
      </c>
      <c r="AV70" s="37">
        <v>70730</v>
      </c>
      <c r="AW70" s="37">
        <v>170811</v>
      </c>
      <c r="AX70" s="37">
        <v>192313</v>
      </c>
      <c r="AY70" s="37">
        <f>157642-4636</f>
        <v>153006</v>
      </c>
      <c r="AZ70" s="222"/>
      <c r="BA70" s="222"/>
      <c r="BB70" s="105"/>
      <c r="BC70" s="91"/>
    </row>
    <row r="71" spans="1:55" ht="12.75" customHeight="1" x14ac:dyDescent="0.2">
      <c r="A71" s="44"/>
      <c r="B71" s="6" t="s">
        <v>188</v>
      </c>
      <c r="C71" s="45">
        <f t="shared" si="43"/>
        <v>652</v>
      </c>
      <c r="D71" s="39">
        <f t="shared" si="44"/>
        <v>0.10253184462965875</v>
      </c>
      <c r="E71" s="47"/>
      <c r="F71" s="488"/>
      <c r="G71" s="488"/>
      <c r="H71" s="488"/>
      <c r="I71" s="109">
        <v>7011</v>
      </c>
      <c r="J71" s="488">
        <v>29706</v>
      </c>
      <c r="K71" s="488">
        <v>45232</v>
      </c>
      <c r="L71" s="488">
        <v>8690</v>
      </c>
      <c r="M71" s="109">
        <v>6359</v>
      </c>
      <c r="N71" s="140">
        <v>16761</v>
      </c>
      <c r="O71" s="140">
        <v>27819</v>
      </c>
      <c r="P71" s="140">
        <v>16445</v>
      </c>
      <c r="Q71" s="109">
        <v>17764</v>
      </c>
      <c r="R71" s="140">
        <v>19980</v>
      </c>
      <c r="S71" s="140">
        <v>19913</v>
      </c>
      <c r="T71" s="140">
        <v>8420</v>
      </c>
      <c r="U71" s="109">
        <v>14574</v>
      </c>
      <c r="V71" s="140">
        <v>1297</v>
      </c>
      <c r="W71" s="140">
        <v>1601</v>
      </c>
      <c r="X71" s="140">
        <v>1211</v>
      </c>
      <c r="Y71" s="109">
        <v>1444</v>
      </c>
      <c r="Z71" s="140">
        <v>2473</v>
      </c>
      <c r="AA71" s="140">
        <v>1215</v>
      </c>
      <c r="AB71" s="109">
        <v>2659</v>
      </c>
      <c r="AC71" s="109">
        <v>8562</v>
      </c>
      <c r="AD71" s="252"/>
      <c r="AE71" s="91"/>
      <c r="AF71" s="91"/>
      <c r="AG71" s="6"/>
      <c r="AH71" s="91"/>
      <c r="AI71" s="6"/>
      <c r="AJ71" s="6"/>
      <c r="AK71" s="91"/>
      <c r="AL71" s="47"/>
      <c r="AM71" s="494">
        <f t="shared" si="45"/>
        <v>60281</v>
      </c>
      <c r="AN71" s="494">
        <f t="shared" si="46"/>
        <v>62028</v>
      </c>
      <c r="AO71" s="359">
        <f t="shared" si="47"/>
        <v>11198</v>
      </c>
      <c r="AP71" s="39">
        <f>IF(OR((AO71/AS71)&gt;3,(AO71/AS71)&lt;-3),"n.m.",(AO71/AS71))</f>
        <v>0.14212643896990695</v>
      </c>
      <c r="AQ71" s="91"/>
      <c r="AR71" s="487">
        <f t="shared" si="49"/>
        <v>89987</v>
      </c>
      <c r="AS71" s="129">
        <f t="shared" si="50"/>
        <v>78789</v>
      </c>
      <c r="AT71" s="37">
        <v>62887</v>
      </c>
      <c r="AU71" s="37">
        <v>5553</v>
      </c>
      <c r="AV71" s="37">
        <v>14909</v>
      </c>
      <c r="AW71" s="37">
        <v>17584</v>
      </c>
      <c r="AX71" s="37">
        <v>12713</v>
      </c>
      <c r="AY71" s="37">
        <f>4636</f>
        <v>4636</v>
      </c>
      <c r="AZ71" s="222"/>
      <c r="BA71" s="222"/>
      <c r="BB71" s="105"/>
      <c r="BC71" s="91"/>
    </row>
    <row r="72" spans="1:55" ht="12.75" customHeight="1" x14ac:dyDescent="0.2">
      <c r="A72" s="44"/>
      <c r="B72" s="6" t="s">
        <v>58</v>
      </c>
      <c r="C72" s="45">
        <f t="shared" si="43"/>
        <v>-505</v>
      </c>
      <c r="D72" s="39">
        <f t="shared" si="44"/>
        <v>-2.3488372093023258</v>
      </c>
      <c r="E72" s="47"/>
      <c r="F72" s="488"/>
      <c r="G72" s="488"/>
      <c r="H72" s="488"/>
      <c r="I72" s="109">
        <v>-290</v>
      </c>
      <c r="J72" s="488">
        <v>454</v>
      </c>
      <c r="K72" s="488">
        <v>561</v>
      </c>
      <c r="L72" s="488">
        <v>783</v>
      </c>
      <c r="M72" s="109">
        <v>215</v>
      </c>
      <c r="N72" s="140">
        <v>1747</v>
      </c>
      <c r="O72" s="140">
        <v>848</v>
      </c>
      <c r="P72" s="140">
        <v>-2929</v>
      </c>
      <c r="Q72" s="109">
        <v>-48</v>
      </c>
      <c r="R72" s="140">
        <v>6902</v>
      </c>
      <c r="S72" s="140">
        <v>3619</v>
      </c>
      <c r="T72" s="140">
        <v>2704</v>
      </c>
      <c r="U72" s="109">
        <v>1288</v>
      </c>
      <c r="V72" s="140">
        <v>3191</v>
      </c>
      <c r="W72" s="140">
        <v>9164</v>
      </c>
      <c r="X72" s="140">
        <v>3867</v>
      </c>
      <c r="Y72" s="109">
        <v>4913</v>
      </c>
      <c r="Z72" s="140">
        <v>3828</v>
      </c>
      <c r="AA72" s="140">
        <v>2161</v>
      </c>
      <c r="AB72" s="109">
        <v>1000</v>
      </c>
      <c r="AC72" s="109">
        <v>2684</v>
      </c>
      <c r="AD72" s="252">
        <v>5363</v>
      </c>
      <c r="AE72" s="91"/>
      <c r="AF72" s="91"/>
      <c r="AG72" s="6"/>
      <c r="AH72" s="91"/>
      <c r="AI72" s="6"/>
      <c r="AJ72" s="6"/>
      <c r="AK72" s="91"/>
      <c r="AL72" s="47"/>
      <c r="AM72" s="494">
        <f t="shared" si="45"/>
        <v>1559</v>
      </c>
      <c r="AN72" s="494">
        <f t="shared" si="46"/>
        <v>-2129</v>
      </c>
      <c r="AO72" s="359">
        <f t="shared" si="47"/>
        <v>2395</v>
      </c>
      <c r="AP72" s="324" t="str">
        <f t="shared" si="48"/>
        <v>n.m.</v>
      </c>
      <c r="AQ72" s="91"/>
      <c r="AR72" s="487">
        <f t="shared" si="49"/>
        <v>2013</v>
      </c>
      <c r="AS72" s="129">
        <f t="shared" si="50"/>
        <v>-382</v>
      </c>
      <c r="AT72" s="37">
        <v>14513</v>
      </c>
      <c r="AU72" s="37">
        <v>21135</v>
      </c>
      <c r="AV72" s="37">
        <v>9673</v>
      </c>
      <c r="AW72" s="37">
        <v>3820</v>
      </c>
      <c r="AX72" s="37">
        <v>14642</v>
      </c>
      <c r="AY72" s="37">
        <v>22208</v>
      </c>
      <c r="AZ72" s="222"/>
      <c r="BA72" s="222"/>
      <c r="BB72" s="105"/>
      <c r="BC72" s="91"/>
    </row>
    <row r="73" spans="1:55" ht="12.75" customHeight="1" x14ac:dyDescent="0.2">
      <c r="A73" s="44"/>
      <c r="B73" s="6" t="s">
        <v>59</v>
      </c>
      <c r="C73" s="45">
        <f t="shared" si="43"/>
        <v>-2257</v>
      </c>
      <c r="D73" s="39">
        <f t="shared" si="44"/>
        <v>-0.29728661749209695</v>
      </c>
      <c r="E73" s="47"/>
      <c r="F73" s="488"/>
      <c r="G73" s="488"/>
      <c r="H73" s="488"/>
      <c r="I73" s="109">
        <v>5335</v>
      </c>
      <c r="J73" s="488">
        <v>5292</v>
      </c>
      <c r="K73" s="488">
        <v>6253</v>
      </c>
      <c r="L73" s="488">
        <v>5935</v>
      </c>
      <c r="M73" s="109">
        <v>7592</v>
      </c>
      <c r="N73" s="140">
        <v>7872</v>
      </c>
      <c r="O73" s="140">
        <v>8033</v>
      </c>
      <c r="P73" s="140">
        <v>7569</v>
      </c>
      <c r="Q73" s="109">
        <v>7780</v>
      </c>
      <c r="R73" s="140">
        <v>7586</v>
      </c>
      <c r="S73" s="140">
        <v>7687</v>
      </c>
      <c r="T73" s="140">
        <v>5362</v>
      </c>
      <c r="U73" s="109">
        <v>3079</v>
      </c>
      <c r="V73" s="140">
        <v>3272</v>
      </c>
      <c r="W73" s="140">
        <v>3852</v>
      </c>
      <c r="X73" s="140">
        <v>3893</v>
      </c>
      <c r="Y73" s="109">
        <v>3439</v>
      </c>
      <c r="Z73" s="140">
        <v>4918</v>
      </c>
      <c r="AA73" s="140">
        <v>8514</v>
      </c>
      <c r="AB73" s="109">
        <v>10813</v>
      </c>
      <c r="AC73" s="109">
        <v>11226</v>
      </c>
      <c r="AD73" s="252">
        <v>1512</v>
      </c>
      <c r="AE73" s="91"/>
      <c r="AF73" s="91"/>
      <c r="AG73" s="6"/>
      <c r="AH73" s="91"/>
      <c r="AI73" s="6"/>
      <c r="AJ73" s="6"/>
      <c r="AK73" s="91"/>
      <c r="AL73" s="47"/>
      <c r="AM73" s="494">
        <f t="shared" si="45"/>
        <v>19780</v>
      </c>
      <c r="AN73" s="494">
        <f t="shared" si="46"/>
        <v>23382</v>
      </c>
      <c r="AO73" s="359">
        <f t="shared" si="47"/>
        <v>-6182</v>
      </c>
      <c r="AP73" s="39">
        <f t="shared" si="48"/>
        <v>-0.19779868176873361</v>
      </c>
      <c r="AQ73" s="91"/>
      <c r="AR73" s="487">
        <f t="shared" si="49"/>
        <v>25072</v>
      </c>
      <c r="AS73" s="129">
        <f t="shared" si="50"/>
        <v>31254</v>
      </c>
      <c r="AT73" s="37">
        <v>23714</v>
      </c>
      <c r="AU73" s="37">
        <v>14456</v>
      </c>
      <c r="AV73" s="37">
        <v>35471</v>
      </c>
      <c r="AW73" s="37">
        <v>58127</v>
      </c>
      <c r="AX73" s="37">
        <v>52152</v>
      </c>
      <c r="AY73" s="37">
        <f>33277+8255</f>
        <v>41532</v>
      </c>
      <c r="AZ73" s="222"/>
      <c r="BA73" s="222"/>
      <c r="BB73" s="105"/>
      <c r="BC73" s="91"/>
    </row>
    <row r="74" spans="1:55" ht="12.75" customHeight="1" x14ac:dyDescent="0.2">
      <c r="A74" s="123"/>
      <c r="B74" s="6" t="s">
        <v>60</v>
      </c>
      <c r="C74" s="45">
        <f t="shared" si="43"/>
        <v>-3349</v>
      </c>
      <c r="D74" s="324">
        <f t="shared" si="44"/>
        <v>-1.0384496124031009</v>
      </c>
      <c r="E74" s="357"/>
      <c r="F74" s="488"/>
      <c r="G74" s="488"/>
      <c r="H74" s="488"/>
      <c r="I74" s="109">
        <v>-124</v>
      </c>
      <c r="J74" s="488">
        <v>6169</v>
      </c>
      <c r="K74" s="488">
        <v>4664</v>
      </c>
      <c r="L74" s="488">
        <f>7506+939</f>
        <v>8445</v>
      </c>
      <c r="M74" s="109">
        <v>3225</v>
      </c>
      <c r="N74" s="140">
        <v>10006</v>
      </c>
      <c r="O74" s="140">
        <v>8317</v>
      </c>
      <c r="P74" s="140">
        <v>1316</v>
      </c>
      <c r="Q74" s="109">
        <v>6627</v>
      </c>
      <c r="R74" s="140">
        <v>11160</v>
      </c>
      <c r="S74" s="140">
        <v>6815</v>
      </c>
      <c r="T74" s="140">
        <v>6651</v>
      </c>
      <c r="U74" s="109">
        <v>3986</v>
      </c>
      <c r="V74" s="140">
        <v>6846</v>
      </c>
      <c r="W74" s="140">
        <v>5370</v>
      </c>
      <c r="X74" s="140">
        <v>4689</v>
      </c>
      <c r="Y74" s="109">
        <v>10808</v>
      </c>
      <c r="Z74" s="140">
        <v>4941</v>
      </c>
      <c r="AA74" s="140">
        <v>713</v>
      </c>
      <c r="AB74" s="109">
        <v>4301</v>
      </c>
      <c r="AC74" s="109">
        <v>6269</v>
      </c>
      <c r="AD74" s="253">
        <v>60</v>
      </c>
      <c r="AE74" s="13"/>
      <c r="AF74" s="13"/>
      <c r="AG74" s="13"/>
      <c r="AH74" s="13"/>
      <c r="AI74" s="13"/>
      <c r="AJ74" s="13"/>
      <c r="AK74" s="13"/>
      <c r="AL74" s="47"/>
      <c r="AM74" s="494">
        <f t="shared" si="45"/>
        <v>16334</v>
      </c>
      <c r="AN74" s="494">
        <f t="shared" si="46"/>
        <v>16260</v>
      </c>
      <c r="AO74" s="360">
        <f t="shared" si="47"/>
        <v>-3763</v>
      </c>
      <c r="AP74" s="98">
        <f t="shared" si="48"/>
        <v>-0.14326505748876875</v>
      </c>
      <c r="AQ74" s="44"/>
      <c r="AR74" s="487">
        <f t="shared" si="49"/>
        <v>22503</v>
      </c>
      <c r="AS74" s="129">
        <f t="shared" si="50"/>
        <v>26266</v>
      </c>
      <c r="AT74" s="37">
        <v>28612</v>
      </c>
      <c r="AU74" s="37">
        <v>27713</v>
      </c>
      <c r="AV74" s="37">
        <v>16224</v>
      </c>
      <c r="AW74" s="37">
        <v>24335</v>
      </c>
      <c r="AX74" s="37">
        <v>13303</v>
      </c>
      <c r="AY74" s="102">
        <v>12458</v>
      </c>
      <c r="AZ74" s="222"/>
      <c r="BA74" s="222"/>
      <c r="BB74" s="105"/>
      <c r="BC74" s="91"/>
    </row>
    <row r="75" spans="1:55" ht="12.75" customHeight="1" x14ac:dyDescent="0.2">
      <c r="A75" s="123"/>
      <c r="B75" s="6"/>
      <c r="C75" s="338">
        <f t="shared" si="43"/>
        <v>-16752</v>
      </c>
      <c r="D75" s="339">
        <f t="shared" si="44"/>
        <v>-0.21857752377970016</v>
      </c>
      <c r="E75" s="22"/>
      <c r="F75" s="238">
        <f>SUM(F69:F74)</f>
        <v>0</v>
      </c>
      <c r="G75" s="238">
        <f>SUM(G69:G74)</f>
        <v>0</v>
      </c>
      <c r="H75" s="238">
        <f>SUM(H69:H74)</f>
        <v>0</v>
      </c>
      <c r="I75" s="341">
        <f>SUM(I69:I74)</f>
        <v>59889</v>
      </c>
      <c r="J75" s="238">
        <f t="shared" ref="J75:P75" si="51">SUM(J69:J74)</f>
        <v>93600</v>
      </c>
      <c r="K75" s="238">
        <f t="shared" si="51"/>
        <v>115470</v>
      </c>
      <c r="L75" s="238">
        <f t="shared" si="51"/>
        <v>80728</v>
      </c>
      <c r="M75" s="341">
        <f t="shared" si="51"/>
        <v>76641</v>
      </c>
      <c r="N75" s="238">
        <f t="shared" si="51"/>
        <v>132854</v>
      </c>
      <c r="O75" s="238">
        <f t="shared" si="51"/>
        <v>110444</v>
      </c>
      <c r="P75" s="238">
        <f t="shared" si="51"/>
        <v>91743</v>
      </c>
      <c r="Q75" s="341">
        <f>SUM(Q69:Q74)</f>
        <v>123090</v>
      </c>
      <c r="R75" s="238">
        <v>183239</v>
      </c>
      <c r="S75" s="238">
        <v>196906</v>
      </c>
      <c r="T75" s="238">
        <v>109493</v>
      </c>
      <c r="U75" s="341">
        <v>108918</v>
      </c>
      <c r="V75" s="238">
        <v>98022</v>
      </c>
      <c r="W75" s="238">
        <v>123626</v>
      </c>
      <c r="X75" s="238">
        <v>79190</v>
      </c>
      <c r="Y75" s="341">
        <v>87934</v>
      </c>
      <c r="Z75" s="237">
        <v>72784</v>
      </c>
      <c r="AA75" s="238">
        <v>57907</v>
      </c>
      <c r="AB75" s="341">
        <v>80775</v>
      </c>
      <c r="AC75" s="341">
        <v>108898</v>
      </c>
      <c r="AD75" s="341">
        <v>104793</v>
      </c>
      <c r="AE75" s="2"/>
      <c r="AF75" s="2"/>
      <c r="AG75" s="2"/>
      <c r="AH75" s="2"/>
      <c r="AI75" s="2"/>
      <c r="AJ75" s="2"/>
      <c r="AK75" s="2"/>
      <c r="AL75" s="22"/>
      <c r="AM75" s="238">
        <f>SUM(AM69:AM74)</f>
        <v>272839</v>
      </c>
      <c r="AN75" s="238">
        <f>SUM(AN69:AN74)</f>
        <v>325277</v>
      </c>
      <c r="AO75" s="343">
        <f t="shared" si="47"/>
        <v>-91692</v>
      </c>
      <c r="AP75" s="339">
        <f t="shared" si="48"/>
        <v>-0.2001436270411738</v>
      </c>
      <c r="AR75" s="237">
        <f>SUM(AR69:AR74)</f>
        <v>366439</v>
      </c>
      <c r="AS75" s="237">
        <f>SUM(AS69:AS74)</f>
        <v>458131</v>
      </c>
      <c r="AT75" s="237">
        <v>598556</v>
      </c>
      <c r="AU75" s="237">
        <v>388772</v>
      </c>
      <c r="AV75" s="340">
        <v>320364</v>
      </c>
      <c r="AW75" s="344">
        <v>509066</v>
      </c>
      <c r="AX75" s="344">
        <v>530492</v>
      </c>
      <c r="AY75" s="113">
        <f>SUM(AY69:AY74)</f>
        <v>437554</v>
      </c>
      <c r="AZ75" s="222"/>
      <c r="BA75" s="222"/>
      <c r="BB75" s="105"/>
      <c r="BC75" s="91"/>
    </row>
    <row r="76" spans="1:55" s="407" customFormat="1" ht="12.75" customHeight="1" x14ac:dyDescent="0.2">
      <c r="A76" s="123"/>
      <c r="B76" s="6"/>
      <c r="C76" s="262"/>
      <c r="D76" s="247"/>
      <c r="E76" s="22"/>
      <c r="F76" s="245"/>
      <c r="G76" s="245"/>
      <c r="H76" s="245"/>
      <c r="I76" s="439"/>
      <c r="J76" s="245"/>
      <c r="K76" s="245"/>
      <c r="L76" s="245"/>
      <c r="M76" s="439"/>
      <c r="N76" s="156"/>
      <c r="O76" s="245"/>
      <c r="P76" s="245"/>
      <c r="Q76" s="439"/>
      <c r="R76" s="156"/>
      <c r="S76" s="245"/>
      <c r="T76" s="245"/>
      <c r="U76" s="424"/>
      <c r="V76" s="156"/>
      <c r="W76" s="424"/>
      <c r="X76" s="424"/>
      <c r="Y76" s="424"/>
      <c r="Z76" s="235"/>
      <c r="AA76" s="235"/>
      <c r="AB76" s="235"/>
      <c r="AC76" s="235"/>
      <c r="AD76" s="235"/>
      <c r="AE76" s="2"/>
      <c r="AF76" s="2"/>
      <c r="AG76" s="2"/>
      <c r="AH76" s="2"/>
      <c r="AI76" s="2"/>
      <c r="AJ76" s="2"/>
      <c r="AK76" s="2"/>
      <c r="AL76" s="22"/>
      <c r="AM76" s="15"/>
      <c r="AN76" s="16"/>
      <c r="AO76" s="440"/>
      <c r="AP76" s="313"/>
      <c r="AR76" s="425"/>
      <c r="AS76" s="425"/>
      <c r="AT76" s="425"/>
      <c r="AU76" s="425"/>
      <c r="AV76" s="284"/>
      <c r="AW76" s="425"/>
      <c r="AX76" s="425"/>
      <c r="AY76" s="140"/>
      <c r="AZ76" s="88"/>
      <c r="BA76" s="88"/>
      <c r="BB76" s="23"/>
    </row>
    <row r="77" spans="1:55" s="407" customFormat="1" ht="13.5" customHeight="1" x14ac:dyDescent="0.2">
      <c r="A77" s="123"/>
      <c r="B77" s="6" t="s">
        <v>267</v>
      </c>
      <c r="C77" s="97" t="e">
        <f>I77-M77</f>
        <v>#REF!</v>
      </c>
      <c r="D77" s="322" t="e">
        <f>IF(OR((C77/M77)&gt;3,(C77/M77)&lt;-3),"n.m.",(C77/M77))</f>
        <v>#REF!</v>
      </c>
      <c r="E77" s="22"/>
      <c r="F77" s="243"/>
      <c r="G77" s="243"/>
      <c r="H77" s="243"/>
      <c r="I77" s="266">
        <v>-1755</v>
      </c>
      <c r="J77" s="243">
        <v>-4119</v>
      </c>
      <c r="K77" s="243">
        <v>-2879</v>
      </c>
      <c r="L77" s="243">
        <v>-1302</v>
      </c>
      <c r="M77" s="266" t="e">
        <f>+#REF!-'8 UK and Europe'!M73-'9 US'!M72</f>
        <v>#REF!</v>
      </c>
      <c r="N77" s="155" t="e">
        <f>#REF!-'9 US'!N72</f>
        <v>#REF!</v>
      </c>
      <c r="O77" s="243" t="e">
        <f>#REF!-'9 US'!O72</f>
        <v>#REF!</v>
      </c>
      <c r="P77" s="243">
        <v>-6322</v>
      </c>
      <c r="Q77" s="266">
        <v>-10795</v>
      </c>
      <c r="R77" s="155">
        <v>-9261</v>
      </c>
      <c r="S77" s="243">
        <v>-1134</v>
      </c>
      <c r="T77" s="243">
        <v>-5070</v>
      </c>
      <c r="U77" s="253">
        <v>-6918</v>
      </c>
      <c r="V77" s="426" t="s">
        <v>166</v>
      </c>
      <c r="W77" s="427" t="s">
        <v>166</v>
      </c>
      <c r="X77" s="427" t="s">
        <v>166</v>
      </c>
      <c r="Y77" s="427" t="s">
        <v>166</v>
      </c>
      <c r="Z77" s="428"/>
      <c r="AA77" s="428"/>
      <c r="AB77" s="428"/>
      <c r="AC77" s="428"/>
      <c r="AD77" s="428"/>
      <c r="AE77" s="429"/>
      <c r="AF77" s="429"/>
      <c r="AG77" s="429"/>
      <c r="AH77" s="429"/>
      <c r="AI77" s="429"/>
      <c r="AJ77" s="429"/>
      <c r="AK77" s="429"/>
      <c r="AL77" s="465"/>
      <c r="AM77" s="155" t="e">
        <f>SUM(K77:M77)</f>
        <v>#REF!</v>
      </c>
      <c r="AN77" s="243" t="e">
        <f>SUM(O77:Q77)</f>
        <v>#REF!</v>
      </c>
      <c r="AO77" s="441" t="e">
        <f>AR77-AS77</f>
        <v>#REF!</v>
      </c>
      <c r="AP77" s="322" t="e">
        <f>-IF(OR((AO77/AS77)&gt;3,(AO77/AS77)&lt;-3),"n.m.",(AO77/AS77))</f>
        <v>#REF!</v>
      </c>
      <c r="AQ77" s="55"/>
      <c r="AR77" s="430" t="e">
        <f>SUM(J77:M77)</f>
        <v>#REF!</v>
      </c>
      <c r="AS77" s="430" t="e">
        <f>SUM(N77:Q77)</f>
        <v>#REF!</v>
      </c>
      <c r="AT77" s="430">
        <f>SUM(R77:U77)</f>
        <v>-22383</v>
      </c>
      <c r="AU77" s="430" t="s">
        <v>166</v>
      </c>
      <c r="AV77" s="431" t="s">
        <v>166</v>
      </c>
      <c r="AW77" s="430" t="s">
        <v>166</v>
      </c>
      <c r="AX77" s="430" t="s">
        <v>166</v>
      </c>
      <c r="AY77" s="140"/>
      <c r="AZ77" s="88"/>
      <c r="BA77" s="88"/>
      <c r="BB77" s="23"/>
    </row>
    <row r="78" spans="1:55" ht="12.75" customHeight="1" x14ac:dyDescent="0.2">
      <c r="B78" s="11"/>
      <c r="C78" s="11"/>
      <c r="D78" s="11"/>
      <c r="E78" s="11"/>
      <c r="F78" s="11"/>
      <c r="G78" s="11"/>
      <c r="H78" s="11"/>
      <c r="I78" s="13"/>
      <c r="J78" s="11"/>
      <c r="K78" s="11"/>
      <c r="L78" s="11"/>
      <c r="M78" s="13"/>
      <c r="N78" s="11"/>
      <c r="O78" s="11"/>
      <c r="P78" s="11"/>
      <c r="Q78" s="13"/>
      <c r="R78" s="11"/>
      <c r="S78" s="11"/>
      <c r="T78" s="11"/>
      <c r="U78" s="13"/>
      <c r="V78" s="11"/>
      <c r="W78" s="11"/>
      <c r="X78" s="11"/>
      <c r="Y78" s="13"/>
      <c r="Z78" s="11"/>
      <c r="AA78" s="11"/>
      <c r="AB78" s="11"/>
      <c r="AC78" s="13"/>
      <c r="AD78" s="13"/>
      <c r="AE78" s="13"/>
      <c r="AF78" s="13"/>
      <c r="AG78" s="13"/>
      <c r="AH78" s="13"/>
      <c r="AI78" s="13"/>
      <c r="AJ78" s="13"/>
      <c r="AK78" s="13"/>
      <c r="AL78" s="3"/>
      <c r="AM78" s="3"/>
      <c r="AN78" s="3"/>
      <c r="AW78" s="2"/>
      <c r="AX78" s="2"/>
      <c r="BB78" s="3"/>
      <c r="BC78" s="3"/>
    </row>
    <row r="79" spans="1:55" x14ac:dyDescent="0.2">
      <c r="A79" s="6" t="s">
        <v>280</v>
      </c>
    </row>
    <row r="80" spans="1:55" x14ac:dyDescent="0.2">
      <c r="F80" s="345"/>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c r="AJ80" s="345"/>
      <c r="AK80" s="345"/>
      <c r="AL80" s="345"/>
      <c r="AM80" s="345"/>
      <c r="AN80" s="345"/>
      <c r="AO80" s="345"/>
      <c r="AP80" s="345"/>
      <c r="AQ80" s="345"/>
      <c r="AR80" s="345"/>
      <c r="AS80" s="345"/>
      <c r="AT80" s="345"/>
      <c r="AU80" s="345"/>
      <c r="AV80" s="345"/>
      <c r="AW80" s="345"/>
      <c r="AX80" s="345"/>
      <c r="AY80" s="345"/>
      <c r="BB80" s="3"/>
      <c r="BC80" s="3"/>
    </row>
    <row r="81" spans="1:55" x14ac:dyDescent="0.2">
      <c r="A81" s="3"/>
      <c r="B81" s="3"/>
      <c r="C81" s="3"/>
      <c r="D81" s="3"/>
      <c r="F81" s="411"/>
      <c r="G81" s="411"/>
      <c r="H81" s="411"/>
      <c r="I81" s="411"/>
      <c r="J81" s="411"/>
      <c r="K81" s="411"/>
      <c r="L81" s="411"/>
      <c r="M81" s="411"/>
      <c r="N81" s="411"/>
      <c r="O81" s="411"/>
      <c r="P81" s="411"/>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411"/>
      <c r="AN81" s="411"/>
      <c r="AO81" s="488"/>
      <c r="AP81" s="323"/>
      <c r="AQ81" s="480"/>
      <c r="AR81" s="347"/>
      <c r="AS81" s="347"/>
      <c r="AT81" s="186"/>
      <c r="AU81" s="186"/>
      <c r="AV81" s="186"/>
      <c r="AW81" s="186"/>
      <c r="AX81" s="186"/>
      <c r="AY81" s="186"/>
      <c r="AZ81" s="186"/>
      <c r="BA81" s="186"/>
      <c r="BB81" s="186"/>
      <c r="BC81" s="3"/>
    </row>
    <row r="82" spans="1:55" x14ac:dyDescent="0.2">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480"/>
      <c r="AP82" s="480"/>
      <c r="AQ82" s="480"/>
      <c r="AR82" s="511"/>
      <c r="AS82" s="511"/>
      <c r="AT82" s="260"/>
      <c r="AU82" s="260"/>
      <c r="AV82" s="260"/>
      <c r="AW82" s="260"/>
      <c r="AX82" s="260"/>
      <c r="AY82" s="260"/>
      <c r="BB82" s="3"/>
      <c r="BC82" s="3"/>
    </row>
    <row r="83" spans="1:55" x14ac:dyDescent="0.2">
      <c r="I83" s="507"/>
      <c r="M83" s="507"/>
      <c r="Q83" s="28"/>
      <c r="U83" s="28"/>
      <c r="Y83" s="28"/>
      <c r="AC83" s="28"/>
      <c r="AE83" s="233"/>
      <c r="AH83" s="233"/>
      <c r="AI83" s="233"/>
      <c r="AK83" s="28"/>
      <c r="AL83" s="3"/>
      <c r="AM83" s="3"/>
      <c r="AN83" s="3"/>
      <c r="AO83" s="480"/>
      <c r="AP83" s="480"/>
      <c r="AQ83" s="480"/>
      <c r="AR83" s="457"/>
      <c r="AS83" s="457"/>
      <c r="AW83" s="2"/>
      <c r="AX83" s="2"/>
    </row>
    <row r="84" spans="1:55" x14ac:dyDescent="0.2">
      <c r="I84" s="2"/>
      <c r="M84" s="2"/>
      <c r="Q84" s="2"/>
      <c r="U84" s="2"/>
      <c r="Y84" s="2"/>
      <c r="AC84" s="2"/>
      <c r="AE84" s="233"/>
      <c r="AH84" s="233"/>
      <c r="AI84" s="233"/>
      <c r="AK84" s="93"/>
      <c r="AL84" s="3"/>
      <c r="AM84" s="3"/>
      <c r="AN84" s="3"/>
      <c r="AO84" s="480"/>
      <c r="AP84" s="480"/>
      <c r="AQ84" s="480"/>
      <c r="AR84" s="400"/>
      <c r="AS84" s="400"/>
      <c r="AW84" s="2"/>
      <c r="AX84" s="2"/>
    </row>
    <row r="85" spans="1:55" x14ac:dyDescent="0.2">
      <c r="I85" s="2"/>
      <c r="M85" s="2"/>
      <c r="Q85" s="2"/>
      <c r="U85" s="2"/>
      <c r="Y85" s="2"/>
      <c r="AC85" s="2"/>
      <c r="AE85" s="233"/>
      <c r="AH85" s="233"/>
      <c r="AI85" s="233"/>
      <c r="AK85" s="94"/>
      <c r="AL85" s="3"/>
      <c r="AM85" s="3"/>
      <c r="AN85" s="3"/>
      <c r="AW85" s="2"/>
      <c r="AX85" s="2"/>
    </row>
    <row r="86" spans="1:55" x14ac:dyDescent="0.2">
      <c r="I86" s="2"/>
      <c r="M86" s="2"/>
      <c r="Q86" s="2"/>
      <c r="U86" s="2"/>
      <c r="Y86" s="2"/>
      <c r="AC86" s="2"/>
      <c r="AE86" s="233"/>
      <c r="AH86" s="233"/>
      <c r="AI86" s="233"/>
      <c r="AK86" s="94"/>
      <c r="AL86" s="3"/>
      <c r="AM86" s="3"/>
      <c r="AN86" s="3"/>
      <c r="AW86" s="29"/>
      <c r="AX86" s="29"/>
    </row>
    <row r="87" spans="1:55" x14ac:dyDescent="0.2">
      <c r="I87" s="29"/>
      <c r="M87" s="29"/>
      <c r="Q87" s="29"/>
      <c r="U87" s="29"/>
      <c r="Y87" s="29"/>
      <c r="AC87" s="29"/>
      <c r="AE87" s="233"/>
      <c r="AH87" s="233"/>
      <c r="AI87" s="233"/>
      <c r="AK87" s="9"/>
      <c r="AL87" s="3"/>
      <c r="AM87" s="3"/>
      <c r="AN87" s="3"/>
      <c r="AW87" s="29"/>
      <c r="AX87" s="29"/>
    </row>
    <row r="88" spans="1:55" x14ac:dyDescent="0.2">
      <c r="I88" s="29"/>
      <c r="M88" s="29"/>
      <c r="Q88" s="29"/>
      <c r="U88" s="29"/>
      <c r="Y88" s="29"/>
      <c r="AC88" s="29"/>
      <c r="AE88" s="233"/>
      <c r="AH88" s="233"/>
      <c r="AI88" s="233"/>
      <c r="AK88" s="9"/>
      <c r="AL88" s="3"/>
      <c r="AM88" s="3"/>
      <c r="AN88" s="3"/>
      <c r="AW88" s="29"/>
      <c r="AX88" s="29"/>
    </row>
    <row r="89" spans="1:55" x14ac:dyDescent="0.2">
      <c r="I89" s="30"/>
      <c r="M89" s="30"/>
      <c r="Q89" s="30"/>
      <c r="U89" s="30"/>
      <c r="Y89" s="30"/>
      <c r="AC89" s="30"/>
      <c r="AE89" s="233"/>
      <c r="AH89" s="233"/>
      <c r="AI89" s="233"/>
      <c r="AK89" s="30"/>
      <c r="AL89" s="3"/>
      <c r="AM89" s="3"/>
      <c r="AN89" s="3"/>
      <c r="AW89" s="2"/>
      <c r="AX89" s="2"/>
    </row>
    <row r="90" spans="1:55" x14ac:dyDescent="0.2">
      <c r="I90" s="2"/>
      <c r="M90" s="2"/>
      <c r="Q90" s="2"/>
      <c r="U90" s="2"/>
      <c r="Y90" s="2"/>
      <c r="AC90" s="2"/>
      <c r="AE90" s="233"/>
      <c r="AH90" s="233"/>
      <c r="AI90" s="233"/>
      <c r="AK90" s="95"/>
      <c r="AL90" s="3"/>
      <c r="AM90" s="3"/>
      <c r="AN90" s="3"/>
      <c r="AW90" s="2"/>
      <c r="AX90" s="2"/>
    </row>
    <row r="91" spans="1:55" x14ac:dyDescent="0.2">
      <c r="I91" s="2"/>
      <c r="M91" s="2"/>
      <c r="Q91" s="2"/>
      <c r="U91" s="2"/>
      <c r="Y91" s="2"/>
      <c r="AC91" s="2"/>
      <c r="AD91" s="2"/>
      <c r="AE91" s="233"/>
      <c r="AG91" s="2"/>
      <c r="AH91" s="233"/>
      <c r="AI91" s="233"/>
      <c r="AJ91" s="2"/>
      <c r="AK91" s="2"/>
      <c r="AL91" s="3"/>
      <c r="AM91" s="3"/>
      <c r="AN91" s="3"/>
      <c r="AW91" s="41"/>
      <c r="AX91" s="41"/>
    </row>
    <row r="92" spans="1:55" x14ac:dyDescent="0.2">
      <c r="I92" s="29"/>
      <c r="M92" s="29"/>
      <c r="Q92" s="29"/>
      <c r="U92" s="29"/>
      <c r="Y92" s="29"/>
      <c r="AC92" s="29"/>
      <c r="AD92" s="38"/>
      <c r="AE92" s="233"/>
      <c r="AF92" s="29"/>
      <c r="AG92" s="29"/>
      <c r="AH92" s="233"/>
      <c r="AI92" s="233"/>
      <c r="AJ92" s="31"/>
      <c r="AK92" s="1"/>
      <c r="AL92" s="3"/>
      <c r="AM92" s="3"/>
      <c r="AN92" s="3"/>
      <c r="AW92" s="41"/>
      <c r="AX92" s="41"/>
    </row>
    <row r="93" spans="1:55" x14ac:dyDescent="0.2">
      <c r="AC93" s="29"/>
      <c r="AD93" s="29"/>
      <c r="AE93" s="233"/>
      <c r="AH93" s="233"/>
      <c r="AI93" s="233"/>
      <c r="AJ93" s="29"/>
      <c r="AK93" s="29"/>
      <c r="AL93" s="3"/>
      <c r="AM93" s="3"/>
      <c r="AN93" s="3"/>
      <c r="AW93" s="42"/>
      <c r="AX93" s="42"/>
    </row>
    <row r="94" spans="1:55" x14ac:dyDescent="0.2">
      <c r="AC94" s="9"/>
      <c r="AD94" s="36"/>
      <c r="AE94" s="32"/>
      <c r="AF94" s="32"/>
      <c r="AG94" s="32"/>
      <c r="AH94" s="36"/>
      <c r="AI94" s="32"/>
      <c r="AJ94" s="32"/>
      <c r="AK94" s="40"/>
      <c r="AL94" s="3"/>
      <c r="AM94" s="3"/>
      <c r="AN94" s="3"/>
      <c r="AW94" s="43"/>
      <c r="AX94" s="43"/>
    </row>
    <row r="95" spans="1:55" x14ac:dyDescent="0.2">
      <c r="AC95" s="9"/>
      <c r="AD95" s="32"/>
      <c r="AE95" s="32"/>
      <c r="AF95" s="32"/>
      <c r="AG95" s="32"/>
      <c r="AH95" s="32"/>
      <c r="AI95" s="32"/>
      <c r="AJ95" s="32"/>
      <c r="AK95" s="40"/>
      <c r="AL95" s="3"/>
      <c r="AM95" s="3"/>
      <c r="AN95" s="3"/>
      <c r="AW95" s="32"/>
      <c r="AX95" s="32"/>
    </row>
    <row r="96" spans="1:55" x14ac:dyDescent="0.2">
      <c r="AC96" s="9"/>
      <c r="AD96" s="32"/>
      <c r="AE96" s="32"/>
      <c r="AF96" s="32"/>
      <c r="AG96" s="32"/>
      <c r="AH96" s="32"/>
      <c r="AI96" s="32"/>
      <c r="AJ96" s="32"/>
      <c r="AK96" s="35"/>
      <c r="AL96" s="3"/>
      <c r="AM96" s="3"/>
      <c r="AN96" s="3"/>
      <c r="AW96" s="32"/>
      <c r="AX96" s="32"/>
    </row>
    <row r="97" spans="29:50" x14ac:dyDescent="0.2">
      <c r="AC97" s="32"/>
      <c r="AD97" s="32"/>
      <c r="AE97" s="32"/>
      <c r="AF97" s="32"/>
      <c r="AG97" s="32"/>
      <c r="AH97" s="32"/>
      <c r="AI97" s="32"/>
      <c r="AJ97" s="32"/>
      <c r="AK97" s="32"/>
      <c r="AL97" s="3"/>
      <c r="AM97" s="3"/>
      <c r="AN97" s="3"/>
      <c r="AW97" s="33"/>
      <c r="AX97" s="33"/>
    </row>
    <row r="98" spans="29:50" x14ac:dyDescent="0.2">
      <c r="AC98" s="33"/>
      <c r="AD98" s="33"/>
      <c r="AE98" s="33"/>
      <c r="AF98" s="33"/>
      <c r="AG98" s="33"/>
      <c r="AH98" s="33"/>
      <c r="AI98" s="33"/>
      <c r="AJ98" s="33"/>
      <c r="AK98" s="33"/>
      <c r="AL98" s="3"/>
      <c r="AM98" s="3"/>
      <c r="AN98" s="3"/>
      <c r="AW98" s="33"/>
      <c r="AX98" s="33"/>
    </row>
    <row r="99" spans="29:50" x14ac:dyDescent="0.2">
      <c r="AC99" s="33"/>
      <c r="AD99" s="33"/>
      <c r="AE99" s="33"/>
      <c r="AF99" s="33"/>
      <c r="AG99" s="33"/>
      <c r="AH99" s="33"/>
      <c r="AI99" s="33"/>
      <c r="AJ99" s="33"/>
      <c r="AK99" s="33"/>
      <c r="AL99" s="3"/>
      <c r="AM99" s="3"/>
      <c r="AN99" s="3"/>
      <c r="AW99" s="3"/>
      <c r="AX99" s="3"/>
    </row>
    <row r="100" spans="29:50" x14ac:dyDescent="0.2">
      <c r="AC100" s="3"/>
      <c r="AD100" s="3"/>
      <c r="AE100" s="3"/>
      <c r="AF100" s="3"/>
      <c r="AG100" s="3"/>
      <c r="AH100" s="3"/>
      <c r="AI100" s="3"/>
      <c r="AJ100" s="3"/>
      <c r="AK100" s="3"/>
      <c r="AL100" s="3"/>
      <c r="AM100" s="3"/>
      <c r="AN100" s="3"/>
      <c r="AW100" s="3"/>
      <c r="AX100" s="3"/>
    </row>
    <row r="101" spans="29:50" x14ac:dyDescent="0.2">
      <c r="AC101" s="3"/>
      <c r="AD101" s="3"/>
      <c r="AE101" s="3"/>
      <c r="AF101" s="3"/>
      <c r="AG101" s="3"/>
      <c r="AH101" s="3"/>
      <c r="AI101" s="3"/>
      <c r="AJ101" s="3"/>
      <c r="AK101" s="3"/>
      <c r="AL101" s="3"/>
      <c r="AM101" s="3"/>
      <c r="AN101" s="3"/>
      <c r="AW101" s="3"/>
      <c r="AX101" s="3"/>
    </row>
    <row r="102" spans="29:50" x14ac:dyDescent="0.2">
      <c r="AC102" s="3"/>
      <c r="AD102" s="3"/>
      <c r="AE102" s="3"/>
      <c r="AF102" s="3"/>
      <c r="AG102" s="3"/>
      <c r="AH102" s="3"/>
      <c r="AI102" s="3"/>
      <c r="AJ102" s="3"/>
      <c r="AK102" s="3"/>
      <c r="AL102" s="3"/>
      <c r="AM102" s="3"/>
      <c r="AN102" s="3"/>
      <c r="AW102" s="3"/>
      <c r="AX102" s="3"/>
    </row>
    <row r="103" spans="29:50" x14ac:dyDescent="0.2">
      <c r="AC103" s="3"/>
      <c r="AD103" s="3"/>
      <c r="AE103" s="3"/>
      <c r="AF103" s="3"/>
      <c r="AG103" s="3"/>
      <c r="AH103" s="3"/>
      <c r="AI103" s="3"/>
      <c r="AJ103" s="3"/>
      <c r="AK103" s="3"/>
      <c r="AL103" s="3"/>
      <c r="AM103" s="3"/>
      <c r="AN103" s="3"/>
      <c r="AW103" s="3"/>
      <c r="AX103" s="3"/>
    </row>
    <row r="104" spans="29:50" x14ac:dyDescent="0.2">
      <c r="AC104" s="3"/>
      <c r="AD104" s="3"/>
      <c r="AE104" s="3"/>
      <c r="AF104" s="3"/>
      <c r="AG104" s="3"/>
      <c r="AH104" s="3"/>
      <c r="AI104" s="3"/>
      <c r="AJ104" s="3"/>
      <c r="AK104" s="3"/>
      <c r="AL104" s="3"/>
      <c r="AM104" s="3"/>
      <c r="AN104" s="3"/>
    </row>
  </sheetData>
  <mergeCells count="11">
    <mergeCell ref="A42:B42"/>
    <mergeCell ref="C57:D57"/>
    <mergeCell ref="C9:D9"/>
    <mergeCell ref="C10:D10"/>
    <mergeCell ref="C56:D56"/>
    <mergeCell ref="A36:B36"/>
    <mergeCell ref="AO10:AP10"/>
    <mergeCell ref="AO57:AP57"/>
    <mergeCell ref="AO68:AP68"/>
    <mergeCell ref="C68:D68"/>
    <mergeCell ref="C67:D67"/>
  </mergeCells>
  <phoneticPr fontId="13" type="noConversion"/>
  <conditionalFormatting sqref="AV46:AX50 A54:A55 AS65:AT65 AD46:AK50 AD62:AK65 A66 A74:A77 AU62:AX65 AU46:AU51 AS51:AT51 B43:B47 A43 A46:A47">
    <cfRule type="cellIs" dxfId="16" priority="4" stopIfTrue="1" operator="equal">
      <formula>0</formula>
    </cfRule>
  </conditionalFormatting>
  <conditionalFormatting sqref="AR65 AR51">
    <cfRule type="cellIs" dxfId="15" priority="1" stopIfTrue="1" operator="equal">
      <formula>0</formula>
    </cfRule>
  </conditionalFormatting>
  <printOptions horizontalCentered="1"/>
  <pageMargins left="0.3" right="0.3" top="0.4" bottom="0.6" header="0" footer="0.3"/>
  <pageSetup scale="56" orientation="landscape" r:id="rId1"/>
  <headerFooter alignWithMargins="0">
    <oddFooter>&amp;L&amp;F&amp;CPage 7</oddFooter>
  </headerFooter>
  <colBreaks count="1" manualBreakCount="1">
    <brk id="51" max="70" man="1"/>
  </colBreaks>
  <ignoredErrors>
    <ignoredError sqref="AT31 AT20:AT29"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5:BI97"/>
  <sheetViews>
    <sheetView workbookViewId="0"/>
  </sheetViews>
  <sheetFormatPr defaultRowHeight="12.75" outlineLevelRow="1" x14ac:dyDescent="0.2"/>
  <cols>
    <col min="1" max="1" width="2.7109375" style="407" customWidth="1"/>
    <col min="2" max="2" width="44.7109375" style="407" customWidth="1"/>
    <col min="3" max="4" width="9.7109375" style="407" customWidth="1"/>
    <col min="5" max="5" width="1.5703125" style="3" customWidth="1"/>
    <col min="6" max="6" width="9.7109375" style="481" hidden="1" customWidth="1"/>
    <col min="7" max="8" width="8.42578125" style="481" hidden="1" customWidth="1"/>
    <col min="9" max="9" width="8.42578125" style="481" customWidth="1"/>
    <col min="10" max="10" width="9.7109375" style="481" customWidth="1"/>
    <col min="11" max="13" width="8.42578125" style="481" customWidth="1"/>
    <col min="14" max="16" width="8.5703125" style="3" customWidth="1"/>
    <col min="17" max="17" width="8.85546875" style="3" customWidth="1"/>
    <col min="18" max="18" width="9.140625" style="3" hidden="1" customWidth="1"/>
    <col min="19" max="26" width="8.5703125" style="3" hidden="1" customWidth="1"/>
    <col min="27" max="28" width="9.7109375" style="3" hidden="1" customWidth="1"/>
    <col min="29" max="37" width="9.7109375" style="407" hidden="1" customWidth="1"/>
    <col min="38" max="38" width="1.5703125" style="407" customWidth="1"/>
    <col min="39" max="40" width="9.85546875" style="407" hidden="1" customWidth="1"/>
    <col min="41" max="42" width="9.85546875" style="64" hidden="1" customWidth="1"/>
    <col min="43" max="43" width="1.5703125" style="407" hidden="1" customWidth="1"/>
    <col min="44" max="46" width="9.7109375" style="64" customWidth="1"/>
    <col min="47" max="47" width="9.28515625" style="407" customWidth="1"/>
    <col min="48" max="48" width="9.7109375" style="407" customWidth="1"/>
    <col min="49" max="53" width="9.7109375" style="407" hidden="1" customWidth="1"/>
    <col min="54" max="54" width="1.5703125" style="407" customWidth="1"/>
    <col min="55" max="268" width="9.140625" style="407"/>
    <col min="269" max="269" width="2.7109375" style="407" customWidth="1"/>
    <col min="270" max="270" width="38.140625" style="407" customWidth="1"/>
    <col min="271" max="271" width="9.5703125" style="407" customWidth="1"/>
    <col min="272" max="272" width="9.7109375" style="407" customWidth="1"/>
    <col min="273" max="273" width="1.5703125" style="407" customWidth="1"/>
    <col min="274" max="276" width="0" style="407" hidden="1" customWidth="1"/>
    <col min="277" max="285" width="8.5703125" style="407" customWidth="1"/>
    <col min="286" max="300" width="0" style="407" hidden="1" customWidth="1"/>
    <col min="301" max="301" width="1.5703125" style="407" customWidth="1"/>
    <col min="302" max="302" width="9.7109375" style="407" customWidth="1"/>
    <col min="303" max="303" width="9.28515625" style="407" customWidth="1"/>
    <col min="304" max="306" width="9.7109375" style="407" customWidth="1"/>
    <col min="307" max="309" width="0" style="407" hidden="1" customWidth="1"/>
    <col min="310" max="310" width="1.5703125" style="407" customWidth="1"/>
    <col min="311" max="524" width="9.140625" style="407"/>
    <col min="525" max="525" width="2.7109375" style="407" customWidth="1"/>
    <col min="526" max="526" width="38.140625" style="407" customWidth="1"/>
    <col min="527" max="527" width="9.5703125" style="407" customWidth="1"/>
    <col min="528" max="528" width="9.7109375" style="407" customWidth="1"/>
    <col min="529" max="529" width="1.5703125" style="407" customWidth="1"/>
    <col min="530" max="532" width="0" style="407" hidden="1" customWidth="1"/>
    <col min="533" max="541" width="8.5703125" style="407" customWidth="1"/>
    <col min="542" max="556" width="0" style="407" hidden="1" customWidth="1"/>
    <col min="557" max="557" width="1.5703125" style="407" customWidth="1"/>
    <col min="558" max="558" width="9.7109375" style="407" customWidth="1"/>
    <col min="559" max="559" width="9.28515625" style="407" customWidth="1"/>
    <col min="560" max="562" width="9.7109375" style="407" customWidth="1"/>
    <col min="563" max="565" width="0" style="407" hidden="1" customWidth="1"/>
    <col min="566" max="566" width="1.5703125" style="407" customWidth="1"/>
    <col min="567" max="780" width="9.140625" style="407"/>
    <col min="781" max="781" width="2.7109375" style="407" customWidth="1"/>
    <col min="782" max="782" width="38.140625" style="407" customWidth="1"/>
    <col min="783" max="783" width="9.5703125" style="407" customWidth="1"/>
    <col min="784" max="784" width="9.7109375" style="407" customWidth="1"/>
    <col min="785" max="785" width="1.5703125" style="407" customWidth="1"/>
    <col min="786" max="788" width="0" style="407" hidden="1" customWidth="1"/>
    <col min="789" max="797" width="8.5703125" style="407" customWidth="1"/>
    <col min="798" max="812" width="0" style="407" hidden="1" customWidth="1"/>
    <col min="813" max="813" width="1.5703125" style="407" customWidth="1"/>
    <col min="814" max="814" width="9.7109375" style="407" customWidth="1"/>
    <col min="815" max="815" width="9.28515625" style="407" customWidth="1"/>
    <col min="816" max="818" width="9.7109375" style="407" customWidth="1"/>
    <col min="819" max="821" width="0" style="407" hidden="1" customWidth="1"/>
    <col min="822" max="822" width="1.5703125" style="407" customWidth="1"/>
    <col min="823" max="1036" width="9.140625" style="407"/>
    <col min="1037" max="1037" width="2.7109375" style="407" customWidth="1"/>
    <col min="1038" max="1038" width="38.140625" style="407" customWidth="1"/>
    <col min="1039" max="1039" width="9.5703125" style="407" customWidth="1"/>
    <col min="1040" max="1040" width="9.7109375" style="407" customWidth="1"/>
    <col min="1041" max="1041" width="1.5703125" style="407" customWidth="1"/>
    <col min="1042" max="1044" width="0" style="407" hidden="1" customWidth="1"/>
    <col min="1045" max="1053" width="8.5703125" style="407" customWidth="1"/>
    <col min="1054" max="1068" width="0" style="407" hidden="1" customWidth="1"/>
    <col min="1069" max="1069" width="1.5703125" style="407" customWidth="1"/>
    <col min="1070" max="1070" width="9.7109375" style="407" customWidth="1"/>
    <col min="1071" max="1071" width="9.28515625" style="407" customWidth="1"/>
    <col min="1072" max="1074" width="9.7109375" style="407" customWidth="1"/>
    <col min="1075" max="1077" width="0" style="407" hidden="1" customWidth="1"/>
    <col min="1078" max="1078" width="1.5703125" style="407" customWidth="1"/>
    <col min="1079" max="1292" width="9.140625" style="407"/>
    <col min="1293" max="1293" width="2.7109375" style="407" customWidth="1"/>
    <col min="1294" max="1294" width="38.140625" style="407" customWidth="1"/>
    <col min="1295" max="1295" width="9.5703125" style="407" customWidth="1"/>
    <col min="1296" max="1296" width="9.7109375" style="407" customWidth="1"/>
    <col min="1297" max="1297" width="1.5703125" style="407" customWidth="1"/>
    <col min="1298" max="1300" width="0" style="407" hidden="1" customWidth="1"/>
    <col min="1301" max="1309" width="8.5703125" style="407" customWidth="1"/>
    <col min="1310" max="1324" width="0" style="407" hidden="1" customWidth="1"/>
    <col min="1325" max="1325" width="1.5703125" style="407" customWidth="1"/>
    <col min="1326" max="1326" width="9.7109375" style="407" customWidth="1"/>
    <col min="1327" max="1327" width="9.28515625" style="407" customWidth="1"/>
    <col min="1328" max="1330" width="9.7109375" style="407" customWidth="1"/>
    <col min="1331" max="1333" width="0" style="407" hidden="1" customWidth="1"/>
    <col min="1334" max="1334" width="1.5703125" style="407" customWidth="1"/>
    <col min="1335" max="1548" width="9.140625" style="407"/>
    <col min="1549" max="1549" width="2.7109375" style="407" customWidth="1"/>
    <col min="1550" max="1550" width="38.140625" style="407" customWidth="1"/>
    <col min="1551" max="1551" width="9.5703125" style="407" customWidth="1"/>
    <col min="1552" max="1552" width="9.7109375" style="407" customWidth="1"/>
    <col min="1553" max="1553" width="1.5703125" style="407" customWidth="1"/>
    <col min="1554" max="1556" width="0" style="407" hidden="1" customWidth="1"/>
    <col min="1557" max="1565" width="8.5703125" style="407" customWidth="1"/>
    <col min="1566" max="1580" width="0" style="407" hidden="1" customWidth="1"/>
    <col min="1581" max="1581" width="1.5703125" style="407" customWidth="1"/>
    <col min="1582" max="1582" width="9.7109375" style="407" customWidth="1"/>
    <col min="1583" max="1583" width="9.28515625" style="407" customWidth="1"/>
    <col min="1584" max="1586" width="9.7109375" style="407" customWidth="1"/>
    <col min="1587" max="1589" width="0" style="407" hidden="1" customWidth="1"/>
    <col min="1590" max="1590" width="1.5703125" style="407" customWidth="1"/>
    <col min="1591" max="1804" width="9.140625" style="407"/>
    <col min="1805" max="1805" width="2.7109375" style="407" customWidth="1"/>
    <col min="1806" max="1806" width="38.140625" style="407" customWidth="1"/>
    <col min="1807" max="1807" width="9.5703125" style="407" customWidth="1"/>
    <col min="1808" max="1808" width="9.7109375" style="407" customWidth="1"/>
    <col min="1809" max="1809" width="1.5703125" style="407" customWidth="1"/>
    <col min="1810" max="1812" width="0" style="407" hidden="1" customWidth="1"/>
    <col min="1813" max="1821" width="8.5703125" style="407" customWidth="1"/>
    <col min="1822" max="1836" width="0" style="407" hidden="1" customWidth="1"/>
    <col min="1837" max="1837" width="1.5703125" style="407" customWidth="1"/>
    <col min="1838" max="1838" width="9.7109375" style="407" customWidth="1"/>
    <col min="1839" max="1839" width="9.28515625" style="407" customWidth="1"/>
    <col min="1840" max="1842" width="9.7109375" style="407" customWidth="1"/>
    <col min="1843" max="1845" width="0" style="407" hidden="1" customWidth="1"/>
    <col min="1846" max="1846" width="1.5703125" style="407" customWidth="1"/>
    <col min="1847" max="2060" width="9.140625" style="407"/>
    <col min="2061" max="2061" width="2.7109375" style="407" customWidth="1"/>
    <col min="2062" max="2062" width="38.140625" style="407" customWidth="1"/>
    <col min="2063" max="2063" width="9.5703125" style="407" customWidth="1"/>
    <col min="2064" max="2064" width="9.7109375" style="407" customWidth="1"/>
    <col min="2065" max="2065" width="1.5703125" style="407" customWidth="1"/>
    <col min="2066" max="2068" width="0" style="407" hidden="1" customWidth="1"/>
    <col min="2069" max="2077" width="8.5703125" style="407" customWidth="1"/>
    <col min="2078" max="2092" width="0" style="407" hidden="1" customWidth="1"/>
    <col min="2093" max="2093" width="1.5703125" style="407" customWidth="1"/>
    <col min="2094" max="2094" width="9.7109375" style="407" customWidth="1"/>
    <col min="2095" max="2095" width="9.28515625" style="407" customWidth="1"/>
    <col min="2096" max="2098" width="9.7109375" style="407" customWidth="1"/>
    <col min="2099" max="2101" width="0" style="407" hidden="1" customWidth="1"/>
    <col min="2102" max="2102" width="1.5703125" style="407" customWidth="1"/>
    <col min="2103" max="2316" width="9.140625" style="407"/>
    <col min="2317" max="2317" width="2.7109375" style="407" customWidth="1"/>
    <col min="2318" max="2318" width="38.140625" style="407" customWidth="1"/>
    <col min="2319" max="2319" width="9.5703125" style="407" customWidth="1"/>
    <col min="2320" max="2320" width="9.7109375" style="407" customWidth="1"/>
    <col min="2321" max="2321" width="1.5703125" style="407" customWidth="1"/>
    <col min="2322" max="2324" width="0" style="407" hidden="1" customWidth="1"/>
    <col min="2325" max="2333" width="8.5703125" style="407" customWidth="1"/>
    <col min="2334" max="2348" width="0" style="407" hidden="1" customWidth="1"/>
    <col min="2349" max="2349" width="1.5703125" style="407" customWidth="1"/>
    <col min="2350" max="2350" width="9.7109375" style="407" customWidth="1"/>
    <col min="2351" max="2351" width="9.28515625" style="407" customWidth="1"/>
    <col min="2352" max="2354" width="9.7109375" style="407" customWidth="1"/>
    <col min="2355" max="2357" width="0" style="407" hidden="1" customWidth="1"/>
    <col min="2358" max="2358" width="1.5703125" style="407" customWidth="1"/>
    <col min="2359" max="2572" width="9.140625" style="407"/>
    <col min="2573" max="2573" width="2.7109375" style="407" customWidth="1"/>
    <col min="2574" max="2574" width="38.140625" style="407" customWidth="1"/>
    <col min="2575" max="2575" width="9.5703125" style="407" customWidth="1"/>
    <col min="2576" max="2576" width="9.7109375" style="407" customWidth="1"/>
    <col min="2577" max="2577" width="1.5703125" style="407" customWidth="1"/>
    <col min="2578" max="2580" width="0" style="407" hidden="1" customWidth="1"/>
    <col min="2581" max="2589" width="8.5703125" style="407" customWidth="1"/>
    <col min="2590" max="2604" width="0" style="407" hidden="1" customWidth="1"/>
    <col min="2605" max="2605" width="1.5703125" style="407" customWidth="1"/>
    <col min="2606" max="2606" width="9.7109375" style="407" customWidth="1"/>
    <col min="2607" max="2607" width="9.28515625" style="407" customWidth="1"/>
    <col min="2608" max="2610" width="9.7109375" style="407" customWidth="1"/>
    <col min="2611" max="2613" width="0" style="407" hidden="1" customWidth="1"/>
    <col min="2614" max="2614" width="1.5703125" style="407" customWidth="1"/>
    <col min="2615" max="2828" width="9.140625" style="407"/>
    <col min="2829" max="2829" width="2.7109375" style="407" customWidth="1"/>
    <col min="2830" max="2830" width="38.140625" style="407" customWidth="1"/>
    <col min="2831" max="2831" width="9.5703125" style="407" customWidth="1"/>
    <col min="2832" max="2832" width="9.7109375" style="407" customWidth="1"/>
    <col min="2833" max="2833" width="1.5703125" style="407" customWidth="1"/>
    <col min="2834" max="2836" width="0" style="407" hidden="1" customWidth="1"/>
    <col min="2837" max="2845" width="8.5703125" style="407" customWidth="1"/>
    <col min="2846" max="2860" width="0" style="407" hidden="1" customWidth="1"/>
    <col min="2861" max="2861" width="1.5703125" style="407" customWidth="1"/>
    <col min="2862" max="2862" width="9.7109375" style="407" customWidth="1"/>
    <col min="2863" max="2863" width="9.28515625" style="407" customWidth="1"/>
    <col min="2864" max="2866" width="9.7109375" style="407" customWidth="1"/>
    <col min="2867" max="2869" width="0" style="407" hidden="1" customWidth="1"/>
    <col min="2870" max="2870" width="1.5703125" style="407" customWidth="1"/>
    <col min="2871" max="3084" width="9.140625" style="407"/>
    <col min="3085" max="3085" width="2.7109375" style="407" customWidth="1"/>
    <col min="3086" max="3086" width="38.140625" style="407" customWidth="1"/>
    <col min="3087" max="3087" width="9.5703125" style="407" customWidth="1"/>
    <col min="3088" max="3088" width="9.7109375" style="407" customWidth="1"/>
    <col min="3089" max="3089" width="1.5703125" style="407" customWidth="1"/>
    <col min="3090" max="3092" width="0" style="407" hidden="1" customWidth="1"/>
    <col min="3093" max="3101" width="8.5703125" style="407" customWidth="1"/>
    <col min="3102" max="3116" width="0" style="407" hidden="1" customWidth="1"/>
    <col min="3117" max="3117" width="1.5703125" style="407" customWidth="1"/>
    <col min="3118" max="3118" width="9.7109375" style="407" customWidth="1"/>
    <col min="3119" max="3119" width="9.28515625" style="407" customWidth="1"/>
    <col min="3120" max="3122" width="9.7109375" style="407" customWidth="1"/>
    <col min="3123" max="3125" width="0" style="407" hidden="1" customWidth="1"/>
    <col min="3126" max="3126" width="1.5703125" style="407" customWidth="1"/>
    <col min="3127" max="3340" width="9.140625" style="407"/>
    <col min="3341" max="3341" width="2.7109375" style="407" customWidth="1"/>
    <col min="3342" max="3342" width="38.140625" style="407" customWidth="1"/>
    <col min="3343" max="3343" width="9.5703125" style="407" customWidth="1"/>
    <col min="3344" max="3344" width="9.7109375" style="407" customWidth="1"/>
    <col min="3345" max="3345" width="1.5703125" style="407" customWidth="1"/>
    <col min="3346" max="3348" width="0" style="407" hidden="1" customWidth="1"/>
    <col min="3349" max="3357" width="8.5703125" style="407" customWidth="1"/>
    <col min="3358" max="3372" width="0" style="407" hidden="1" customWidth="1"/>
    <col min="3373" max="3373" width="1.5703125" style="407" customWidth="1"/>
    <col min="3374" max="3374" width="9.7109375" style="407" customWidth="1"/>
    <col min="3375" max="3375" width="9.28515625" style="407" customWidth="1"/>
    <col min="3376" max="3378" width="9.7109375" style="407" customWidth="1"/>
    <col min="3379" max="3381" width="0" style="407" hidden="1" customWidth="1"/>
    <col min="3382" max="3382" width="1.5703125" style="407" customWidth="1"/>
    <col min="3383" max="3596" width="9.140625" style="407"/>
    <col min="3597" max="3597" width="2.7109375" style="407" customWidth="1"/>
    <col min="3598" max="3598" width="38.140625" style="407" customWidth="1"/>
    <col min="3599" max="3599" width="9.5703125" style="407" customWidth="1"/>
    <col min="3600" max="3600" width="9.7109375" style="407" customWidth="1"/>
    <col min="3601" max="3601" width="1.5703125" style="407" customWidth="1"/>
    <col min="3602" max="3604" width="0" style="407" hidden="1" customWidth="1"/>
    <col min="3605" max="3613" width="8.5703125" style="407" customWidth="1"/>
    <col min="3614" max="3628" width="0" style="407" hidden="1" customWidth="1"/>
    <col min="3629" max="3629" width="1.5703125" style="407" customWidth="1"/>
    <col min="3630" max="3630" width="9.7109375" style="407" customWidth="1"/>
    <col min="3631" max="3631" width="9.28515625" style="407" customWidth="1"/>
    <col min="3632" max="3634" width="9.7109375" style="407" customWidth="1"/>
    <col min="3635" max="3637" width="0" style="407" hidden="1" customWidth="1"/>
    <col min="3638" max="3638" width="1.5703125" style="407" customWidth="1"/>
    <col min="3639" max="3852" width="9.140625" style="407"/>
    <col min="3853" max="3853" width="2.7109375" style="407" customWidth="1"/>
    <col min="3854" max="3854" width="38.140625" style="407" customWidth="1"/>
    <col min="3855" max="3855" width="9.5703125" style="407" customWidth="1"/>
    <col min="3856" max="3856" width="9.7109375" style="407" customWidth="1"/>
    <col min="3857" max="3857" width="1.5703125" style="407" customWidth="1"/>
    <col min="3858" max="3860" width="0" style="407" hidden="1" customWidth="1"/>
    <col min="3861" max="3869" width="8.5703125" style="407" customWidth="1"/>
    <col min="3870" max="3884" width="0" style="407" hidden="1" customWidth="1"/>
    <col min="3885" max="3885" width="1.5703125" style="407" customWidth="1"/>
    <col min="3886" max="3886" width="9.7109375" style="407" customWidth="1"/>
    <col min="3887" max="3887" width="9.28515625" style="407" customWidth="1"/>
    <col min="3888" max="3890" width="9.7109375" style="407" customWidth="1"/>
    <col min="3891" max="3893" width="0" style="407" hidden="1" customWidth="1"/>
    <col min="3894" max="3894" width="1.5703125" style="407" customWidth="1"/>
    <col min="3895" max="4108" width="9.140625" style="407"/>
    <col min="4109" max="4109" width="2.7109375" style="407" customWidth="1"/>
    <col min="4110" max="4110" width="38.140625" style="407" customWidth="1"/>
    <col min="4111" max="4111" width="9.5703125" style="407" customWidth="1"/>
    <col min="4112" max="4112" width="9.7109375" style="407" customWidth="1"/>
    <col min="4113" max="4113" width="1.5703125" style="407" customWidth="1"/>
    <col min="4114" max="4116" width="0" style="407" hidden="1" customWidth="1"/>
    <col min="4117" max="4125" width="8.5703125" style="407" customWidth="1"/>
    <col min="4126" max="4140" width="0" style="407" hidden="1" customWidth="1"/>
    <col min="4141" max="4141" width="1.5703125" style="407" customWidth="1"/>
    <col min="4142" max="4142" width="9.7109375" style="407" customWidth="1"/>
    <col min="4143" max="4143" width="9.28515625" style="407" customWidth="1"/>
    <col min="4144" max="4146" width="9.7109375" style="407" customWidth="1"/>
    <col min="4147" max="4149" width="0" style="407" hidden="1" customWidth="1"/>
    <col min="4150" max="4150" width="1.5703125" style="407" customWidth="1"/>
    <col min="4151" max="4364" width="9.140625" style="407"/>
    <col min="4365" max="4365" width="2.7109375" style="407" customWidth="1"/>
    <col min="4366" max="4366" width="38.140625" style="407" customWidth="1"/>
    <col min="4367" max="4367" width="9.5703125" style="407" customWidth="1"/>
    <col min="4368" max="4368" width="9.7109375" style="407" customWidth="1"/>
    <col min="4369" max="4369" width="1.5703125" style="407" customWidth="1"/>
    <col min="4370" max="4372" width="0" style="407" hidden="1" customWidth="1"/>
    <col min="4373" max="4381" width="8.5703125" style="407" customWidth="1"/>
    <col min="4382" max="4396" width="0" style="407" hidden="1" customWidth="1"/>
    <col min="4397" max="4397" width="1.5703125" style="407" customWidth="1"/>
    <col min="4398" max="4398" width="9.7109375" style="407" customWidth="1"/>
    <col min="4399" max="4399" width="9.28515625" style="407" customWidth="1"/>
    <col min="4400" max="4402" width="9.7109375" style="407" customWidth="1"/>
    <col min="4403" max="4405" width="0" style="407" hidden="1" customWidth="1"/>
    <col min="4406" max="4406" width="1.5703125" style="407" customWidth="1"/>
    <col min="4407" max="4620" width="9.140625" style="407"/>
    <col min="4621" max="4621" width="2.7109375" style="407" customWidth="1"/>
    <col min="4622" max="4622" width="38.140625" style="407" customWidth="1"/>
    <col min="4623" max="4623" width="9.5703125" style="407" customWidth="1"/>
    <col min="4624" max="4624" width="9.7109375" style="407" customWidth="1"/>
    <col min="4625" max="4625" width="1.5703125" style="407" customWidth="1"/>
    <col min="4626" max="4628" width="0" style="407" hidden="1" customWidth="1"/>
    <col min="4629" max="4637" width="8.5703125" style="407" customWidth="1"/>
    <col min="4638" max="4652" width="0" style="407" hidden="1" customWidth="1"/>
    <col min="4653" max="4653" width="1.5703125" style="407" customWidth="1"/>
    <col min="4654" max="4654" width="9.7109375" style="407" customWidth="1"/>
    <col min="4655" max="4655" width="9.28515625" style="407" customWidth="1"/>
    <col min="4656" max="4658" width="9.7109375" style="407" customWidth="1"/>
    <col min="4659" max="4661" width="0" style="407" hidden="1" customWidth="1"/>
    <col min="4662" max="4662" width="1.5703125" style="407" customWidth="1"/>
    <col min="4663" max="4876" width="9.140625" style="407"/>
    <col min="4877" max="4877" width="2.7109375" style="407" customWidth="1"/>
    <col min="4878" max="4878" width="38.140625" style="407" customWidth="1"/>
    <col min="4879" max="4879" width="9.5703125" style="407" customWidth="1"/>
    <col min="4880" max="4880" width="9.7109375" style="407" customWidth="1"/>
    <col min="4881" max="4881" width="1.5703125" style="407" customWidth="1"/>
    <col min="4882" max="4884" width="0" style="407" hidden="1" customWidth="1"/>
    <col min="4885" max="4893" width="8.5703125" style="407" customWidth="1"/>
    <col min="4894" max="4908" width="0" style="407" hidden="1" customWidth="1"/>
    <col min="4909" max="4909" width="1.5703125" style="407" customWidth="1"/>
    <col min="4910" max="4910" width="9.7109375" style="407" customWidth="1"/>
    <col min="4911" max="4911" width="9.28515625" style="407" customWidth="1"/>
    <col min="4912" max="4914" width="9.7109375" style="407" customWidth="1"/>
    <col min="4915" max="4917" width="0" style="407" hidden="1" customWidth="1"/>
    <col min="4918" max="4918" width="1.5703125" style="407" customWidth="1"/>
    <col min="4919" max="5132" width="9.140625" style="407"/>
    <col min="5133" max="5133" width="2.7109375" style="407" customWidth="1"/>
    <col min="5134" max="5134" width="38.140625" style="407" customWidth="1"/>
    <col min="5135" max="5135" width="9.5703125" style="407" customWidth="1"/>
    <col min="5136" max="5136" width="9.7109375" style="407" customWidth="1"/>
    <col min="5137" max="5137" width="1.5703125" style="407" customWidth="1"/>
    <col min="5138" max="5140" width="0" style="407" hidden="1" customWidth="1"/>
    <col min="5141" max="5149" width="8.5703125" style="407" customWidth="1"/>
    <col min="5150" max="5164" width="0" style="407" hidden="1" customWidth="1"/>
    <col min="5165" max="5165" width="1.5703125" style="407" customWidth="1"/>
    <col min="5166" max="5166" width="9.7109375" style="407" customWidth="1"/>
    <col min="5167" max="5167" width="9.28515625" style="407" customWidth="1"/>
    <col min="5168" max="5170" width="9.7109375" style="407" customWidth="1"/>
    <col min="5171" max="5173" width="0" style="407" hidden="1" customWidth="1"/>
    <col min="5174" max="5174" width="1.5703125" style="407" customWidth="1"/>
    <col min="5175" max="5388" width="9.140625" style="407"/>
    <col min="5389" max="5389" width="2.7109375" style="407" customWidth="1"/>
    <col min="5390" max="5390" width="38.140625" style="407" customWidth="1"/>
    <col min="5391" max="5391" width="9.5703125" style="407" customWidth="1"/>
    <col min="5392" max="5392" width="9.7109375" style="407" customWidth="1"/>
    <col min="5393" max="5393" width="1.5703125" style="407" customWidth="1"/>
    <col min="5394" max="5396" width="0" style="407" hidden="1" customWidth="1"/>
    <col min="5397" max="5405" width="8.5703125" style="407" customWidth="1"/>
    <col min="5406" max="5420" width="0" style="407" hidden="1" customWidth="1"/>
    <col min="5421" max="5421" width="1.5703125" style="407" customWidth="1"/>
    <col min="5422" max="5422" width="9.7109375" style="407" customWidth="1"/>
    <col min="5423" max="5423" width="9.28515625" style="407" customWidth="1"/>
    <col min="5424" max="5426" width="9.7109375" style="407" customWidth="1"/>
    <col min="5427" max="5429" width="0" style="407" hidden="1" customWidth="1"/>
    <col min="5430" max="5430" width="1.5703125" style="407" customWidth="1"/>
    <col min="5431" max="5644" width="9.140625" style="407"/>
    <col min="5645" max="5645" width="2.7109375" style="407" customWidth="1"/>
    <col min="5646" max="5646" width="38.140625" style="407" customWidth="1"/>
    <col min="5647" max="5647" width="9.5703125" style="407" customWidth="1"/>
    <col min="5648" max="5648" width="9.7109375" style="407" customWidth="1"/>
    <col min="5649" max="5649" width="1.5703125" style="407" customWidth="1"/>
    <col min="5650" max="5652" width="0" style="407" hidden="1" customWidth="1"/>
    <col min="5653" max="5661" width="8.5703125" style="407" customWidth="1"/>
    <col min="5662" max="5676" width="0" style="407" hidden="1" customWidth="1"/>
    <col min="5677" max="5677" width="1.5703125" style="407" customWidth="1"/>
    <col min="5678" max="5678" width="9.7109375" style="407" customWidth="1"/>
    <col min="5679" max="5679" width="9.28515625" style="407" customWidth="1"/>
    <col min="5680" max="5682" width="9.7109375" style="407" customWidth="1"/>
    <col min="5683" max="5685" width="0" style="407" hidden="1" customWidth="1"/>
    <col min="5686" max="5686" width="1.5703125" style="407" customWidth="1"/>
    <col min="5687" max="5900" width="9.140625" style="407"/>
    <col min="5901" max="5901" width="2.7109375" style="407" customWidth="1"/>
    <col min="5902" max="5902" width="38.140625" style="407" customWidth="1"/>
    <col min="5903" max="5903" width="9.5703125" style="407" customWidth="1"/>
    <col min="5904" max="5904" width="9.7109375" style="407" customWidth="1"/>
    <col min="5905" max="5905" width="1.5703125" style="407" customWidth="1"/>
    <col min="5906" max="5908" width="0" style="407" hidden="1" customWidth="1"/>
    <col min="5909" max="5917" width="8.5703125" style="407" customWidth="1"/>
    <col min="5918" max="5932" width="0" style="407" hidden="1" customWidth="1"/>
    <col min="5933" max="5933" width="1.5703125" style="407" customWidth="1"/>
    <col min="5934" max="5934" width="9.7109375" style="407" customWidth="1"/>
    <col min="5935" max="5935" width="9.28515625" style="407" customWidth="1"/>
    <col min="5936" max="5938" width="9.7109375" style="407" customWidth="1"/>
    <col min="5939" max="5941" width="0" style="407" hidden="1" customWidth="1"/>
    <col min="5942" max="5942" width="1.5703125" style="407" customWidth="1"/>
    <col min="5943" max="6156" width="9.140625" style="407"/>
    <col min="6157" max="6157" width="2.7109375" style="407" customWidth="1"/>
    <col min="6158" max="6158" width="38.140625" style="407" customWidth="1"/>
    <col min="6159" max="6159" width="9.5703125" style="407" customWidth="1"/>
    <col min="6160" max="6160" width="9.7109375" style="407" customWidth="1"/>
    <col min="6161" max="6161" width="1.5703125" style="407" customWidth="1"/>
    <col min="6162" max="6164" width="0" style="407" hidden="1" customWidth="1"/>
    <col min="6165" max="6173" width="8.5703125" style="407" customWidth="1"/>
    <col min="6174" max="6188" width="0" style="407" hidden="1" customWidth="1"/>
    <col min="6189" max="6189" width="1.5703125" style="407" customWidth="1"/>
    <col min="6190" max="6190" width="9.7109375" style="407" customWidth="1"/>
    <col min="6191" max="6191" width="9.28515625" style="407" customWidth="1"/>
    <col min="6192" max="6194" width="9.7109375" style="407" customWidth="1"/>
    <col min="6195" max="6197" width="0" style="407" hidden="1" customWidth="1"/>
    <col min="6198" max="6198" width="1.5703125" style="407" customWidth="1"/>
    <col min="6199" max="6412" width="9.140625" style="407"/>
    <col min="6413" max="6413" width="2.7109375" style="407" customWidth="1"/>
    <col min="6414" max="6414" width="38.140625" style="407" customWidth="1"/>
    <col min="6415" max="6415" width="9.5703125" style="407" customWidth="1"/>
    <col min="6416" max="6416" width="9.7109375" style="407" customWidth="1"/>
    <col min="6417" max="6417" width="1.5703125" style="407" customWidth="1"/>
    <col min="6418" max="6420" width="0" style="407" hidden="1" customWidth="1"/>
    <col min="6421" max="6429" width="8.5703125" style="407" customWidth="1"/>
    <col min="6430" max="6444" width="0" style="407" hidden="1" customWidth="1"/>
    <col min="6445" max="6445" width="1.5703125" style="407" customWidth="1"/>
    <col min="6446" max="6446" width="9.7109375" style="407" customWidth="1"/>
    <col min="6447" max="6447" width="9.28515625" style="407" customWidth="1"/>
    <col min="6448" max="6450" width="9.7109375" style="407" customWidth="1"/>
    <col min="6451" max="6453" width="0" style="407" hidden="1" customWidth="1"/>
    <col min="6454" max="6454" width="1.5703125" style="407" customWidth="1"/>
    <col min="6455" max="6668" width="9.140625" style="407"/>
    <col min="6669" max="6669" width="2.7109375" style="407" customWidth="1"/>
    <col min="6670" max="6670" width="38.140625" style="407" customWidth="1"/>
    <col min="6671" max="6671" width="9.5703125" style="407" customWidth="1"/>
    <col min="6672" max="6672" width="9.7109375" style="407" customWidth="1"/>
    <col min="6673" max="6673" width="1.5703125" style="407" customWidth="1"/>
    <col min="6674" max="6676" width="0" style="407" hidden="1" customWidth="1"/>
    <col min="6677" max="6685" width="8.5703125" style="407" customWidth="1"/>
    <col min="6686" max="6700" width="0" style="407" hidden="1" customWidth="1"/>
    <col min="6701" max="6701" width="1.5703125" style="407" customWidth="1"/>
    <col min="6702" max="6702" width="9.7109375" style="407" customWidth="1"/>
    <col min="6703" max="6703" width="9.28515625" style="407" customWidth="1"/>
    <col min="6704" max="6706" width="9.7109375" style="407" customWidth="1"/>
    <col min="6707" max="6709" width="0" style="407" hidden="1" customWidth="1"/>
    <col min="6710" max="6710" width="1.5703125" style="407" customWidth="1"/>
    <col min="6711" max="6924" width="9.140625" style="407"/>
    <col min="6925" max="6925" width="2.7109375" style="407" customWidth="1"/>
    <col min="6926" max="6926" width="38.140625" style="407" customWidth="1"/>
    <col min="6927" max="6927" width="9.5703125" style="407" customWidth="1"/>
    <col min="6928" max="6928" width="9.7109375" style="407" customWidth="1"/>
    <col min="6929" max="6929" width="1.5703125" style="407" customWidth="1"/>
    <col min="6930" max="6932" width="0" style="407" hidden="1" customWidth="1"/>
    <col min="6933" max="6941" width="8.5703125" style="407" customWidth="1"/>
    <col min="6942" max="6956" width="0" style="407" hidden="1" customWidth="1"/>
    <col min="6957" max="6957" width="1.5703125" style="407" customWidth="1"/>
    <col min="6958" max="6958" width="9.7109375" style="407" customWidth="1"/>
    <col min="6959" max="6959" width="9.28515625" style="407" customWidth="1"/>
    <col min="6960" max="6962" width="9.7109375" style="407" customWidth="1"/>
    <col min="6963" max="6965" width="0" style="407" hidden="1" customWidth="1"/>
    <col min="6966" max="6966" width="1.5703125" style="407" customWidth="1"/>
    <col min="6967" max="7180" width="9.140625" style="407"/>
    <col min="7181" max="7181" width="2.7109375" style="407" customWidth="1"/>
    <col min="7182" max="7182" width="38.140625" style="407" customWidth="1"/>
    <col min="7183" max="7183" width="9.5703125" style="407" customWidth="1"/>
    <col min="7184" max="7184" width="9.7109375" style="407" customWidth="1"/>
    <col min="7185" max="7185" width="1.5703125" style="407" customWidth="1"/>
    <col min="7186" max="7188" width="0" style="407" hidden="1" customWidth="1"/>
    <col min="7189" max="7197" width="8.5703125" style="407" customWidth="1"/>
    <col min="7198" max="7212" width="0" style="407" hidden="1" customWidth="1"/>
    <col min="7213" max="7213" width="1.5703125" style="407" customWidth="1"/>
    <col min="7214" max="7214" width="9.7109375" style="407" customWidth="1"/>
    <col min="7215" max="7215" width="9.28515625" style="407" customWidth="1"/>
    <col min="7216" max="7218" width="9.7109375" style="407" customWidth="1"/>
    <col min="7219" max="7221" width="0" style="407" hidden="1" customWidth="1"/>
    <col min="7222" max="7222" width="1.5703125" style="407" customWidth="1"/>
    <col min="7223" max="7436" width="9.140625" style="407"/>
    <col min="7437" max="7437" width="2.7109375" style="407" customWidth="1"/>
    <col min="7438" max="7438" width="38.140625" style="407" customWidth="1"/>
    <col min="7439" max="7439" width="9.5703125" style="407" customWidth="1"/>
    <col min="7440" max="7440" width="9.7109375" style="407" customWidth="1"/>
    <col min="7441" max="7441" width="1.5703125" style="407" customWidth="1"/>
    <col min="7442" max="7444" width="0" style="407" hidden="1" customWidth="1"/>
    <col min="7445" max="7453" width="8.5703125" style="407" customWidth="1"/>
    <col min="7454" max="7468" width="0" style="407" hidden="1" customWidth="1"/>
    <col min="7469" max="7469" width="1.5703125" style="407" customWidth="1"/>
    <col min="7470" max="7470" width="9.7109375" style="407" customWidth="1"/>
    <col min="7471" max="7471" width="9.28515625" style="407" customWidth="1"/>
    <col min="7472" max="7474" width="9.7109375" style="407" customWidth="1"/>
    <col min="7475" max="7477" width="0" style="407" hidden="1" customWidth="1"/>
    <col min="7478" max="7478" width="1.5703125" style="407" customWidth="1"/>
    <col min="7479" max="7692" width="9.140625" style="407"/>
    <col min="7693" max="7693" width="2.7109375" style="407" customWidth="1"/>
    <col min="7694" max="7694" width="38.140625" style="407" customWidth="1"/>
    <col min="7695" max="7695" width="9.5703125" style="407" customWidth="1"/>
    <col min="7696" max="7696" width="9.7109375" style="407" customWidth="1"/>
    <col min="7697" max="7697" width="1.5703125" style="407" customWidth="1"/>
    <col min="7698" max="7700" width="0" style="407" hidden="1" customWidth="1"/>
    <col min="7701" max="7709" width="8.5703125" style="407" customWidth="1"/>
    <col min="7710" max="7724" width="0" style="407" hidden="1" customWidth="1"/>
    <col min="7725" max="7725" width="1.5703125" style="407" customWidth="1"/>
    <col min="7726" max="7726" width="9.7109375" style="407" customWidth="1"/>
    <col min="7727" max="7727" width="9.28515625" style="407" customWidth="1"/>
    <col min="7728" max="7730" width="9.7109375" style="407" customWidth="1"/>
    <col min="7731" max="7733" width="0" style="407" hidden="1" customWidth="1"/>
    <col min="7734" max="7734" width="1.5703125" style="407" customWidth="1"/>
    <col min="7735" max="7948" width="9.140625" style="407"/>
    <col min="7949" max="7949" width="2.7109375" style="407" customWidth="1"/>
    <col min="7950" max="7950" width="38.140625" style="407" customWidth="1"/>
    <col min="7951" max="7951" width="9.5703125" style="407" customWidth="1"/>
    <col min="7952" max="7952" width="9.7109375" style="407" customWidth="1"/>
    <col min="7953" max="7953" width="1.5703125" style="407" customWidth="1"/>
    <col min="7954" max="7956" width="0" style="407" hidden="1" customWidth="1"/>
    <col min="7957" max="7965" width="8.5703125" style="407" customWidth="1"/>
    <col min="7966" max="7980" width="0" style="407" hidden="1" customWidth="1"/>
    <col min="7981" max="7981" width="1.5703125" style="407" customWidth="1"/>
    <col min="7982" max="7982" width="9.7109375" style="407" customWidth="1"/>
    <col min="7983" max="7983" width="9.28515625" style="407" customWidth="1"/>
    <col min="7984" max="7986" width="9.7109375" style="407" customWidth="1"/>
    <col min="7987" max="7989" width="0" style="407" hidden="1" customWidth="1"/>
    <col min="7990" max="7990" width="1.5703125" style="407" customWidth="1"/>
    <col min="7991" max="8204" width="9.140625" style="407"/>
    <col min="8205" max="8205" width="2.7109375" style="407" customWidth="1"/>
    <col min="8206" max="8206" width="38.140625" style="407" customWidth="1"/>
    <col min="8207" max="8207" width="9.5703125" style="407" customWidth="1"/>
    <col min="8208" max="8208" width="9.7109375" style="407" customWidth="1"/>
    <col min="8209" max="8209" width="1.5703125" style="407" customWidth="1"/>
    <col min="8210" max="8212" width="0" style="407" hidden="1" customWidth="1"/>
    <col min="8213" max="8221" width="8.5703125" style="407" customWidth="1"/>
    <col min="8222" max="8236" width="0" style="407" hidden="1" customWidth="1"/>
    <col min="8237" max="8237" width="1.5703125" style="407" customWidth="1"/>
    <col min="8238" max="8238" width="9.7109375" style="407" customWidth="1"/>
    <col min="8239" max="8239" width="9.28515625" style="407" customWidth="1"/>
    <col min="8240" max="8242" width="9.7109375" style="407" customWidth="1"/>
    <col min="8243" max="8245" width="0" style="407" hidden="1" customWidth="1"/>
    <col min="8246" max="8246" width="1.5703125" style="407" customWidth="1"/>
    <col min="8247" max="8460" width="9.140625" style="407"/>
    <col min="8461" max="8461" width="2.7109375" style="407" customWidth="1"/>
    <col min="8462" max="8462" width="38.140625" style="407" customWidth="1"/>
    <col min="8463" max="8463" width="9.5703125" style="407" customWidth="1"/>
    <col min="8464" max="8464" width="9.7109375" style="407" customWidth="1"/>
    <col min="8465" max="8465" width="1.5703125" style="407" customWidth="1"/>
    <col min="8466" max="8468" width="0" style="407" hidden="1" customWidth="1"/>
    <col min="8469" max="8477" width="8.5703125" style="407" customWidth="1"/>
    <col min="8478" max="8492" width="0" style="407" hidden="1" customWidth="1"/>
    <col min="8493" max="8493" width="1.5703125" style="407" customWidth="1"/>
    <col min="8494" max="8494" width="9.7109375" style="407" customWidth="1"/>
    <col min="8495" max="8495" width="9.28515625" style="407" customWidth="1"/>
    <col min="8496" max="8498" width="9.7109375" style="407" customWidth="1"/>
    <col min="8499" max="8501" width="0" style="407" hidden="1" customWidth="1"/>
    <col min="8502" max="8502" width="1.5703125" style="407" customWidth="1"/>
    <col min="8503" max="8716" width="9.140625" style="407"/>
    <col min="8717" max="8717" width="2.7109375" style="407" customWidth="1"/>
    <col min="8718" max="8718" width="38.140625" style="407" customWidth="1"/>
    <col min="8719" max="8719" width="9.5703125" style="407" customWidth="1"/>
    <col min="8720" max="8720" width="9.7109375" style="407" customWidth="1"/>
    <col min="8721" max="8721" width="1.5703125" style="407" customWidth="1"/>
    <col min="8722" max="8724" width="0" style="407" hidden="1" customWidth="1"/>
    <col min="8725" max="8733" width="8.5703125" style="407" customWidth="1"/>
    <col min="8734" max="8748" width="0" style="407" hidden="1" customWidth="1"/>
    <col min="8749" max="8749" width="1.5703125" style="407" customWidth="1"/>
    <col min="8750" max="8750" width="9.7109375" style="407" customWidth="1"/>
    <col min="8751" max="8751" width="9.28515625" style="407" customWidth="1"/>
    <col min="8752" max="8754" width="9.7109375" style="407" customWidth="1"/>
    <col min="8755" max="8757" width="0" style="407" hidden="1" customWidth="1"/>
    <col min="8758" max="8758" width="1.5703125" style="407" customWidth="1"/>
    <col min="8759" max="8972" width="9.140625" style="407"/>
    <col min="8973" max="8973" width="2.7109375" style="407" customWidth="1"/>
    <col min="8974" max="8974" width="38.140625" style="407" customWidth="1"/>
    <col min="8975" max="8975" width="9.5703125" style="407" customWidth="1"/>
    <col min="8976" max="8976" width="9.7109375" style="407" customWidth="1"/>
    <col min="8977" max="8977" width="1.5703125" style="407" customWidth="1"/>
    <col min="8978" max="8980" width="0" style="407" hidden="1" customWidth="1"/>
    <col min="8981" max="8989" width="8.5703125" style="407" customWidth="1"/>
    <col min="8990" max="9004" width="0" style="407" hidden="1" customWidth="1"/>
    <col min="9005" max="9005" width="1.5703125" style="407" customWidth="1"/>
    <col min="9006" max="9006" width="9.7109375" style="407" customWidth="1"/>
    <col min="9007" max="9007" width="9.28515625" style="407" customWidth="1"/>
    <col min="9008" max="9010" width="9.7109375" style="407" customWidth="1"/>
    <col min="9011" max="9013" width="0" style="407" hidden="1" customWidth="1"/>
    <col min="9014" max="9014" width="1.5703125" style="407" customWidth="1"/>
    <col min="9015" max="9228" width="9.140625" style="407"/>
    <col min="9229" max="9229" width="2.7109375" style="407" customWidth="1"/>
    <col min="9230" max="9230" width="38.140625" style="407" customWidth="1"/>
    <col min="9231" max="9231" width="9.5703125" style="407" customWidth="1"/>
    <col min="9232" max="9232" width="9.7109375" style="407" customWidth="1"/>
    <col min="9233" max="9233" width="1.5703125" style="407" customWidth="1"/>
    <col min="9234" max="9236" width="0" style="407" hidden="1" customWidth="1"/>
    <col min="9237" max="9245" width="8.5703125" style="407" customWidth="1"/>
    <col min="9246" max="9260" width="0" style="407" hidden="1" customWidth="1"/>
    <col min="9261" max="9261" width="1.5703125" style="407" customWidth="1"/>
    <col min="9262" max="9262" width="9.7109375" style="407" customWidth="1"/>
    <col min="9263" max="9263" width="9.28515625" style="407" customWidth="1"/>
    <col min="9264" max="9266" width="9.7109375" style="407" customWidth="1"/>
    <col min="9267" max="9269" width="0" style="407" hidden="1" customWidth="1"/>
    <col min="9270" max="9270" width="1.5703125" style="407" customWidth="1"/>
    <col min="9271" max="9484" width="9.140625" style="407"/>
    <col min="9485" max="9485" width="2.7109375" style="407" customWidth="1"/>
    <col min="9486" max="9486" width="38.140625" style="407" customWidth="1"/>
    <col min="9487" max="9487" width="9.5703125" style="407" customWidth="1"/>
    <col min="9488" max="9488" width="9.7109375" style="407" customWidth="1"/>
    <col min="9489" max="9489" width="1.5703125" style="407" customWidth="1"/>
    <col min="9490" max="9492" width="0" style="407" hidden="1" customWidth="1"/>
    <col min="9493" max="9501" width="8.5703125" style="407" customWidth="1"/>
    <col min="9502" max="9516" width="0" style="407" hidden="1" customWidth="1"/>
    <col min="9517" max="9517" width="1.5703125" style="407" customWidth="1"/>
    <col min="9518" max="9518" width="9.7109375" style="407" customWidth="1"/>
    <col min="9519" max="9519" width="9.28515625" style="407" customWidth="1"/>
    <col min="9520" max="9522" width="9.7109375" style="407" customWidth="1"/>
    <col min="9523" max="9525" width="0" style="407" hidden="1" customWidth="1"/>
    <col min="9526" max="9526" width="1.5703125" style="407" customWidth="1"/>
    <col min="9527" max="9740" width="9.140625" style="407"/>
    <col min="9741" max="9741" width="2.7109375" style="407" customWidth="1"/>
    <col min="9742" max="9742" width="38.140625" style="407" customWidth="1"/>
    <col min="9743" max="9743" width="9.5703125" style="407" customWidth="1"/>
    <col min="9744" max="9744" width="9.7109375" style="407" customWidth="1"/>
    <col min="9745" max="9745" width="1.5703125" style="407" customWidth="1"/>
    <col min="9746" max="9748" width="0" style="407" hidden="1" customWidth="1"/>
    <col min="9749" max="9757" width="8.5703125" style="407" customWidth="1"/>
    <col min="9758" max="9772" width="0" style="407" hidden="1" customWidth="1"/>
    <col min="9773" max="9773" width="1.5703125" style="407" customWidth="1"/>
    <col min="9774" max="9774" width="9.7109375" style="407" customWidth="1"/>
    <col min="9775" max="9775" width="9.28515625" style="407" customWidth="1"/>
    <col min="9776" max="9778" width="9.7109375" style="407" customWidth="1"/>
    <col min="9779" max="9781" width="0" style="407" hidden="1" customWidth="1"/>
    <col min="9782" max="9782" width="1.5703125" style="407" customWidth="1"/>
    <col min="9783" max="9996" width="9.140625" style="407"/>
    <col min="9997" max="9997" width="2.7109375" style="407" customWidth="1"/>
    <col min="9998" max="9998" width="38.140625" style="407" customWidth="1"/>
    <col min="9999" max="9999" width="9.5703125" style="407" customWidth="1"/>
    <col min="10000" max="10000" width="9.7109375" style="407" customWidth="1"/>
    <col min="10001" max="10001" width="1.5703125" style="407" customWidth="1"/>
    <col min="10002" max="10004" width="0" style="407" hidden="1" customWidth="1"/>
    <col min="10005" max="10013" width="8.5703125" style="407" customWidth="1"/>
    <col min="10014" max="10028" width="0" style="407" hidden="1" customWidth="1"/>
    <col min="10029" max="10029" width="1.5703125" style="407" customWidth="1"/>
    <col min="10030" max="10030" width="9.7109375" style="407" customWidth="1"/>
    <col min="10031" max="10031" width="9.28515625" style="407" customWidth="1"/>
    <col min="10032" max="10034" width="9.7109375" style="407" customWidth="1"/>
    <col min="10035" max="10037" width="0" style="407" hidden="1" customWidth="1"/>
    <col min="10038" max="10038" width="1.5703125" style="407" customWidth="1"/>
    <col min="10039" max="10252" width="9.140625" style="407"/>
    <col min="10253" max="10253" width="2.7109375" style="407" customWidth="1"/>
    <col min="10254" max="10254" width="38.140625" style="407" customWidth="1"/>
    <col min="10255" max="10255" width="9.5703125" style="407" customWidth="1"/>
    <col min="10256" max="10256" width="9.7109375" style="407" customWidth="1"/>
    <col min="10257" max="10257" width="1.5703125" style="407" customWidth="1"/>
    <col min="10258" max="10260" width="0" style="407" hidden="1" customWidth="1"/>
    <col min="10261" max="10269" width="8.5703125" style="407" customWidth="1"/>
    <col min="10270" max="10284" width="0" style="407" hidden="1" customWidth="1"/>
    <col min="10285" max="10285" width="1.5703125" style="407" customWidth="1"/>
    <col min="10286" max="10286" width="9.7109375" style="407" customWidth="1"/>
    <col min="10287" max="10287" width="9.28515625" style="407" customWidth="1"/>
    <col min="10288" max="10290" width="9.7109375" style="407" customWidth="1"/>
    <col min="10291" max="10293" width="0" style="407" hidden="1" customWidth="1"/>
    <col min="10294" max="10294" width="1.5703125" style="407" customWidth="1"/>
    <col min="10295" max="10508" width="9.140625" style="407"/>
    <col min="10509" max="10509" width="2.7109375" style="407" customWidth="1"/>
    <col min="10510" max="10510" width="38.140625" style="407" customWidth="1"/>
    <col min="10511" max="10511" width="9.5703125" style="407" customWidth="1"/>
    <col min="10512" max="10512" width="9.7109375" style="407" customWidth="1"/>
    <col min="10513" max="10513" width="1.5703125" style="407" customWidth="1"/>
    <col min="10514" max="10516" width="0" style="407" hidden="1" customWidth="1"/>
    <col min="10517" max="10525" width="8.5703125" style="407" customWidth="1"/>
    <col min="10526" max="10540" width="0" style="407" hidden="1" customWidth="1"/>
    <col min="10541" max="10541" width="1.5703125" style="407" customWidth="1"/>
    <col min="10542" max="10542" width="9.7109375" style="407" customWidth="1"/>
    <col min="10543" max="10543" width="9.28515625" style="407" customWidth="1"/>
    <col min="10544" max="10546" width="9.7109375" style="407" customWidth="1"/>
    <col min="10547" max="10549" width="0" style="407" hidden="1" customWidth="1"/>
    <col min="10550" max="10550" width="1.5703125" style="407" customWidth="1"/>
    <col min="10551" max="10764" width="9.140625" style="407"/>
    <col min="10765" max="10765" width="2.7109375" style="407" customWidth="1"/>
    <col min="10766" max="10766" width="38.140625" style="407" customWidth="1"/>
    <col min="10767" max="10767" width="9.5703125" style="407" customWidth="1"/>
    <col min="10768" max="10768" width="9.7109375" style="407" customWidth="1"/>
    <col min="10769" max="10769" width="1.5703125" style="407" customWidth="1"/>
    <col min="10770" max="10772" width="0" style="407" hidden="1" customWidth="1"/>
    <col min="10773" max="10781" width="8.5703125" style="407" customWidth="1"/>
    <col min="10782" max="10796" width="0" style="407" hidden="1" customWidth="1"/>
    <col min="10797" max="10797" width="1.5703125" style="407" customWidth="1"/>
    <col min="10798" max="10798" width="9.7109375" style="407" customWidth="1"/>
    <col min="10799" max="10799" width="9.28515625" style="407" customWidth="1"/>
    <col min="10800" max="10802" width="9.7109375" style="407" customWidth="1"/>
    <col min="10803" max="10805" width="0" style="407" hidden="1" customWidth="1"/>
    <col min="10806" max="10806" width="1.5703125" style="407" customWidth="1"/>
    <col min="10807" max="11020" width="9.140625" style="407"/>
    <col min="11021" max="11021" width="2.7109375" style="407" customWidth="1"/>
    <col min="11022" max="11022" width="38.140625" style="407" customWidth="1"/>
    <col min="11023" max="11023" width="9.5703125" style="407" customWidth="1"/>
    <col min="11024" max="11024" width="9.7109375" style="407" customWidth="1"/>
    <col min="11025" max="11025" width="1.5703125" style="407" customWidth="1"/>
    <col min="11026" max="11028" width="0" style="407" hidden="1" customWidth="1"/>
    <col min="11029" max="11037" width="8.5703125" style="407" customWidth="1"/>
    <col min="11038" max="11052" width="0" style="407" hidden="1" customWidth="1"/>
    <col min="11053" max="11053" width="1.5703125" style="407" customWidth="1"/>
    <col min="11054" max="11054" width="9.7109375" style="407" customWidth="1"/>
    <col min="11055" max="11055" width="9.28515625" style="407" customWidth="1"/>
    <col min="11056" max="11058" width="9.7109375" style="407" customWidth="1"/>
    <col min="11059" max="11061" width="0" style="407" hidden="1" customWidth="1"/>
    <col min="11062" max="11062" width="1.5703125" style="407" customWidth="1"/>
    <col min="11063" max="11276" width="9.140625" style="407"/>
    <col min="11277" max="11277" width="2.7109375" style="407" customWidth="1"/>
    <col min="11278" max="11278" width="38.140625" style="407" customWidth="1"/>
    <col min="11279" max="11279" width="9.5703125" style="407" customWidth="1"/>
    <col min="11280" max="11280" width="9.7109375" style="407" customWidth="1"/>
    <col min="11281" max="11281" width="1.5703125" style="407" customWidth="1"/>
    <col min="11282" max="11284" width="0" style="407" hidden="1" customWidth="1"/>
    <col min="11285" max="11293" width="8.5703125" style="407" customWidth="1"/>
    <col min="11294" max="11308" width="0" style="407" hidden="1" customWidth="1"/>
    <col min="11309" max="11309" width="1.5703125" style="407" customWidth="1"/>
    <col min="11310" max="11310" width="9.7109375" style="407" customWidth="1"/>
    <col min="11311" max="11311" width="9.28515625" style="407" customWidth="1"/>
    <col min="11312" max="11314" width="9.7109375" style="407" customWidth="1"/>
    <col min="11315" max="11317" width="0" style="407" hidden="1" customWidth="1"/>
    <col min="11318" max="11318" width="1.5703125" style="407" customWidth="1"/>
    <col min="11319" max="11532" width="9.140625" style="407"/>
    <col min="11533" max="11533" width="2.7109375" style="407" customWidth="1"/>
    <col min="11534" max="11534" width="38.140625" style="407" customWidth="1"/>
    <col min="11535" max="11535" width="9.5703125" style="407" customWidth="1"/>
    <col min="11536" max="11536" width="9.7109375" style="407" customWidth="1"/>
    <col min="11537" max="11537" width="1.5703125" style="407" customWidth="1"/>
    <col min="11538" max="11540" width="0" style="407" hidden="1" customWidth="1"/>
    <col min="11541" max="11549" width="8.5703125" style="407" customWidth="1"/>
    <col min="11550" max="11564" width="0" style="407" hidden="1" customWidth="1"/>
    <col min="11565" max="11565" width="1.5703125" style="407" customWidth="1"/>
    <col min="11566" max="11566" width="9.7109375" style="407" customWidth="1"/>
    <col min="11567" max="11567" width="9.28515625" style="407" customWidth="1"/>
    <col min="11568" max="11570" width="9.7109375" style="407" customWidth="1"/>
    <col min="11571" max="11573" width="0" style="407" hidden="1" customWidth="1"/>
    <col min="11574" max="11574" width="1.5703125" style="407" customWidth="1"/>
    <col min="11575" max="11788" width="9.140625" style="407"/>
    <col min="11789" max="11789" width="2.7109375" style="407" customWidth="1"/>
    <col min="11790" max="11790" width="38.140625" style="407" customWidth="1"/>
    <col min="11791" max="11791" width="9.5703125" style="407" customWidth="1"/>
    <col min="11792" max="11792" width="9.7109375" style="407" customWidth="1"/>
    <col min="11793" max="11793" width="1.5703125" style="407" customWidth="1"/>
    <col min="11794" max="11796" width="0" style="407" hidden="1" customWidth="1"/>
    <col min="11797" max="11805" width="8.5703125" style="407" customWidth="1"/>
    <col min="11806" max="11820" width="0" style="407" hidden="1" customWidth="1"/>
    <col min="11821" max="11821" width="1.5703125" style="407" customWidth="1"/>
    <col min="11822" max="11822" width="9.7109375" style="407" customWidth="1"/>
    <col min="11823" max="11823" width="9.28515625" style="407" customWidth="1"/>
    <col min="11824" max="11826" width="9.7109375" style="407" customWidth="1"/>
    <col min="11827" max="11829" width="0" style="407" hidden="1" customWidth="1"/>
    <col min="11830" max="11830" width="1.5703125" style="407" customWidth="1"/>
    <col min="11831" max="12044" width="9.140625" style="407"/>
    <col min="12045" max="12045" width="2.7109375" style="407" customWidth="1"/>
    <col min="12046" max="12046" width="38.140625" style="407" customWidth="1"/>
    <col min="12047" max="12047" width="9.5703125" style="407" customWidth="1"/>
    <col min="12048" max="12048" width="9.7109375" style="407" customWidth="1"/>
    <col min="12049" max="12049" width="1.5703125" style="407" customWidth="1"/>
    <col min="12050" max="12052" width="0" style="407" hidden="1" customWidth="1"/>
    <col min="12053" max="12061" width="8.5703125" style="407" customWidth="1"/>
    <col min="12062" max="12076" width="0" style="407" hidden="1" customWidth="1"/>
    <col min="12077" max="12077" width="1.5703125" style="407" customWidth="1"/>
    <col min="12078" max="12078" width="9.7109375" style="407" customWidth="1"/>
    <col min="12079" max="12079" width="9.28515625" style="407" customWidth="1"/>
    <col min="12080" max="12082" width="9.7109375" style="407" customWidth="1"/>
    <col min="12083" max="12085" width="0" style="407" hidden="1" customWidth="1"/>
    <col min="12086" max="12086" width="1.5703125" style="407" customWidth="1"/>
    <col min="12087" max="12300" width="9.140625" style="407"/>
    <col min="12301" max="12301" width="2.7109375" style="407" customWidth="1"/>
    <col min="12302" max="12302" width="38.140625" style="407" customWidth="1"/>
    <col min="12303" max="12303" width="9.5703125" style="407" customWidth="1"/>
    <col min="12304" max="12304" width="9.7109375" style="407" customWidth="1"/>
    <col min="12305" max="12305" width="1.5703125" style="407" customWidth="1"/>
    <col min="12306" max="12308" width="0" style="407" hidden="1" customWidth="1"/>
    <col min="12309" max="12317" width="8.5703125" style="407" customWidth="1"/>
    <col min="12318" max="12332" width="0" style="407" hidden="1" customWidth="1"/>
    <col min="12333" max="12333" width="1.5703125" style="407" customWidth="1"/>
    <col min="12334" max="12334" width="9.7109375" style="407" customWidth="1"/>
    <col min="12335" max="12335" width="9.28515625" style="407" customWidth="1"/>
    <col min="12336" max="12338" width="9.7109375" style="407" customWidth="1"/>
    <col min="12339" max="12341" width="0" style="407" hidden="1" customWidth="1"/>
    <col min="12342" max="12342" width="1.5703125" style="407" customWidth="1"/>
    <col min="12343" max="12556" width="9.140625" style="407"/>
    <col min="12557" max="12557" width="2.7109375" style="407" customWidth="1"/>
    <col min="12558" max="12558" width="38.140625" style="407" customWidth="1"/>
    <col min="12559" max="12559" width="9.5703125" style="407" customWidth="1"/>
    <col min="12560" max="12560" width="9.7109375" style="407" customWidth="1"/>
    <col min="12561" max="12561" width="1.5703125" style="407" customWidth="1"/>
    <col min="12562" max="12564" width="0" style="407" hidden="1" customWidth="1"/>
    <col min="12565" max="12573" width="8.5703125" style="407" customWidth="1"/>
    <col min="12574" max="12588" width="0" style="407" hidden="1" customWidth="1"/>
    <col min="12589" max="12589" width="1.5703125" style="407" customWidth="1"/>
    <col min="12590" max="12590" width="9.7109375" style="407" customWidth="1"/>
    <col min="12591" max="12591" width="9.28515625" style="407" customWidth="1"/>
    <col min="12592" max="12594" width="9.7109375" style="407" customWidth="1"/>
    <col min="12595" max="12597" width="0" style="407" hidden="1" customWidth="1"/>
    <col min="12598" max="12598" width="1.5703125" style="407" customWidth="1"/>
    <col min="12599" max="12812" width="9.140625" style="407"/>
    <col min="12813" max="12813" width="2.7109375" style="407" customWidth="1"/>
    <col min="12814" max="12814" width="38.140625" style="407" customWidth="1"/>
    <col min="12815" max="12815" width="9.5703125" style="407" customWidth="1"/>
    <col min="12816" max="12816" width="9.7109375" style="407" customWidth="1"/>
    <col min="12817" max="12817" width="1.5703125" style="407" customWidth="1"/>
    <col min="12818" max="12820" width="0" style="407" hidden="1" customWidth="1"/>
    <col min="12821" max="12829" width="8.5703125" style="407" customWidth="1"/>
    <col min="12830" max="12844" width="0" style="407" hidden="1" customWidth="1"/>
    <col min="12845" max="12845" width="1.5703125" style="407" customWidth="1"/>
    <col min="12846" max="12846" width="9.7109375" style="407" customWidth="1"/>
    <col min="12847" max="12847" width="9.28515625" style="407" customWidth="1"/>
    <col min="12848" max="12850" width="9.7109375" style="407" customWidth="1"/>
    <col min="12851" max="12853" width="0" style="407" hidden="1" customWidth="1"/>
    <col min="12854" max="12854" width="1.5703125" style="407" customWidth="1"/>
    <col min="12855" max="13068" width="9.140625" style="407"/>
    <col min="13069" max="13069" width="2.7109375" style="407" customWidth="1"/>
    <col min="13070" max="13070" width="38.140625" style="407" customWidth="1"/>
    <col min="13071" max="13071" width="9.5703125" style="407" customWidth="1"/>
    <col min="13072" max="13072" width="9.7109375" style="407" customWidth="1"/>
    <col min="13073" max="13073" width="1.5703125" style="407" customWidth="1"/>
    <col min="13074" max="13076" width="0" style="407" hidden="1" customWidth="1"/>
    <col min="13077" max="13085" width="8.5703125" style="407" customWidth="1"/>
    <col min="13086" max="13100" width="0" style="407" hidden="1" customWidth="1"/>
    <col min="13101" max="13101" width="1.5703125" style="407" customWidth="1"/>
    <col min="13102" max="13102" width="9.7109375" style="407" customWidth="1"/>
    <col min="13103" max="13103" width="9.28515625" style="407" customWidth="1"/>
    <col min="13104" max="13106" width="9.7109375" style="407" customWidth="1"/>
    <col min="13107" max="13109" width="0" style="407" hidden="1" customWidth="1"/>
    <col min="13110" max="13110" width="1.5703125" style="407" customWidth="1"/>
    <col min="13111" max="13324" width="9.140625" style="407"/>
    <col min="13325" max="13325" width="2.7109375" style="407" customWidth="1"/>
    <col min="13326" max="13326" width="38.140625" style="407" customWidth="1"/>
    <col min="13327" max="13327" width="9.5703125" style="407" customWidth="1"/>
    <col min="13328" max="13328" width="9.7109375" style="407" customWidth="1"/>
    <col min="13329" max="13329" width="1.5703125" style="407" customWidth="1"/>
    <col min="13330" max="13332" width="0" style="407" hidden="1" customWidth="1"/>
    <col min="13333" max="13341" width="8.5703125" style="407" customWidth="1"/>
    <col min="13342" max="13356" width="0" style="407" hidden="1" customWidth="1"/>
    <col min="13357" max="13357" width="1.5703125" style="407" customWidth="1"/>
    <col min="13358" max="13358" width="9.7109375" style="407" customWidth="1"/>
    <col min="13359" max="13359" width="9.28515625" style="407" customWidth="1"/>
    <col min="13360" max="13362" width="9.7109375" style="407" customWidth="1"/>
    <col min="13363" max="13365" width="0" style="407" hidden="1" customWidth="1"/>
    <col min="13366" max="13366" width="1.5703125" style="407" customWidth="1"/>
    <col min="13367" max="13580" width="9.140625" style="407"/>
    <col min="13581" max="13581" width="2.7109375" style="407" customWidth="1"/>
    <col min="13582" max="13582" width="38.140625" style="407" customWidth="1"/>
    <col min="13583" max="13583" width="9.5703125" style="407" customWidth="1"/>
    <col min="13584" max="13584" width="9.7109375" style="407" customWidth="1"/>
    <col min="13585" max="13585" width="1.5703125" style="407" customWidth="1"/>
    <col min="13586" max="13588" width="0" style="407" hidden="1" customWidth="1"/>
    <col min="13589" max="13597" width="8.5703125" style="407" customWidth="1"/>
    <col min="13598" max="13612" width="0" style="407" hidden="1" customWidth="1"/>
    <col min="13613" max="13613" width="1.5703125" style="407" customWidth="1"/>
    <col min="13614" max="13614" width="9.7109375" style="407" customWidth="1"/>
    <col min="13615" max="13615" width="9.28515625" style="407" customWidth="1"/>
    <col min="13616" max="13618" width="9.7109375" style="407" customWidth="1"/>
    <col min="13619" max="13621" width="0" style="407" hidden="1" customWidth="1"/>
    <col min="13622" max="13622" width="1.5703125" style="407" customWidth="1"/>
    <col min="13623" max="13836" width="9.140625" style="407"/>
    <col min="13837" max="13837" width="2.7109375" style="407" customWidth="1"/>
    <col min="13838" max="13838" width="38.140625" style="407" customWidth="1"/>
    <col min="13839" max="13839" width="9.5703125" style="407" customWidth="1"/>
    <col min="13840" max="13840" width="9.7109375" style="407" customWidth="1"/>
    <col min="13841" max="13841" width="1.5703125" style="407" customWidth="1"/>
    <col min="13842" max="13844" width="0" style="407" hidden="1" customWidth="1"/>
    <col min="13845" max="13853" width="8.5703125" style="407" customWidth="1"/>
    <col min="13854" max="13868" width="0" style="407" hidden="1" customWidth="1"/>
    <col min="13869" max="13869" width="1.5703125" style="407" customWidth="1"/>
    <col min="13870" max="13870" width="9.7109375" style="407" customWidth="1"/>
    <col min="13871" max="13871" width="9.28515625" style="407" customWidth="1"/>
    <col min="13872" max="13874" width="9.7109375" style="407" customWidth="1"/>
    <col min="13875" max="13877" width="0" style="407" hidden="1" customWidth="1"/>
    <col min="13878" max="13878" width="1.5703125" style="407" customWidth="1"/>
    <col min="13879" max="14092" width="9.140625" style="407"/>
    <col min="14093" max="14093" width="2.7109375" style="407" customWidth="1"/>
    <col min="14094" max="14094" width="38.140625" style="407" customWidth="1"/>
    <col min="14095" max="14095" width="9.5703125" style="407" customWidth="1"/>
    <col min="14096" max="14096" width="9.7109375" style="407" customWidth="1"/>
    <col min="14097" max="14097" width="1.5703125" style="407" customWidth="1"/>
    <col min="14098" max="14100" width="0" style="407" hidden="1" customWidth="1"/>
    <col min="14101" max="14109" width="8.5703125" style="407" customWidth="1"/>
    <col min="14110" max="14124" width="0" style="407" hidden="1" customWidth="1"/>
    <col min="14125" max="14125" width="1.5703125" style="407" customWidth="1"/>
    <col min="14126" max="14126" width="9.7109375" style="407" customWidth="1"/>
    <col min="14127" max="14127" width="9.28515625" style="407" customWidth="1"/>
    <col min="14128" max="14130" width="9.7109375" style="407" customWidth="1"/>
    <col min="14131" max="14133" width="0" style="407" hidden="1" customWidth="1"/>
    <col min="14134" max="14134" width="1.5703125" style="407" customWidth="1"/>
    <col min="14135" max="14348" width="9.140625" style="407"/>
    <col min="14349" max="14349" width="2.7109375" style="407" customWidth="1"/>
    <col min="14350" max="14350" width="38.140625" style="407" customWidth="1"/>
    <col min="14351" max="14351" width="9.5703125" style="407" customWidth="1"/>
    <col min="14352" max="14352" width="9.7109375" style="407" customWidth="1"/>
    <col min="14353" max="14353" width="1.5703125" style="407" customWidth="1"/>
    <col min="14354" max="14356" width="0" style="407" hidden="1" customWidth="1"/>
    <col min="14357" max="14365" width="8.5703125" style="407" customWidth="1"/>
    <col min="14366" max="14380" width="0" style="407" hidden="1" customWidth="1"/>
    <col min="14381" max="14381" width="1.5703125" style="407" customWidth="1"/>
    <col min="14382" max="14382" width="9.7109375" style="407" customWidth="1"/>
    <col min="14383" max="14383" width="9.28515625" style="407" customWidth="1"/>
    <col min="14384" max="14386" width="9.7109375" style="407" customWidth="1"/>
    <col min="14387" max="14389" width="0" style="407" hidden="1" customWidth="1"/>
    <col min="14390" max="14390" width="1.5703125" style="407" customWidth="1"/>
    <col min="14391" max="14604" width="9.140625" style="407"/>
    <col min="14605" max="14605" width="2.7109375" style="407" customWidth="1"/>
    <col min="14606" max="14606" width="38.140625" style="407" customWidth="1"/>
    <col min="14607" max="14607" width="9.5703125" style="407" customWidth="1"/>
    <col min="14608" max="14608" width="9.7109375" style="407" customWidth="1"/>
    <col min="14609" max="14609" width="1.5703125" style="407" customWidth="1"/>
    <col min="14610" max="14612" width="0" style="407" hidden="1" customWidth="1"/>
    <col min="14613" max="14621" width="8.5703125" style="407" customWidth="1"/>
    <col min="14622" max="14636" width="0" style="407" hidden="1" customWidth="1"/>
    <col min="14637" max="14637" width="1.5703125" style="407" customWidth="1"/>
    <col min="14638" max="14638" width="9.7109375" style="407" customWidth="1"/>
    <col min="14639" max="14639" width="9.28515625" style="407" customWidth="1"/>
    <col min="14640" max="14642" width="9.7109375" style="407" customWidth="1"/>
    <col min="14643" max="14645" width="0" style="407" hidden="1" customWidth="1"/>
    <col min="14646" max="14646" width="1.5703125" style="407" customWidth="1"/>
    <col min="14647" max="14860" width="9.140625" style="407"/>
    <col min="14861" max="14861" width="2.7109375" style="407" customWidth="1"/>
    <col min="14862" max="14862" width="38.140625" style="407" customWidth="1"/>
    <col min="14863" max="14863" width="9.5703125" style="407" customWidth="1"/>
    <col min="14864" max="14864" width="9.7109375" style="407" customWidth="1"/>
    <col min="14865" max="14865" width="1.5703125" style="407" customWidth="1"/>
    <col min="14866" max="14868" width="0" style="407" hidden="1" customWidth="1"/>
    <col min="14869" max="14877" width="8.5703125" style="407" customWidth="1"/>
    <col min="14878" max="14892" width="0" style="407" hidden="1" customWidth="1"/>
    <col min="14893" max="14893" width="1.5703125" style="407" customWidth="1"/>
    <col min="14894" max="14894" width="9.7109375" style="407" customWidth="1"/>
    <col min="14895" max="14895" width="9.28515625" style="407" customWidth="1"/>
    <col min="14896" max="14898" width="9.7109375" style="407" customWidth="1"/>
    <col min="14899" max="14901" width="0" style="407" hidden="1" customWidth="1"/>
    <col min="14902" max="14902" width="1.5703125" style="407" customWidth="1"/>
    <col min="14903" max="15116" width="9.140625" style="407"/>
    <col min="15117" max="15117" width="2.7109375" style="407" customWidth="1"/>
    <col min="15118" max="15118" width="38.140625" style="407" customWidth="1"/>
    <col min="15119" max="15119" width="9.5703125" style="407" customWidth="1"/>
    <col min="15120" max="15120" width="9.7109375" style="407" customWidth="1"/>
    <col min="15121" max="15121" width="1.5703125" style="407" customWidth="1"/>
    <col min="15122" max="15124" width="0" style="407" hidden="1" customWidth="1"/>
    <col min="15125" max="15133" width="8.5703125" style="407" customWidth="1"/>
    <col min="15134" max="15148" width="0" style="407" hidden="1" customWidth="1"/>
    <col min="15149" max="15149" width="1.5703125" style="407" customWidth="1"/>
    <col min="15150" max="15150" width="9.7109375" style="407" customWidth="1"/>
    <col min="15151" max="15151" width="9.28515625" style="407" customWidth="1"/>
    <col min="15152" max="15154" width="9.7109375" style="407" customWidth="1"/>
    <col min="15155" max="15157" width="0" style="407" hidden="1" customWidth="1"/>
    <col min="15158" max="15158" width="1.5703125" style="407" customWidth="1"/>
    <col min="15159" max="15372" width="9.140625" style="407"/>
    <col min="15373" max="15373" width="2.7109375" style="407" customWidth="1"/>
    <col min="15374" max="15374" width="38.140625" style="407" customWidth="1"/>
    <col min="15375" max="15375" width="9.5703125" style="407" customWidth="1"/>
    <col min="15376" max="15376" width="9.7109375" style="407" customWidth="1"/>
    <col min="15377" max="15377" width="1.5703125" style="407" customWidth="1"/>
    <col min="15378" max="15380" width="0" style="407" hidden="1" customWidth="1"/>
    <col min="15381" max="15389" width="8.5703125" style="407" customWidth="1"/>
    <col min="15390" max="15404" width="0" style="407" hidden="1" customWidth="1"/>
    <col min="15405" max="15405" width="1.5703125" style="407" customWidth="1"/>
    <col min="15406" max="15406" width="9.7109375" style="407" customWidth="1"/>
    <col min="15407" max="15407" width="9.28515625" style="407" customWidth="1"/>
    <col min="15408" max="15410" width="9.7109375" style="407" customWidth="1"/>
    <col min="15411" max="15413" width="0" style="407" hidden="1" customWidth="1"/>
    <col min="15414" max="15414" width="1.5703125" style="407" customWidth="1"/>
    <col min="15415" max="15628" width="9.140625" style="407"/>
    <col min="15629" max="15629" width="2.7109375" style="407" customWidth="1"/>
    <col min="15630" max="15630" width="38.140625" style="407" customWidth="1"/>
    <col min="15631" max="15631" width="9.5703125" style="407" customWidth="1"/>
    <col min="15632" max="15632" width="9.7109375" style="407" customWidth="1"/>
    <col min="15633" max="15633" width="1.5703125" style="407" customWidth="1"/>
    <col min="15634" max="15636" width="0" style="407" hidden="1" customWidth="1"/>
    <col min="15637" max="15645" width="8.5703125" style="407" customWidth="1"/>
    <col min="15646" max="15660" width="0" style="407" hidden="1" customWidth="1"/>
    <col min="15661" max="15661" width="1.5703125" style="407" customWidth="1"/>
    <col min="15662" max="15662" width="9.7109375" style="407" customWidth="1"/>
    <col min="15663" max="15663" width="9.28515625" style="407" customWidth="1"/>
    <col min="15664" max="15666" width="9.7109375" style="407" customWidth="1"/>
    <col min="15667" max="15669" width="0" style="407" hidden="1" customWidth="1"/>
    <col min="15670" max="15670" width="1.5703125" style="407" customWidth="1"/>
    <col min="15671" max="15884" width="9.140625" style="407"/>
    <col min="15885" max="15885" width="2.7109375" style="407" customWidth="1"/>
    <col min="15886" max="15886" width="38.140625" style="407" customWidth="1"/>
    <col min="15887" max="15887" width="9.5703125" style="407" customWidth="1"/>
    <col min="15888" max="15888" width="9.7109375" style="407" customWidth="1"/>
    <col min="15889" max="15889" width="1.5703125" style="407" customWidth="1"/>
    <col min="15890" max="15892" width="0" style="407" hidden="1" customWidth="1"/>
    <col min="15893" max="15901" width="8.5703125" style="407" customWidth="1"/>
    <col min="15902" max="15916" width="0" style="407" hidden="1" customWidth="1"/>
    <col min="15917" max="15917" width="1.5703125" style="407" customWidth="1"/>
    <col min="15918" max="15918" width="9.7109375" style="407" customWidth="1"/>
    <col min="15919" max="15919" width="9.28515625" style="407" customWidth="1"/>
    <col min="15920" max="15922" width="9.7109375" style="407" customWidth="1"/>
    <col min="15923" max="15925" width="0" style="407" hidden="1" customWidth="1"/>
    <col min="15926" max="15926" width="1.5703125" style="407" customWidth="1"/>
    <col min="15927" max="16140" width="9.140625" style="407"/>
    <col min="16141" max="16141" width="2.7109375" style="407" customWidth="1"/>
    <col min="16142" max="16142" width="38.140625" style="407" customWidth="1"/>
    <col min="16143" max="16143" width="9.5703125" style="407" customWidth="1"/>
    <col min="16144" max="16144" width="9.7109375" style="407" customWidth="1"/>
    <col min="16145" max="16145" width="1.5703125" style="407" customWidth="1"/>
    <col min="16146" max="16148" width="0" style="407" hidden="1" customWidth="1"/>
    <col min="16149" max="16157" width="8.5703125" style="407" customWidth="1"/>
    <col min="16158" max="16172" width="0" style="407" hidden="1" customWidth="1"/>
    <col min="16173" max="16173" width="1.5703125" style="407" customWidth="1"/>
    <col min="16174" max="16174" width="9.7109375" style="407" customWidth="1"/>
    <col min="16175" max="16175" width="9.28515625" style="407" customWidth="1"/>
    <col min="16176" max="16178" width="9.7109375" style="407" customWidth="1"/>
    <col min="16179" max="16181" width="0" style="407" hidden="1" customWidth="1"/>
    <col min="16182" max="16182" width="1.5703125" style="407" customWidth="1"/>
    <col min="16183" max="16384" width="9.140625" style="407"/>
  </cols>
  <sheetData>
    <row r="5" spans="1:61" x14ac:dyDescent="0.2">
      <c r="A5" s="3"/>
      <c r="B5" s="3"/>
      <c r="C5" s="3"/>
      <c r="D5" s="3"/>
      <c r="AC5" s="3"/>
      <c r="AD5" s="3"/>
      <c r="AE5" s="3"/>
    </row>
    <row r="6" spans="1:61" ht="18" customHeight="1" x14ac:dyDescent="0.2">
      <c r="A6" s="81" t="s">
        <v>232</v>
      </c>
      <c r="B6" s="3"/>
      <c r="C6" s="3"/>
      <c r="D6" s="3"/>
      <c r="F6" s="352"/>
      <c r="G6" s="352"/>
      <c r="J6" s="352"/>
      <c r="K6" s="352"/>
      <c r="N6" s="352"/>
      <c r="O6" s="352"/>
      <c r="AC6" s="3"/>
      <c r="AD6" s="3"/>
      <c r="AE6" s="3"/>
      <c r="AM6" s="352"/>
      <c r="AN6" s="352"/>
    </row>
    <row r="7" spans="1:61" ht="18" customHeight="1" x14ac:dyDescent="0.2">
      <c r="A7" s="81" t="s">
        <v>195</v>
      </c>
      <c r="B7" s="3"/>
      <c r="C7" s="3"/>
      <c r="D7" s="3"/>
      <c r="AC7" s="3"/>
      <c r="AD7" s="3"/>
      <c r="AE7" s="3"/>
    </row>
    <row r="8" spans="1:61" s="480" customFormat="1" ht="14.25" x14ac:dyDescent="0.2">
      <c r="A8" s="510" t="s">
        <v>288</v>
      </c>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O8" s="64"/>
      <c r="AP8" s="64"/>
      <c r="AR8" s="64"/>
      <c r="AS8" s="64"/>
      <c r="AT8" s="64"/>
    </row>
    <row r="9" spans="1:61" ht="9.75" customHeight="1" x14ac:dyDescent="0.2">
      <c r="A9" s="2"/>
      <c r="B9" s="2"/>
      <c r="C9" s="2"/>
      <c r="D9" s="2"/>
      <c r="E9" s="2"/>
      <c r="F9" s="2"/>
      <c r="G9" s="2"/>
      <c r="H9" s="2"/>
      <c r="I9" s="2"/>
      <c r="J9" s="2"/>
      <c r="K9" s="2"/>
      <c r="L9" s="2"/>
      <c r="M9" s="2"/>
      <c r="N9" s="281"/>
      <c r="O9" s="2"/>
      <c r="P9" s="2"/>
      <c r="Q9" s="2"/>
      <c r="R9" s="281"/>
      <c r="S9" s="2"/>
      <c r="T9" s="281"/>
      <c r="U9" s="2"/>
      <c r="V9" s="281"/>
      <c r="W9" s="2"/>
      <c r="X9" s="281"/>
      <c r="Y9" s="2"/>
      <c r="Z9" s="281"/>
      <c r="AA9" s="2"/>
      <c r="AB9" s="2"/>
      <c r="AC9" s="3"/>
      <c r="AD9" s="3"/>
      <c r="AE9" s="3"/>
      <c r="AO9" s="366"/>
      <c r="AP9" s="366"/>
      <c r="AR9" s="366"/>
      <c r="AS9" s="366"/>
      <c r="AT9" s="366"/>
      <c r="AY9" s="3"/>
      <c r="AZ9" s="3"/>
      <c r="BA9" s="3"/>
    </row>
    <row r="10" spans="1:61" x14ac:dyDescent="0.2">
      <c r="A10" s="5" t="s">
        <v>1</v>
      </c>
      <c r="B10" s="6"/>
      <c r="C10" s="2431" t="s">
        <v>293</v>
      </c>
      <c r="D10" s="2432"/>
      <c r="E10" s="184"/>
      <c r="F10" s="273"/>
      <c r="G10" s="273"/>
      <c r="H10" s="273"/>
      <c r="I10" s="17"/>
      <c r="J10" s="273"/>
      <c r="K10" s="273"/>
      <c r="L10" s="273"/>
      <c r="M10" s="17"/>
      <c r="N10" s="15"/>
      <c r="O10" s="16"/>
      <c r="P10" s="273"/>
      <c r="Q10" s="17"/>
      <c r="R10" s="15"/>
      <c r="S10" s="16"/>
      <c r="T10" s="273"/>
      <c r="U10" s="17"/>
      <c r="V10" s="481"/>
      <c r="W10" s="16"/>
      <c r="X10" s="2"/>
      <c r="Y10" s="17"/>
      <c r="Z10" s="16"/>
      <c r="AA10" s="481"/>
      <c r="AB10" s="273"/>
      <c r="AC10" s="17"/>
      <c r="AD10" s="16"/>
      <c r="AE10" s="16"/>
      <c r="AF10" s="16"/>
      <c r="AG10" s="16"/>
      <c r="AH10" s="20"/>
      <c r="AI10" s="17"/>
      <c r="AJ10" s="17"/>
      <c r="AK10" s="17"/>
      <c r="AL10" s="22"/>
      <c r="AM10" s="445" t="s">
        <v>281</v>
      </c>
      <c r="AN10" s="433"/>
      <c r="AO10" s="433" t="s">
        <v>266</v>
      </c>
      <c r="AP10" s="434"/>
      <c r="AQ10" s="13"/>
      <c r="AR10" s="530"/>
      <c r="AS10" s="464"/>
      <c r="AT10" s="448"/>
      <c r="AU10" s="46"/>
      <c r="AV10" s="46"/>
      <c r="AW10" s="15"/>
      <c r="AX10" s="20"/>
      <c r="AY10" s="46"/>
      <c r="AZ10" s="46"/>
      <c r="BA10" s="464"/>
      <c r="BB10" s="23"/>
    </row>
    <row r="11" spans="1:61" ht="13.5" x14ac:dyDescent="0.2">
      <c r="A11" s="5" t="s">
        <v>2</v>
      </c>
      <c r="B11" s="6"/>
      <c r="C11" s="2433" t="s">
        <v>35</v>
      </c>
      <c r="D11" s="2434"/>
      <c r="E11" s="355"/>
      <c r="F11" s="19" t="s">
        <v>296</v>
      </c>
      <c r="G11" s="19" t="s">
        <v>295</v>
      </c>
      <c r="H11" s="19" t="s">
        <v>294</v>
      </c>
      <c r="I11" s="12" t="s">
        <v>292</v>
      </c>
      <c r="J11" s="19" t="s">
        <v>252</v>
      </c>
      <c r="K11" s="19" t="s">
        <v>253</v>
      </c>
      <c r="L11" s="19" t="s">
        <v>254</v>
      </c>
      <c r="M11" s="12" t="s">
        <v>255</v>
      </c>
      <c r="N11" s="18" t="s">
        <v>202</v>
      </c>
      <c r="O11" s="19" t="s">
        <v>203</v>
      </c>
      <c r="P11" s="19" t="s">
        <v>204</v>
      </c>
      <c r="Q11" s="12" t="s">
        <v>201</v>
      </c>
      <c r="R11" s="18" t="s">
        <v>173</v>
      </c>
      <c r="S11" s="19" t="s">
        <v>174</v>
      </c>
      <c r="T11" s="19" t="s">
        <v>175</v>
      </c>
      <c r="U11" s="12" t="s">
        <v>176</v>
      </c>
      <c r="V11" s="19" t="s">
        <v>109</v>
      </c>
      <c r="W11" s="19" t="s">
        <v>108</v>
      </c>
      <c r="X11" s="19" t="s">
        <v>107</v>
      </c>
      <c r="Y11" s="12" t="s">
        <v>106</v>
      </c>
      <c r="Z11" s="19" t="s">
        <v>78</v>
      </c>
      <c r="AA11" s="19" t="s">
        <v>79</v>
      </c>
      <c r="AB11" s="19" t="s">
        <v>80</v>
      </c>
      <c r="AC11" s="12" t="s">
        <v>26</v>
      </c>
      <c r="AD11" s="19" t="s">
        <v>27</v>
      </c>
      <c r="AE11" s="19" t="s">
        <v>28</v>
      </c>
      <c r="AF11" s="19" t="s">
        <v>29</v>
      </c>
      <c r="AG11" s="19" t="s">
        <v>30</v>
      </c>
      <c r="AH11" s="21" t="s">
        <v>31</v>
      </c>
      <c r="AI11" s="12" t="s">
        <v>32</v>
      </c>
      <c r="AJ11" s="12" t="s">
        <v>33</v>
      </c>
      <c r="AK11" s="12" t="s">
        <v>34</v>
      </c>
      <c r="AL11" s="184"/>
      <c r="AM11" s="19" t="s">
        <v>253</v>
      </c>
      <c r="AN11" s="19" t="s">
        <v>203</v>
      </c>
      <c r="AO11" s="2436" t="s">
        <v>35</v>
      </c>
      <c r="AP11" s="2437"/>
      <c r="AQ11" s="450"/>
      <c r="AR11" s="18" t="s">
        <v>257</v>
      </c>
      <c r="AS11" s="18" t="s">
        <v>206</v>
      </c>
      <c r="AT11" s="18" t="s">
        <v>111</v>
      </c>
      <c r="AU11" s="18" t="s">
        <v>110</v>
      </c>
      <c r="AV11" s="18" t="s">
        <v>39</v>
      </c>
      <c r="AW11" s="18" t="s">
        <v>36</v>
      </c>
      <c r="AX11" s="21" t="s">
        <v>37</v>
      </c>
      <c r="AY11" s="21" t="s">
        <v>128</v>
      </c>
      <c r="AZ11" s="21" t="s">
        <v>129</v>
      </c>
      <c r="BA11" s="18" t="s">
        <v>130</v>
      </c>
      <c r="BB11" s="23"/>
      <c r="BC11" s="3"/>
      <c r="BD11" s="3"/>
      <c r="BG11" s="3"/>
      <c r="BH11" s="3"/>
      <c r="BI11" s="3"/>
    </row>
    <row r="12" spans="1:61" x14ac:dyDescent="0.2">
      <c r="A12" s="5"/>
      <c r="B12" s="6"/>
      <c r="C12" s="418"/>
      <c r="D12" s="451"/>
      <c r="E12" s="449"/>
      <c r="F12" s="421" t="s">
        <v>220</v>
      </c>
      <c r="G12" s="421" t="s">
        <v>220</v>
      </c>
      <c r="H12" s="421" t="s">
        <v>220</v>
      </c>
      <c r="I12" s="422" t="s">
        <v>220</v>
      </c>
      <c r="J12" s="421" t="s">
        <v>220</v>
      </c>
      <c r="K12" s="421" t="s">
        <v>220</v>
      </c>
      <c r="L12" s="421" t="s">
        <v>220</v>
      </c>
      <c r="M12" s="422" t="s">
        <v>220</v>
      </c>
      <c r="N12" s="420" t="s">
        <v>220</v>
      </c>
      <c r="O12" s="421" t="s">
        <v>220</v>
      </c>
      <c r="P12" s="421" t="s">
        <v>220</v>
      </c>
      <c r="Q12" s="422" t="s">
        <v>220</v>
      </c>
      <c r="R12" s="420" t="s">
        <v>220</v>
      </c>
      <c r="S12" s="421" t="s">
        <v>220</v>
      </c>
      <c r="T12" s="421" t="s">
        <v>220</v>
      </c>
      <c r="U12" s="422" t="s">
        <v>220</v>
      </c>
      <c r="V12" s="420" t="s">
        <v>221</v>
      </c>
      <c r="W12" s="421" t="s">
        <v>221</v>
      </c>
      <c r="X12" s="421" t="s">
        <v>221</v>
      </c>
      <c r="Y12" s="422" t="s">
        <v>221</v>
      </c>
      <c r="Z12" s="13"/>
      <c r="AA12" s="13"/>
      <c r="AB12" s="13"/>
      <c r="AC12" s="159"/>
      <c r="AD12" s="13"/>
      <c r="AE12" s="13"/>
      <c r="AF12" s="13"/>
      <c r="AG12" s="13"/>
      <c r="AH12" s="184"/>
      <c r="AI12" s="159"/>
      <c r="AJ12" s="159"/>
      <c r="AK12" s="159"/>
      <c r="AL12" s="184"/>
      <c r="AM12" s="421" t="s">
        <v>220</v>
      </c>
      <c r="AN12" s="421" t="s">
        <v>220</v>
      </c>
      <c r="AO12" s="435"/>
      <c r="AP12" s="436"/>
      <c r="AQ12" s="450"/>
      <c r="AR12" s="420" t="s">
        <v>220</v>
      </c>
      <c r="AS12" s="420" t="s">
        <v>220</v>
      </c>
      <c r="AT12" s="420" t="s">
        <v>220</v>
      </c>
      <c r="AU12" s="420" t="s">
        <v>221</v>
      </c>
      <c r="AV12" s="420" t="s">
        <v>221</v>
      </c>
      <c r="AW12" s="420" t="s">
        <v>221</v>
      </c>
      <c r="AX12" s="423" t="s">
        <v>221</v>
      </c>
      <c r="AY12" s="184"/>
      <c r="AZ12" s="184"/>
      <c r="BA12" s="158"/>
      <c r="BB12" s="23"/>
      <c r="BC12" s="3"/>
      <c r="BD12" s="3"/>
      <c r="BG12" s="3"/>
      <c r="BH12" s="3"/>
      <c r="BI12" s="3"/>
    </row>
    <row r="13" spans="1:61" ht="12.75" customHeight="1" x14ac:dyDescent="0.2">
      <c r="A13" s="408" t="s">
        <v>56</v>
      </c>
      <c r="B13" s="7"/>
      <c r="C13" s="105"/>
      <c r="D13" s="107"/>
      <c r="E13" s="47"/>
      <c r="F13" s="6"/>
      <c r="G13" s="6"/>
      <c r="H13" s="6"/>
      <c r="I13" s="275"/>
      <c r="J13" s="6"/>
      <c r="K13" s="6"/>
      <c r="L13" s="6"/>
      <c r="M13" s="275"/>
      <c r="N13" s="91"/>
      <c r="O13" s="6"/>
      <c r="P13" s="6"/>
      <c r="Q13" s="275"/>
      <c r="R13" s="91"/>
      <c r="S13" s="6"/>
      <c r="T13" s="6"/>
      <c r="U13" s="275"/>
      <c r="V13" s="91"/>
      <c r="W13" s="6"/>
      <c r="X13" s="6"/>
      <c r="Y13" s="275"/>
      <c r="Z13" s="91"/>
      <c r="AA13" s="6"/>
      <c r="AB13" s="6"/>
      <c r="AC13" s="275"/>
      <c r="AD13" s="125"/>
      <c r="AE13" s="91"/>
      <c r="AF13" s="91"/>
      <c r="AG13" s="107"/>
      <c r="AH13" s="124"/>
      <c r="AI13" s="107"/>
      <c r="AJ13" s="107"/>
      <c r="AK13" s="106"/>
      <c r="AL13" s="47"/>
      <c r="AM13" s="452"/>
      <c r="AN13" s="442"/>
      <c r="AO13" s="442"/>
      <c r="AP13" s="395"/>
      <c r="AQ13" s="44"/>
      <c r="AR13" s="383"/>
      <c r="AS13" s="383"/>
      <c r="AT13" s="383"/>
      <c r="AU13" s="47"/>
      <c r="AV13" s="47"/>
      <c r="AW13" s="105"/>
      <c r="AX13" s="47"/>
      <c r="AY13" s="224"/>
      <c r="AZ13" s="224"/>
      <c r="BA13" s="312"/>
      <c r="BB13" s="23"/>
      <c r="BC13" s="3"/>
      <c r="BD13" s="3"/>
      <c r="BG13" s="3"/>
    </row>
    <row r="14" spans="1:61" ht="12.75" customHeight="1" x14ac:dyDescent="0.2">
      <c r="A14" s="6"/>
      <c r="B14" s="44" t="s">
        <v>170</v>
      </c>
      <c r="C14" s="168" t="e">
        <f>I14-M14</f>
        <v>#REF!</v>
      </c>
      <c r="D14" s="498" t="e">
        <f>IF(OR((C14/M14)&gt;3,(C14/M14)&lt;-3),"n.m.",(C14/M14))</f>
        <v>#REF!</v>
      </c>
      <c r="E14" s="350"/>
      <c r="F14" s="500" t="e">
        <f>+#REF!</f>
        <v>#REF!</v>
      </c>
      <c r="G14" s="500" t="e">
        <f>+#REF!</f>
        <v>#REF!</v>
      </c>
      <c r="H14" s="500" t="e">
        <f>+#REF!</f>
        <v>#REF!</v>
      </c>
      <c r="I14" s="500" t="e">
        <f>+#REF!</f>
        <v>#REF!</v>
      </c>
      <c r="J14" s="490" t="e">
        <f>+#REF!</f>
        <v>#REF!</v>
      </c>
      <c r="K14" s="500" t="e">
        <f>+#REF!</f>
        <v>#REF!</v>
      </c>
      <c r="L14" s="500" t="e">
        <f>+#REF!</f>
        <v>#REF!</v>
      </c>
      <c r="M14" s="501" t="e">
        <f>+#REF!</f>
        <v>#REF!</v>
      </c>
      <c r="N14" s="460" t="e">
        <f>#REF!</f>
        <v>#REF!</v>
      </c>
      <c r="O14" s="460">
        <v>12748</v>
      </c>
      <c r="P14" s="160">
        <v>9338</v>
      </c>
      <c r="Q14" s="164">
        <v>9246</v>
      </c>
      <c r="R14" s="160">
        <v>34555</v>
      </c>
      <c r="S14" s="160">
        <v>23339</v>
      </c>
      <c r="T14" s="160">
        <v>18338</v>
      </c>
      <c r="U14" s="164">
        <v>16445</v>
      </c>
      <c r="V14" s="160">
        <v>21333</v>
      </c>
      <c r="W14" s="160">
        <v>26421</v>
      </c>
      <c r="X14" s="160">
        <v>13775</v>
      </c>
      <c r="Y14" s="164">
        <v>20925</v>
      </c>
      <c r="Z14" s="160"/>
      <c r="AA14" s="160"/>
      <c r="AB14" s="160"/>
      <c r="AC14" s="164"/>
      <c r="AD14" s="160"/>
      <c r="AE14" s="160"/>
      <c r="AF14" s="160"/>
      <c r="AG14" s="164"/>
      <c r="AH14" s="129"/>
      <c r="AI14" s="167"/>
      <c r="AJ14" s="164"/>
      <c r="AK14" s="160"/>
      <c r="AL14" s="131"/>
      <c r="AM14" s="168" t="e">
        <f>SUM(K14:M14)</f>
        <v>#REF!</v>
      </c>
      <c r="AN14" s="180">
        <f>SUM(O14:Q14)</f>
        <v>31332</v>
      </c>
      <c r="AO14" s="180" t="e">
        <f>AR14-AS14</f>
        <v>#REF!</v>
      </c>
      <c r="AP14" s="498" t="e">
        <f>IF(OR((AO14/AS14)&gt;3,(AO14/AS14)&lt;-3),"n.m.",(AO14/AS14))</f>
        <v>#REF!</v>
      </c>
      <c r="AQ14" s="171"/>
      <c r="AR14" s="493" t="e">
        <f>SUM(J14:M14)</f>
        <v>#REF!</v>
      </c>
      <c r="AS14" s="234" t="e">
        <f>SUM(N14:Q14)</f>
        <v>#REF!</v>
      </c>
      <c r="AT14" s="234">
        <f>SUM(R14:U14)</f>
        <v>92677</v>
      </c>
      <c r="AU14" s="129">
        <f>SUM(V14:Y14)</f>
        <v>82454</v>
      </c>
      <c r="AV14" s="129">
        <v>72926</v>
      </c>
      <c r="AW14" s="129">
        <v>118332</v>
      </c>
      <c r="AX14" s="134">
        <v>129852</v>
      </c>
      <c r="AY14" s="37">
        <v>125900</v>
      </c>
      <c r="AZ14" s="37">
        <v>116090</v>
      </c>
      <c r="BA14" s="459">
        <v>84489</v>
      </c>
      <c r="BB14" s="23"/>
      <c r="BC14" s="3"/>
      <c r="BD14" s="3"/>
      <c r="BG14" s="3"/>
    </row>
    <row r="15" spans="1:61" ht="12.75" customHeight="1" x14ac:dyDescent="0.2">
      <c r="A15" s="6"/>
      <c r="B15" s="482" t="s">
        <v>285</v>
      </c>
      <c r="C15" s="168" t="e">
        <f>I15-M15</f>
        <v>#REF!</v>
      </c>
      <c r="D15" s="498" t="s">
        <v>38</v>
      </c>
      <c r="E15" s="350"/>
      <c r="F15" s="504" t="e">
        <f>+'11 CWM UK and Europe'!#REF!</f>
        <v>#REF!</v>
      </c>
      <c r="G15" s="504" t="e">
        <f>+'11 CWM UK and Europe'!#REF!</f>
        <v>#REF!</v>
      </c>
      <c r="H15" s="504" t="e">
        <f>+'11 CWM UK and Europe'!#REF!</f>
        <v>#REF!</v>
      </c>
      <c r="I15" s="504" t="e">
        <f>+'11 CWM UK and Europe'!#REF!</f>
        <v>#REF!</v>
      </c>
      <c r="J15" s="346" t="e">
        <f>+'11 CWM UK and Europe'!#REF!</f>
        <v>#REF!</v>
      </c>
      <c r="K15" s="504" t="e">
        <f>+'11 CWM UK and Europe'!#REF!</f>
        <v>#REF!</v>
      </c>
      <c r="L15" s="504" t="e">
        <f>+'11 CWM UK and Europe'!#REF!</f>
        <v>#REF!</v>
      </c>
      <c r="M15" s="503" t="e">
        <f>+'11 CWM UK and Europe'!#REF!</f>
        <v>#REF!</v>
      </c>
      <c r="N15" s="460" t="e">
        <f>+'11 CWM UK and Europe'!#REF!</f>
        <v>#REF!</v>
      </c>
      <c r="O15" s="363">
        <v>0</v>
      </c>
      <c r="P15" s="363">
        <v>0</v>
      </c>
      <c r="Q15" s="469">
        <v>0</v>
      </c>
      <c r="R15" s="363">
        <v>0</v>
      </c>
      <c r="S15" s="363">
        <v>0</v>
      </c>
      <c r="T15" s="363">
        <v>0</v>
      </c>
      <c r="U15" s="469">
        <v>0</v>
      </c>
      <c r="V15" s="363">
        <v>0</v>
      </c>
      <c r="W15" s="460"/>
      <c r="X15" s="460"/>
      <c r="Y15" s="164"/>
      <c r="Z15" s="460"/>
      <c r="AA15" s="460"/>
      <c r="AB15" s="460"/>
      <c r="AC15" s="164"/>
      <c r="AD15" s="460"/>
      <c r="AE15" s="460"/>
      <c r="AF15" s="460"/>
      <c r="AG15" s="164"/>
      <c r="AH15" s="129"/>
      <c r="AI15" s="167"/>
      <c r="AJ15" s="164"/>
      <c r="AK15" s="460"/>
      <c r="AL15" s="131"/>
      <c r="AM15" s="168" t="e">
        <f>SUM(K15:M15)</f>
        <v>#REF!</v>
      </c>
      <c r="AN15" s="180">
        <f>+'11 CWM UK and Europe'!Q14</f>
        <v>201383</v>
      </c>
      <c r="AO15" s="180" t="e">
        <f>AR15-AS15</f>
        <v>#REF!</v>
      </c>
      <c r="AP15" s="92" t="s">
        <v>38</v>
      </c>
      <c r="AQ15" s="171"/>
      <c r="AR15" s="493" t="e">
        <f>SUM(J15:M15)</f>
        <v>#REF!</v>
      </c>
      <c r="AS15" s="234" t="e">
        <f>SUM(N15:Q15)</f>
        <v>#REF!</v>
      </c>
      <c r="AT15" s="326">
        <v>0</v>
      </c>
      <c r="AU15" s="470">
        <v>0</v>
      </c>
      <c r="AV15" s="470">
        <v>0</v>
      </c>
      <c r="AW15" s="471">
        <v>0</v>
      </c>
      <c r="AX15" s="134"/>
      <c r="AY15" s="37"/>
      <c r="AZ15" s="37"/>
      <c r="BA15" s="459"/>
      <c r="BB15" s="23"/>
      <c r="BC15" s="3"/>
      <c r="BD15" s="3"/>
      <c r="BG15" s="3"/>
    </row>
    <row r="16" spans="1:61" ht="12.75" customHeight="1" x14ac:dyDescent="0.2">
      <c r="A16" s="7"/>
      <c r="B16" s="6"/>
      <c r="C16" s="172" t="e">
        <f>I16-M16</f>
        <v>#REF!</v>
      </c>
      <c r="D16" s="111" t="e">
        <f>IF(OR((C16/M16)&gt;3,(C16/M16)&lt;-3),"n.m.",(C16/M16))</f>
        <v>#REF!</v>
      </c>
      <c r="E16" s="350"/>
      <c r="F16" s="174" t="e">
        <f t="shared" ref="F16:N16" si="0">SUM(F14:F15)</f>
        <v>#REF!</v>
      </c>
      <c r="G16" s="174" t="e">
        <f t="shared" si="0"/>
        <v>#REF!</v>
      </c>
      <c r="H16" s="174" t="e">
        <f t="shared" si="0"/>
        <v>#REF!</v>
      </c>
      <c r="I16" s="174" t="e">
        <f t="shared" si="0"/>
        <v>#REF!</v>
      </c>
      <c r="J16" s="173" t="e">
        <f t="shared" si="0"/>
        <v>#REF!</v>
      </c>
      <c r="K16" s="174" t="e">
        <f t="shared" si="0"/>
        <v>#REF!</v>
      </c>
      <c r="L16" s="174" t="e">
        <f t="shared" si="0"/>
        <v>#REF!</v>
      </c>
      <c r="M16" s="175" t="e">
        <f t="shared" si="0"/>
        <v>#REF!</v>
      </c>
      <c r="N16" s="174" t="e">
        <f t="shared" si="0"/>
        <v>#REF!</v>
      </c>
      <c r="O16" s="174">
        <f>O14</f>
        <v>12748</v>
      </c>
      <c r="P16" s="174">
        <f>SUM(P14)</f>
        <v>9338</v>
      </c>
      <c r="Q16" s="175">
        <f>SUM(Q14)</f>
        <v>9246</v>
      </c>
      <c r="R16" s="174">
        <f t="shared" ref="R16:AX16" si="1">SUM(R14)</f>
        <v>34555</v>
      </c>
      <c r="S16" s="174">
        <f t="shared" si="1"/>
        <v>23339</v>
      </c>
      <c r="T16" s="174">
        <f t="shared" si="1"/>
        <v>18338</v>
      </c>
      <c r="U16" s="175">
        <f t="shared" si="1"/>
        <v>16445</v>
      </c>
      <c r="V16" s="174">
        <f t="shared" si="1"/>
        <v>21333</v>
      </c>
      <c r="W16" s="174">
        <f t="shared" si="1"/>
        <v>26421</v>
      </c>
      <c r="X16" s="174">
        <f t="shared" si="1"/>
        <v>13775</v>
      </c>
      <c r="Y16" s="175">
        <f t="shared" si="1"/>
        <v>20925</v>
      </c>
      <c r="Z16" s="174">
        <f t="shared" si="1"/>
        <v>0</v>
      </c>
      <c r="AA16" s="174">
        <f t="shared" si="1"/>
        <v>0</v>
      </c>
      <c r="AB16" s="174">
        <f t="shared" si="1"/>
        <v>0</v>
      </c>
      <c r="AC16" s="175">
        <f t="shared" si="1"/>
        <v>0</v>
      </c>
      <c r="AD16" s="174">
        <f t="shared" si="1"/>
        <v>0</v>
      </c>
      <c r="AE16" s="174">
        <f t="shared" si="1"/>
        <v>0</v>
      </c>
      <c r="AF16" s="174">
        <f t="shared" si="1"/>
        <v>0</v>
      </c>
      <c r="AG16" s="175">
        <f t="shared" si="1"/>
        <v>0</v>
      </c>
      <c r="AH16" s="130">
        <f t="shared" si="1"/>
        <v>0</v>
      </c>
      <c r="AI16" s="175">
        <f t="shared" si="1"/>
        <v>0</v>
      </c>
      <c r="AJ16" s="175">
        <f t="shared" si="1"/>
        <v>0</v>
      </c>
      <c r="AK16" s="174">
        <f t="shared" si="1"/>
        <v>0</v>
      </c>
      <c r="AL16" s="131"/>
      <c r="AM16" s="172" t="e">
        <f>SUM(AM14:AM15)</f>
        <v>#REF!</v>
      </c>
      <c r="AN16" s="236">
        <f>SUM(AN14)</f>
        <v>31332</v>
      </c>
      <c r="AO16" s="236" t="e">
        <f>+AR16-AS16</f>
        <v>#REF!</v>
      </c>
      <c r="AP16" s="92" t="e">
        <f>IF(OR((AO16/AS16)&gt;3,(AO16/AS16)&lt;-3),"n.m.",(AO16/AS16))</f>
        <v>#REF!</v>
      </c>
      <c r="AQ16" s="171"/>
      <c r="AR16" s="241" t="e">
        <f>SUM(AR14:AR15)</f>
        <v>#REF!</v>
      </c>
      <c r="AS16" s="241" t="e">
        <f>SUM(AS14:AS15)</f>
        <v>#REF!</v>
      </c>
      <c r="AT16" s="241">
        <f t="shared" si="1"/>
        <v>92677</v>
      </c>
      <c r="AU16" s="130">
        <f t="shared" si="1"/>
        <v>82454</v>
      </c>
      <c r="AV16" s="130">
        <f t="shared" si="1"/>
        <v>72926</v>
      </c>
      <c r="AW16" s="130">
        <f t="shared" si="1"/>
        <v>118332</v>
      </c>
      <c r="AX16" s="130">
        <f t="shared" si="1"/>
        <v>129852</v>
      </c>
      <c r="AY16" s="219">
        <v>125900</v>
      </c>
      <c r="AZ16" s="219">
        <v>116090</v>
      </c>
      <c r="BA16" s="110">
        <v>84489</v>
      </c>
      <c r="BB16" s="23"/>
      <c r="BC16" s="3"/>
      <c r="BD16" s="3"/>
      <c r="BG16" s="3"/>
    </row>
    <row r="17" spans="1:59" ht="12.75" customHeight="1" x14ac:dyDescent="0.2">
      <c r="A17" s="408" t="s">
        <v>5</v>
      </c>
      <c r="B17" s="6"/>
      <c r="C17" s="168"/>
      <c r="D17" s="444"/>
      <c r="E17" s="350"/>
      <c r="F17" s="500"/>
      <c r="G17" s="500"/>
      <c r="H17" s="500"/>
      <c r="I17" s="500"/>
      <c r="J17" s="490"/>
      <c r="K17" s="500"/>
      <c r="L17" s="500"/>
      <c r="M17" s="501"/>
      <c r="N17" s="460"/>
      <c r="O17" s="460"/>
      <c r="P17" s="160"/>
      <c r="Q17" s="164"/>
      <c r="R17" s="160"/>
      <c r="S17" s="160"/>
      <c r="T17" s="160"/>
      <c r="U17" s="164"/>
      <c r="V17" s="160"/>
      <c r="W17" s="160"/>
      <c r="X17" s="160"/>
      <c r="Y17" s="164"/>
      <c r="Z17" s="160"/>
      <c r="AA17" s="160"/>
      <c r="AB17" s="160"/>
      <c r="AC17" s="164"/>
      <c r="AD17" s="160"/>
      <c r="AE17" s="160"/>
      <c r="AF17" s="160"/>
      <c r="AG17" s="164"/>
      <c r="AH17" s="129"/>
      <c r="AI17" s="164"/>
      <c r="AJ17" s="164"/>
      <c r="AK17" s="164"/>
      <c r="AL17" s="131"/>
      <c r="AM17" s="168"/>
      <c r="AN17" s="180"/>
      <c r="AO17" s="180"/>
      <c r="AP17" s="444"/>
      <c r="AQ17" s="171"/>
      <c r="AR17" s="493"/>
      <c r="AS17" s="234"/>
      <c r="AT17" s="234"/>
      <c r="AU17" s="131"/>
      <c r="AV17" s="131"/>
      <c r="AW17" s="129"/>
      <c r="AX17" s="129"/>
      <c r="AY17" s="37"/>
      <c r="AZ17" s="37"/>
      <c r="BA17" s="459"/>
      <c r="BB17" s="23"/>
      <c r="BC17" s="3"/>
      <c r="BD17" s="3"/>
      <c r="BG17" s="3"/>
    </row>
    <row r="18" spans="1:59" s="480" customFormat="1" ht="12.75" customHeight="1" x14ac:dyDescent="0.2">
      <c r="A18" s="408"/>
      <c r="B18" s="6" t="s">
        <v>278</v>
      </c>
      <c r="C18" s="168">
        <f t="shared" ref="C18:C33" si="2">I18-M18</f>
        <v>5562.6535697325889</v>
      </c>
      <c r="D18" s="498">
        <f t="shared" ref="D18:D30" si="3">IF(OR((C18/M18)&gt;3,(C18/M18)&lt;-3),"n.m.",(C18/M18))</f>
        <v>0.3050202099979486</v>
      </c>
      <c r="E18" s="497"/>
      <c r="F18" s="500"/>
      <c r="G18" s="500"/>
      <c r="H18" s="500"/>
      <c r="I18" s="501">
        <f>25210*(1-(I21/I22))</f>
        <v>23799.653569732589</v>
      </c>
      <c r="J18" s="500">
        <f>32761*(1-(J21/J22))</f>
        <v>31708.918900372981</v>
      </c>
      <c r="K18" s="500">
        <f>29932*(1-(K21/K22))-0.5</f>
        <v>28999.683255866861</v>
      </c>
      <c r="L18" s="500">
        <v>27586</v>
      </c>
      <c r="M18" s="501">
        <v>18237</v>
      </c>
      <c r="N18" s="500">
        <v>15530</v>
      </c>
      <c r="O18" s="500">
        <v>4940</v>
      </c>
      <c r="P18" s="500">
        <v>5136</v>
      </c>
      <c r="Q18" s="501">
        <v>4653</v>
      </c>
      <c r="R18" s="500">
        <v>17347</v>
      </c>
      <c r="S18" s="500">
        <v>10930</v>
      </c>
      <c r="T18" s="500">
        <v>8777</v>
      </c>
      <c r="U18" s="501"/>
      <c r="V18" s="500"/>
      <c r="W18" s="500"/>
      <c r="X18" s="500"/>
      <c r="Y18" s="501"/>
      <c r="Z18" s="500"/>
      <c r="AA18" s="500"/>
      <c r="AB18" s="500"/>
      <c r="AC18" s="501"/>
      <c r="AD18" s="500"/>
      <c r="AE18" s="500"/>
      <c r="AF18" s="500"/>
      <c r="AG18" s="501"/>
      <c r="AH18" s="499"/>
      <c r="AI18" s="501"/>
      <c r="AJ18" s="501"/>
      <c r="AK18" s="501"/>
      <c r="AL18" s="131"/>
      <c r="AM18" s="168">
        <f>SUM(K18:M18)</f>
        <v>74822.683255866868</v>
      </c>
      <c r="AN18" s="180">
        <f t="shared" ref="AN18:AN30" si="4">SUM(O18:Q18)</f>
        <v>14729</v>
      </c>
      <c r="AO18" s="180">
        <f t="shared" ref="AO18:AO33" si="5">AR18-AS18</f>
        <v>76282.602156239838</v>
      </c>
      <c r="AP18" s="498">
        <f t="shared" ref="AP18:AP33" si="6">IF(OR((AO18/AS18)&gt;3,(AO18/AS18)&lt;-3),"n.m.",(AO18/AS18))</f>
        <v>2.5218222802816568</v>
      </c>
      <c r="AQ18" s="171"/>
      <c r="AR18" s="456">
        <f>SUM(J18:M18)</f>
        <v>106531.60215623984</v>
      </c>
      <c r="AS18" s="456">
        <v>30249</v>
      </c>
      <c r="AT18" s="456">
        <v>43961</v>
      </c>
      <c r="AU18" s="526">
        <v>41083</v>
      </c>
      <c r="AV18" s="526">
        <v>32542</v>
      </c>
      <c r="AW18" s="499">
        <v>55744</v>
      </c>
      <c r="AX18" s="499"/>
      <c r="AY18" s="37"/>
      <c r="AZ18" s="37"/>
      <c r="BA18" s="459"/>
      <c r="BB18" s="23"/>
      <c r="BC18" s="481"/>
      <c r="BD18" s="481"/>
      <c r="BG18" s="481"/>
    </row>
    <row r="19" spans="1:59" s="480" customFormat="1" ht="12.75" customHeight="1" x14ac:dyDescent="0.2">
      <c r="A19" s="408"/>
      <c r="B19" s="6" t="s">
        <v>279</v>
      </c>
      <c r="C19" s="176">
        <f t="shared" si="2"/>
        <v>-3864.4611675325887</v>
      </c>
      <c r="D19" s="92">
        <f t="shared" si="3"/>
        <v>-0.58499260786142726</v>
      </c>
      <c r="E19" s="497"/>
      <c r="F19" s="166"/>
      <c r="G19" s="166"/>
      <c r="H19" s="166"/>
      <c r="I19" s="167">
        <f>2904*(1-(I21/I22))</f>
        <v>2741.5388324674113</v>
      </c>
      <c r="J19" s="166">
        <f>3429*(1-(J21/J22))</f>
        <v>3318.8816858270184</v>
      </c>
      <c r="K19" s="166">
        <f>3687*(1-(K21/K22))</f>
        <v>3572.219553133139</v>
      </c>
      <c r="L19" s="166">
        <v>3358</v>
      </c>
      <c r="M19" s="167">
        <v>6606</v>
      </c>
      <c r="N19" s="166">
        <v>-1363</v>
      </c>
      <c r="O19" s="166">
        <v>990</v>
      </c>
      <c r="P19" s="166">
        <v>783</v>
      </c>
      <c r="Q19" s="167">
        <v>1028</v>
      </c>
      <c r="R19" s="166">
        <v>-508</v>
      </c>
      <c r="S19" s="166">
        <v>1616</v>
      </c>
      <c r="T19" s="166">
        <v>445</v>
      </c>
      <c r="U19" s="501"/>
      <c r="V19" s="500"/>
      <c r="W19" s="500"/>
      <c r="X19" s="500"/>
      <c r="Y19" s="501"/>
      <c r="Z19" s="500"/>
      <c r="AA19" s="500"/>
      <c r="AB19" s="500"/>
      <c r="AC19" s="501"/>
      <c r="AD19" s="500"/>
      <c r="AE19" s="500"/>
      <c r="AF19" s="500"/>
      <c r="AG19" s="501"/>
      <c r="AH19" s="499"/>
      <c r="AI19" s="501"/>
      <c r="AJ19" s="501"/>
      <c r="AK19" s="501"/>
      <c r="AL19" s="131"/>
      <c r="AM19" s="176">
        <f t="shared" ref="AM19:AM30" si="7">SUM(K19:M19)</f>
        <v>13536.219553133138</v>
      </c>
      <c r="AN19" s="240">
        <f t="shared" si="4"/>
        <v>2801</v>
      </c>
      <c r="AO19" s="240">
        <f t="shared" si="5"/>
        <v>15406.101238960156</v>
      </c>
      <c r="AP19" s="92" t="str">
        <f t="shared" si="6"/>
        <v>n.m.</v>
      </c>
      <c r="AQ19" s="171"/>
      <c r="AR19" s="437">
        <f>SUM(J19:M19)</f>
        <v>16855.101238960156</v>
      </c>
      <c r="AS19" s="437">
        <v>1449</v>
      </c>
      <c r="AT19" s="437">
        <v>2297</v>
      </c>
      <c r="AU19" s="528">
        <v>3323</v>
      </c>
      <c r="AV19" s="528">
        <v>1879</v>
      </c>
      <c r="AW19" s="134">
        <v>3963</v>
      </c>
      <c r="AX19" s="499"/>
      <c r="AY19" s="37"/>
      <c r="AZ19" s="37"/>
      <c r="BA19" s="459"/>
      <c r="BB19" s="23"/>
      <c r="BC19" s="481"/>
      <c r="BD19" s="481"/>
      <c r="BG19" s="481"/>
    </row>
    <row r="20" spans="1:59" ht="12.75" customHeight="1" x14ac:dyDescent="0.2">
      <c r="A20" s="7"/>
      <c r="B20" s="44" t="s">
        <v>312</v>
      </c>
      <c r="C20" s="168">
        <f t="shared" si="2"/>
        <v>1697.833051200003</v>
      </c>
      <c r="D20" s="498">
        <f t="shared" si="3"/>
        <v>6.8341524477914917E-2</v>
      </c>
      <c r="E20" s="350"/>
      <c r="F20" s="500"/>
      <c r="G20" s="500"/>
      <c r="H20" s="500"/>
      <c r="I20" s="501">
        <f>+I18+I19</f>
        <v>26541.192402200002</v>
      </c>
      <c r="J20" s="500">
        <f>+J18+J19</f>
        <v>35027.800586199999</v>
      </c>
      <c r="K20" s="500">
        <f>+K18+K19</f>
        <v>32571.902808999999</v>
      </c>
      <c r="L20" s="500">
        <f>+L22-L21</f>
        <v>30944.119799600001</v>
      </c>
      <c r="M20" s="501">
        <f>+M22-M21</f>
        <v>24843.359350999999</v>
      </c>
      <c r="N20" s="460">
        <f>N22-N21</f>
        <v>14167.216553833334</v>
      </c>
      <c r="O20" s="460">
        <f>O22-O21</f>
        <v>5930.257002166667</v>
      </c>
      <c r="P20" s="160">
        <f>P22-P21</f>
        <v>5918.9033505666666</v>
      </c>
      <c r="Q20" s="164">
        <f>Q22-Q21</f>
        <v>5681.4430129000002</v>
      </c>
      <c r="R20" s="160">
        <f t="shared" ref="R20:AX20" si="8">R22-R21</f>
        <v>16839.491104000001</v>
      </c>
      <c r="S20" s="160">
        <f t="shared" si="8"/>
        <v>12546.475937666666</v>
      </c>
      <c r="T20" s="160">
        <f t="shared" si="8"/>
        <v>9221.5742077333325</v>
      </c>
      <c r="U20" s="164">
        <f t="shared" si="8"/>
        <v>7649.9590927999998</v>
      </c>
      <c r="V20" s="160">
        <f t="shared" si="8"/>
        <v>10824</v>
      </c>
      <c r="W20" s="160">
        <f t="shared" si="8"/>
        <v>15065</v>
      </c>
      <c r="X20" s="160">
        <f t="shared" si="8"/>
        <v>7942</v>
      </c>
      <c r="Y20" s="164">
        <f t="shared" si="8"/>
        <v>10575</v>
      </c>
      <c r="Z20" s="160">
        <f t="shared" si="8"/>
        <v>-349</v>
      </c>
      <c r="AA20" s="160">
        <f t="shared" si="8"/>
        <v>-422</v>
      </c>
      <c r="AB20" s="160">
        <f t="shared" si="8"/>
        <v>-405</v>
      </c>
      <c r="AC20" s="164">
        <f t="shared" si="8"/>
        <v>-383</v>
      </c>
      <c r="AD20" s="160">
        <f t="shared" si="8"/>
        <v>-422</v>
      </c>
      <c r="AE20" s="160">
        <f t="shared" si="8"/>
        <v>-392</v>
      </c>
      <c r="AF20" s="160">
        <f t="shared" si="8"/>
        <v>-369</v>
      </c>
      <c r="AG20" s="164">
        <f t="shared" si="8"/>
        <v>-388</v>
      </c>
      <c r="AH20" s="129">
        <f t="shared" si="8"/>
        <v>-933</v>
      </c>
      <c r="AI20" s="164">
        <f t="shared" si="8"/>
        <v>-548</v>
      </c>
      <c r="AJ20" s="164">
        <f t="shared" si="8"/>
        <v>-629</v>
      </c>
      <c r="AK20" s="164">
        <f t="shared" si="8"/>
        <v>-1404</v>
      </c>
      <c r="AL20" s="131"/>
      <c r="AM20" s="168">
        <f t="shared" si="7"/>
        <v>88359.381959599996</v>
      </c>
      <c r="AN20" s="180">
        <f t="shared" si="4"/>
        <v>17530.603365633335</v>
      </c>
      <c r="AO20" s="180">
        <f t="shared" si="5"/>
        <v>91688.883475733324</v>
      </c>
      <c r="AP20" s="498">
        <f t="shared" si="6"/>
        <v>2.8925927306257484</v>
      </c>
      <c r="AQ20" s="171"/>
      <c r="AR20" s="493">
        <f>AR18+AR19</f>
        <v>123386.70339519999</v>
      </c>
      <c r="AS20" s="234">
        <f>AS22-AS21</f>
        <v>31697.819919466667</v>
      </c>
      <c r="AT20" s="234">
        <f t="shared" si="8"/>
        <v>46257.500342200001</v>
      </c>
      <c r="AU20" s="129">
        <f t="shared" si="8"/>
        <v>44406</v>
      </c>
      <c r="AV20" s="129">
        <f t="shared" si="8"/>
        <v>34421</v>
      </c>
      <c r="AW20" s="129">
        <f t="shared" si="8"/>
        <v>59707</v>
      </c>
      <c r="AX20" s="129">
        <f t="shared" si="8"/>
        <v>68799</v>
      </c>
      <c r="AY20" s="37">
        <v>65303</v>
      </c>
      <c r="AZ20" s="37">
        <v>62316</v>
      </c>
      <c r="BA20" s="459">
        <v>51311</v>
      </c>
      <c r="BB20" s="23"/>
      <c r="BC20" s="3"/>
      <c r="BD20" s="3"/>
      <c r="BG20" s="3"/>
    </row>
    <row r="21" spans="1:59" ht="12.75" customHeight="1" x14ac:dyDescent="0.2">
      <c r="A21" s="7"/>
      <c r="B21" s="482" t="s">
        <v>272</v>
      </c>
      <c r="C21" s="176">
        <f t="shared" si="2"/>
        <v>234.16694879999977</v>
      </c>
      <c r="D21" s="92">
        <f t="shared" si="3"/>
        <v>0.17492890939396519</v>
      </c>
      <c r="E21" s="350"/>
      <c r="F21" s="166"/>
      <c r="G21" s="166"/>
      <c r="H21" s="166"/>
      <c r="I21" s="167">
        <f>+NHI!B112/1000</f>
        <v>1572.8075977999999</v>
      </c>
      <c r="J21" s="166">
        <f>+NHI!E97/1000</f>
        <v>1162.1994138</v>
      </c>
      <c r="K21" s="166">
        <f>+NHI!D95/1000</f>
        <v>1046.5971910000001</v>
      </c>
      <c r="L21" s="166">
        <f>+NHI!C97/1000</f>
        <v>1346.8802003999999</v>
      </c>
      <c r="M21" s="167">
        <f>+NHI!B97/1000</f>
        <v>1338.6406490000002</v>
      </c>
      <c r="N21" s="166">
        <f>NHI!E83/1000</f>
        <v>1181.7834461666666</v>
      </c>
      <c r="O21" s="166">
        <f>NHI!D83/1000</f>
        <v>498.74299783333333</v>
      </c>
      <c r="P21" s="166">
        <v>542.09664943333325</v>
      </c>
      <c r="Q21" s="167">
        <v>527.55698710000001</v>
      </c>
      <c r="R21" s="166">
        <v>418.50889599999999</v>
      </c>
      <c r="S21" s="166">
        <v>422.52406233333329</v>
      </c>
      <c r="T21" s="166">
        <v>430.42579226666663</v>
      </c>
      <c r="U21" s="167">
        <v>388.04090719999999</v>
      </c>
      <c r="V21" s="166">
        <v>380</v>
      </c>
      <c r="W21" s="166">
        <v>456</v>
      </c>
      <c r="X21" s="166">
        <v>371</v>
      </c>
      <c r="Y21" s="167">
        <v>362</v>
      </c>
      <c r="Z21" s="166">
        <v>349</v>
      </c>
      <c r="AA21" s="166">
        <v>422</v>
      </c>
      <c r="AB21" s="166">
        <v>405</v>
      </c>
      <c r="AC21" s="167">
        <v>383</v>
      </c>
      <c r="AD21" s="166">
        <v>422</v>
      </c>
      <c r="AE21" s="166">
        <v>392</v>
      </c>
      <c r="AF21" s="166">
        <v>369</v>
      </c>
      <c r="AG21" s="167">
        <v>388</v>
      </c>
      <c r="AH21" s="129">
        <v>933</v>
      </c>
      <c r="AI21" s="164">
        <v>548</v>
      </c>
      <c r="AJ21" s="167">
        <v>629</v>
      </c>
      <c r="AK21" s="167">
        <v>1404</v>
      </c>
      <c r="AL21" s="131"/>
      <c r="AM21" s="176">
        <f t="shared" si="7"/>
        <v>3732.1180403999997</v>
      </c>
      <c r="AN21" s="240">
        <f t="shared" si="4"/>
        <v>1568.3966343666666</v>
      </c>
      <c r="AO21" s="240">
        <f t="shared" si="5"/>
        <v>2144.1373736666665</v>
      </c>
      <c r="AP21" s="92">
        <f t="shared" si="6"/>
        <v>0.77963526419363094</v>
      </c>
      <c r="AQ21" s="171"/>
      <c r="AR21" s="176">
        <f>SUM(J21:M21)</f>
        <v>4894.3174541999997</v>
      </c>
      <c r="AS21" s="176">
        <f>SUM(N21:Q21)</f>
        <v>2750.1800805333332</v>
      </c>
      <c r="AT21" s="176">
        <v>1659.4996577999998</v>
      </c>
      <c r="AU21" s="134">
        <v>1569</v>
      </c>
      <c r="AV21" s="134">
        <v>1559</v>
      </c>
      <c r="AW21" s="134">
        <v>1571</v>
      </c>
      <c r="AX21" s="134">
        <v>3514</v>
      </c>
      <c r="AY21" s="37">
        <v>3586</v>
      </c>
      <c r="AZ21" s="102">
        <v>3711</v>
      </c>
      <c r="BA21" s="267">
        <v>2665</v>
      </c>
      <c r="BB21" s="23"/>
      <c r="BC21" s="3"/>
      <c r="BD21" s="3"/>
      <c r="BG21" s="3"/>
    </row>
    <row r="22" spans="1:59" ht="12.75" customHeight="1" x14ac:dyDescent="0.2">
      <c r="A22" s="7"/>
      <c r="B22" s="44" t="s">
        <v>89</v>
      </c>
      <c r="C22" s="168">
        <f t="shared" si="2"/>
        <v>1932</v>
      </c>
      <c r="D22" s="498">
        <f t="shared" si="3"/>
        <v>7.3791154228095637E-2</v>
      </c>
      <c r="E22" s="350"/>
      <c r="F22" s="500"/>
      <c r="G22" s="500"/>
      <c r="H22" s="500"/>
      <c r="I22" s="501">
        <v>28114</v>
      </c>
      <c r="J22" s="500">
        <v>36190</v>
      </c>
      <c r="K22" s="500">
        <v>33619</v>
      </c>
      <c r="L22" s="500">
        <v>32291</v>
      </c>
      <c r="M22" s="501">
        <v>26182</v>
      </c>
      <c r="N22" s="460">
        <v>15349</v>
      </c>
      <c r="O22" s="460">
        <v>6429</v>
      </c>
      <c r="P22" s="160">
        <v>6461</v>
      </c>
      <c r="Q22" s="164">
        <v>6209</v>
      </c>
      <c r="R22" s="160">
        <v>17258</v>
      </c>
      <c r="S22" s="160">
        <v>12969</v>
      </c>
      <c r="T22" s="160">
        <v>9652</v>
      </c>
      <c r="U22" s="164">
        <v>8038</v>
      </c>
      <c r="V22" s="160">
        <v>11204</v>
      </c>
      <c r="W22" s="160">
        <v>15521</v>
      </c>
      <c r="X22" s="160">
        <v>8313</v>
      </c>
      <c r="Y22" s="164">
        <v>10937</v>
      </c>
      <c r="Z22" s="160"/>
      <c r="AA22" s="160"/>
      <c r="AB22" s="160"/>
      <c r="AC22" s="164"/>
      <c r="AD22" s="160"/>
      <c r="AE22" s="160"/>
      <c r="AF22" s="160"/>
      <c r="AG22" s="164"/>
      <c r="AH22" s="183"/>
      <c r="AI22" s="162"/>
      <c r="AJ22" s="164"/>
      <c r="AK22" s="164"/>
      <c r="AL22" s="131"/>
      <c r="AM22" s="168">
        <f t="shared" si="7"/>
        <v>92092</v>
      </c>
      <c r="AN22" s="180">
        <f t="shared" si="4"/>
        <v>19099</v>
      </c>
      <c r="AO22" s="180">
        <f t="shared" si="5"/>
        <v>93834</v>
      </c>
      <c r="AP22" s="498">
        <f t="shared" si="6"/>
        <v>2.7239317231769622</v>
      </c>
      <c r="AQ22" s="171"/>
      <c r="AR22" s="493">
        <f>SUM(J22:M22)</f>
        <v>128282</v>
      </c>
      <c r="AS22" s="234">
        <f>SUM(N22:Q22)</f>
        <v>34448</v>
      </c>
      <c r="AT22" s="234">
        <v>47917</v>
      </c>
      <c r="AU22" s="129">
        <v>45975</v>
      </c>
      <c r="AV22" s="129">
        <v>35980</v>
      </c>
      <c r="AW22" s="129">
        <v>61278</v>
      </c>
      <c r="AX22" s="129">
        <v>72313</v>
      </c>
      <c r="AY22" s="224">
        <v>68889</v>
      </c>
      <c r="AZ22" s="224">
        <v>66027</v>
      </c>
      <c r="BA22" s="312">
        <v>53976</v>
      </c>
      <c r="BB22" s="23"/>
      <c r="BC22" s="3"/>
      <c r="BD22" s="3"/>
      <c r="BG22" s="3"/>
    </row>
    <row r="23" spans="1:59" ht="12.75" customHeight="1" x14ac:dyDescent="0.2">
      <c r="A23" s="7"/>
      <c r="B23" s="44" t="s">
        <v>61</v>
      </c>
      <c r="C23" s="168">
        <f t="shared" si="2"/>
        <v>495</v>
      </c>
      <c r="D23" s="498">
        <f t="shared" si="3"/>
        <v>7.4212893553223386E-2</v>
      </c>
      <c r="E23" s="350"/>
      <c r="F23" s="500"/>
      <c r="G23" s="500"/>
      <c r="H23" s="500"/>
      <c r="I23" s="501">
        <v>7165</v>
      </c>
      <c r="J23" s="500">
        <v>6332</v>
      </c>
      <c r="K23" s="500">
        <v>6565</v>
      </c>
      <c r="L23" s="500">
        <v>5761</v>
      </c>
      <c r="M23" s="501">
        <v>6670</v>
      </c>
      <c r="N23" s="460">
        <v>1917</v>
      </c>
      <c r="O23" s="460">
        <f>1663-410</f>
        <v>1253</v>
      </c>
      <c r="P23" s="160">
        <v>1213</v>
      </c>
      <c r="Q23" s="164">
        <v>1267</v>
      </c>
      <c r="R23" s="160">
        <v>1248</v>
      </c>
      <c r="S23" s="160">
        <v>1303</v>
      </c>
      <c r="T23" s="160">
        <v>1255</v>
      </c>
      <c r="U23" s="164">
        <v>1242</v>
      </c>
      <c r="V23" s="160">
        <v>1904</v>
      </c>
      <c r="W23" s="160">
        <v>1672</v>
      </c>
      <c r="X23" s="160">
        <v>1396</v>
      </c>
      <c r="Y23" s="164">
        <v>1473</v>
      </c>
      <c r="Z23" s="160"/>
      <c r="AA23" s="160"/>
      <c r="AB23" s="160"/>
      <c r="AC23" s="164"/>
      <c r="AD23" s="160"/>
      <c r="AE23" s="160"/>
      <c r="AF23" s="160"/>
      <c r="AG23" s="164"/>
      <c r="AH23" s="129"/>
      <c r="AI23" s="164"/>
      <c r="AJ23" s="164"/>
      <c r="AK23" s="164"/>
      <c r="AL23" s="131"/>
      <c r="AM23" s="168">
        <f t="shared" si="7"/>
        <v>18996</v>
      </c>
      <c r="AN23" s="180">
        <f t="shared" si="4"/>
        <v>3733</v>
      </c>
      <c r="AO23" s="180">
        <f t="shared" si="5"/>
        <v>19678</v>
      </c>
      <c r="AP23" s="498" t="str">
        <f t="shared" si="6"/>
        <v>n.m.</v>
      </c>
      <c r="AQ23" s="171"/>
      <c r="AR23" s="37">
        <f>SUM(J23:M23)</f>
        <v>25328</v>
      </c>
      <c r="AS23" s="37">
        <f t="shared" ref="AS23:AS30" si="9">SUM(N23:Q23)</f>
        <v>5650</v>
      </c>
      <c r="AT23" s="37">
        <f>SUM(R23:U23)</f>
        <v>5048</v>
      </c>
      <c r="AU23" s="37">
        <f>SUM(V23:Y23)</f>
        <v>6445</v>
      </c>
      <c r="AV23" s="129">
        <v>5563</v>
      </c>
      <c r="AW23" s="129">
        <v>4547</v>
      </c>
      <c r="AX23" s="129">
        <v>3100</v>
      </c>
      <c r="AY23" s="37">
        <v>3210</v>
      </c>
      <c r="AZ23" s="37">
        <v>8795</v>
      </c>
      <c r="BA23" s="459">
        <v>5858</v>
      </c>
      <c r="BB23" s="23"/>
      <c r="BC23" s="3"/>
      <c r="BD23" s="3"/>
      <c r="BG23" s="3"/>
    </row>
    <row r="24" spans="1:59" ht="12.75" hidden="1" customHeight="1" x14ac:dyDescent="0.2">
      <c r="A24" s="7"/>
      <c r="B24" s="6" t="s">
        <v>178</v>
      </c>
      <c r="C24" s="168">
        <f t="shared" si="2"/>
        <v>0</v>
      </c>
      <c r="D24" s="444" t="e">
        <f t="shared" si="3"/>
        <v>#DIV/0!</v>
      </c>
      <c r="E24" s="350"/>
      <c r="F24" s="507"/>
      <c r="G24" s="507"/>
      <c r="H24" s="507"/>
      <c r="I24" s="26"/>
      <c r="J24" s="507"/>
      <c r="K24" s="507"/>
      <c r="L24" s="507"/>
      <c r="M24" s="26"/>
      <c r="N24" s="28"/>
      <c r="O24" s="28"/>
      <c r="P24" s="28"/>
      <c r="Q24" s="26"/>
      <c r="R24" s="28"/>
      <c r="S24" s="28"/>
      <c r="T24" s="28"/>
      <c r="U24" s="26"/>
      <c r="V24" s="28"/>
      <c r="W24" s="28"/>
      <c r="X24" s="28"/>
      <c r="Y24" s="26"/>
      <c r="Z24" s="28"/>
      <c r="AA24" s="28"/>
      <c r="AB24" s="28"/>
      <c r="AC24" s="26"/>
      <c r="AD24" s="160"/>
      <c r="AE24" s="160"/>
      <c r="AF24" s="160"/>
      <c r="AG24" s="164"/>
      <c r="AH24" s="129"/>
      <c r="AI24" s="164"/>
      <c r="AJ24" s="164"/>
      <c r="AK24" s="164"/>
      <c r="AL24" s="131"/>
      <c r="AM24" s="168">
        <f t="shared" si="7"/>
        <v>0</v>
      </c>
      <c r="AN24" s="180">
        <f t="shared" si="4"/>
        <v>0</v>
      </c>
      <c r="AO24" s="180">
        <f t="shared" si="5"/>
        <v>0</v>
      </c>
      <c r="AP24" s="498" t="e">
        <f t="shared" si="6"/>
        <v>#DIV/0!</v>
      </c>
      <c r="AQ24" s="169"/>
      <c r="AR24" s="37">
        <f t="shared" ref="AR24:AR33" si="10">SUM(J24:M24)</f>
        <v>0</v>
      </c>
      <c r="AS24" s="37">
        <f t="shared" si="9"/>
        <v>0</v>
      </c>
      <c r="AT24" s="37">
        <f t="shared" ref="AT24:AT30" si="11">SUM(R24:U24)</f>
        <v>0</v>
      </c>
      <c r="AU24" s="37">
        <f t="shared" ref="AU24:AU30" si="12">SUM(V24:Y24)</f>
        <v>0</v>
      </c>
      <c r="AV24" s="37"/>
      <c r="AW24" s="37"/>
      <c r="AX24" s="37"/>
      <c r="AY24" s="37">
        <v>0</v>
      </c>
      <c r="AZ24" s="37"/>
      <c r="BA24" s="459"/>
      <c r="BB24" s="23"/>
      <c r="BC24" s="3"/>
      <c r="BD24" s="3"/>
      <c r="BG24" s="3"/>
    </row>
    <row r="25" spans="1:59" ht="12.75" customHeight="1" x14ac:dyDescent="0.2">
      <c r="A25" s="7"/>
      <c r="B25" s="44" t="s">
        <v>88</v>
      </c>
      <c r="C25" s="168">
        <f t="shared" si="2"/>
        <v>353</v>
      </c>
      <c r="D25" s="444">
        <f t="shared" si="3"/>
        <v>0.20825958702064898</v>
      </c>
      <c r="E25" s="350"/>
      <c r="F25" s="500"/>
      <c r="G25" s="500"/>
      <c r="H25" s="500"/>
      <c r="I25" s="501">
        <v>2048</v>
      </c>
      <c r="J25" s="500">
        <v>1918</v>
      </c>
      <c r="K25" s="500">
        <v>1819</v>
      </c>
      <c r="L25" s="500">
        <v>1582</v>
      </c>
      <c r="M25" s="501">
        <v>1695</v>
      </c>
      <c r="N25" s="460">
        <v>742</v>
      </c>
      <c r="O25" s="460">
        <v>809</v>
      </c>
      <c r="P25" s="160">
        <v>940</v>
      </c>
      <c r="Q25" s="164">
        <v>1024</v>
      </c>
      <c r="R25" s="160">
        <v>983</v>
      </c>
      <c r="S25" s="160">
        <v>870</v>
      </c>
      <c r="T25" s="160">
        <v>841</v>
      </c>
      <c r="U25" s="164">
        <v>820</v>
      </c>
      <c r="V25" s="160">
        <v>781</v>
      </c>
      <c r="W25" s="160">
        <v>808</v>
      </c>
      <c r="X25" s="160">
        <v>968</v>
      </c>
      <c r="Y25" s="164">
        <v>995</v>
      </c>
      <c r="Z25" s="160"/>
      <c r="AA25" s="160"/>
      <c r="AB25" s="160"/>
      <c r="AC25" s="164"/>
      <c r="AD25" s="160"/>
      <c r="AE25" s="160"/>
      <c r="AF25" s="160"/>
      <c r="AG25" s="164"/>
      <c r="AH25" s="129"/>
      <c r="AI25" s="164"/>
      <c r="AJ25" s="164"/>
      <c r="AK25" s="164"/>
      <c r="AL25" s="131"/>
      <c r="AM25" s="168">
        <f t="shared" si="7"/>
        <v>5096</v>
      </c>
      <c r="AN25" s="180">
        <f t="shared" si="4"/>
        <v>2773</v>
      </c>
      <c r="AO25" s="180">
        <f t="shared" si="5"/>
        <v>3499</v>
      </c>
      <c r="AP25" s="498">
        <f t="shared" si="6"/>
        <v>0.99544807965860593</v>
      </c>
      <c r="AQ25" s="171"/>
      <c r="AR25" s="37">
        <f t="shared" si="10"/>
        <v>7014</v>
      </c>
      <c r="AS25" s="37">
        <f t="shared" si="9"/>
        <v>3515</v>
      </c>
      <c r="AT25" s="37">
        <f t="shared" si="11"/>
        <v>3514</v>
      </c>
      <c r="AU25" s="37">
        <f t="shared" si="12"/>
        <v>3552</v>
      </c>
      <c r="AV25" s="129">
        <v>2941</v>
      </c>
      <c r="AW25" s="129">
        <v>2179</v>
      </c>
      <c r="AX25" s="129">
        <v>1477</v>
      </c>
      <c r="AY25" s="37">
        <v>1190</v>
      </c>
      <c r="AZ25" s="37">
        <v>1163</v>
      </c>
      <c r="BA25" s="459">
        <v>1117</v>
      </c>
      <c r="BB25" s="23"/>
      <c r="BC25" s="3"/>
      <c r="BD25" s="3"/>
      <c r="BG25" s="3"/>
    </row>
    <row r="26" spans="1:59" ht="12.75" customHeight="1" x14ac:dyDescent="0.2">
      <c r="A26" s="7"/>
      <c r="B26" s="44" t="s">
        <v>63</v>
      </c>
      <c r="C26" s="168">
        <f t="shared" si="2"/>
        <v>-743</v>
      </c>
      <c r="D26" s="498">
        <f t="shared" si="3"/>
        <v>-0.18547179231153271</v>
      </c>
      <c r="E26" s="350"/>
      <c r="F26" s="500"/>
      <c r="G26" s="500"/>
      <c r="H26" s="500"/>
      <c r="I26" s="501">
        <v>3263</v>
      </c>
      <c r="J26" s="500">
        <v>3612</v>
      </c>
      <c r="K26" s="500">
        <v>3366</v>
      </c>
      <c r="L26" s="500">
        <v>3777</v>
      </c>
      <c r="M26" s="501">
        <v>4006</v>
      </c>
      <c r="N26" s="460">
        <v>1276</v>
      </c>
      <c r="O26" s="460">
        <v>861</v>
      </c>
      <c r="P26" s="160">
        <v>875</v>
      </c>
      <c r="Q26" s="164">
        <v>960</v>
      </c>
      <c r="R26" s="160">
        <v>855</v>
      </c>
      <c r="S26" s="160">
        <v>870</v>
      </c>
      <c r="T26" s="160">
        <v>875</v>
      </c>
      <c r="U26" s="164">
        <v>874</v>
      </c>
      <c r="V26" s="160">
        <v>944</v>
      </c>
      <c r="W26" s="160">
        <v>1054</v>
      </c>
      <c r="X26" s="160">
        <v>906</v>
      </c>
      <c r="Y26" s="164">
        <v>938</v>
      </c>
      <c r="Z26" s="160"/>
      <c r="AA26" s="160"/>
      <c r="AB26" s="160"/>
      <c r="AC26" s="164"/>
      <c r="AD26" s="160"/>
      <c r="AE26" s="160"/>
      <c r="AF26" s="160"/>
      <c r="AG26" s="164"/>
      <c r="AH26" s="129"/>
      <c r="AI26" s="164"/>
      <c r="AJ26" s="164"/>
      <c r="AK26" s="164"/>
      <c r="AL26" s="131"/>
      <c r="AM26" s="168">
        <f t="shared" si="7"/>
        <v>11149</v>
      </c>
      <c r="AN26" s="180">
        <f t="shared" si="4"/>
        <v>2696</v>
      </c>
      <c r="AO26" s="180">
        <f t="shared" si="5"/>
        <v>10789</v>
      </c>
      <c r="AP26" s="498">
        <f t="shared" si="6"/>
        <v>2.7162638469284994</v>
      </c>
      <c r="AQ26" s="171"/>
      <c r="AR26" s="37">
        <f t="shared" si="10"/>
        <v>14761</v>
      </c>
      <c r="AS26" s="37">
        <f t="shared" si="9"/>
        <v>3972</v>
      </c>
      <c r="AT26" s="37">
        <f t="shared" si="11"/>
        <v>3474</v>
      </c>
      <c r="AU26" s="37">
        <f t="shared" si="12"/>
        <v>3842</v>
      </c>
      <c r="AV26" s="129">
        <v>4046</v>
      </c>
      <c r="AW26" s="129">
        <v>3227</v>
      </c>
      <c r="AX26" s="129">
        <v>6343</v>
      </c>
      <c r="AY26" s="37">
        <v>2139</v>
      </c>
      <c r="AZ26" s="37">
        <v>2143</v>
      </c>
      <c r="BA26" s="459">
        <v>2573</v>
      </c>
      <c r="BB26" s="23"/>
      <c r="BC26" s="3"/>
      <c r="BD26" s="3"/>
      <c r="BG26" s="3"/>
    </row>
    <row r="27" spans="1:59" ht="12.75" customHeight="1" x14ac:dyDescent="0.2">
      <c r="A27" s="7"/>
      <c r="B27" s="44" t="s">
        <v>64</v>
      </c>
      <c r="C27" s="168">
        <f t="shared" si="2"/>
        <v>-2730</v>
      </c>
      <c r="D27" s="498">
        <f t="shared" si="3"/>
        <v>-0.4140127388535032</v>
      </c>
      <c r="E27" s="350"/>
      <c r="F27" s="500"/>
      <c r="G27" s="500"/>
      <c r="H27" s="500"/>
      <c r="I27" s="501">
        <v>3864</v>
      </c>
      <c r="J27" s="500">
        <v>4560</v>
      </c>
      <c r="K27" s="500">
        <v>4555</v>
      </c>
      <c r="L27" s="500">
        <v>4099</v>
      </c>
      <c r="M27" s="501">
        <v>6594</v>
      </c>
      <c r="N27" s="460">
        <v>1778</v>
      </c>
      <c r="O27" s="460">
        <v>1399</v>
      </c>
      <c r="P27" s="160">
        <v>1479</v>
      </c>
      <c r="Q27" s="164">
        <v>1345</v>
      </c>
      <c r="R27" s="160">
        <v>1313</v>
      </c>
      <c r="S27" s="160">
        <v>1310</v>
      </c>
      <c r="T27" s="160">
        <v>1340</v>
      </c>
      <c r="U27" s="164">
        <v>1180</v>
      </c>
      <c r="V27" s="160">
        <v>680</v>
      </c>
      <c r="W27" s="160">
        <v>754</v>
      </c>
      <c r="X27" s="160">
        <v>523</v>
      </c>
      <c r="Y27" s="164">
        <v>476</v>
      </c>
      <c r="Z27" s="160"/>
      <c r="AA27" s="160"/>
      <c r="AB27" s="160"/>
      <c r="AC27" s="164"/>
      <c r="AD27" s="160"/>
      <c r="AE27" s="160"/>
      <c r="AF27" s="160"/>
      <c r="AG27" s="164"/>
      <c r="AH27" s="129"/>
      <c r="AI27" s="164"/>
      <c r="AJ27" s="164"/>
      <c r="AK27" s="164"/>
      <c r="AL27" s="131"/>
      <c r="AM27" s="168">
        <f t="shared" si="7"/>
        <v>15248</v>
      </c>
      <c r="AN27" s="180">
        <f t="shared" si="4"/>
        <v>4223</v>
      </c>
      <c r="AO27" s="180">
        <f t="shared" si="5"/>
        <v>13807</v>
      </c>
      <c r="AP27" s="498">
        <f t="shared" si="6"/>
        <v>2.3007832027995332</v>
      </c>
      <c r="AQ27" s="171"/>
      <c r="AR27" s="37">
        <f t="shared" si="10"/>
        <v>19808</v>
      </c>
      <c r="AS27" s="37">
        <f t="shared" si="9"/>
        <v>6001</v>
      </c>
      <c r="AT27" s="37">
        <f t="shared" si="11"/>
        <v>5143</v>
      </c>
      <c r="AU27" s="37">
        <f t="shared" si="12"/>
        <v>2433</v>
      </c>
      <c r="AV27" s="129">
        <v>2049</v>
      </c>
      <c r="AW27" s="129">
        <v>2816</v>
      </c>
      <c r="AX27" s="129">
        <v>2227</v>
      </c>
      <c r="AY27" s="37">
        <v>1440</v>
      </c>
      <c r="AZ27" s="37">
        <v>1036</v>
      </c>
      <c r="BA27" s="459">
        <v>837</v>
      </c>
      <c r="BB27" s="23"/>
      <c r="BC27" s="3"/>
      <c r="BD27" s="3"/>
      <c r="BG27" s="3"/>
    </row>
    <row r="28" spans="1:59" ht="12.75" customHeight="1" x14ac:dyDescent="0.2">
      <c r="A28" s="7"/>
      <c r="B28" s="44" t="s">
        <v>59</v>
      </c>
      <c r="C28" s="168">
        <f t="shared" si="2"/>
        <v>196</v>
      </c>
      <c r="D28" s="498">
        <f t="shared" si="3"/>
        <v>0.23642943305186973</v>
      </c>
      <c r="E28" s="350"/>
      <c r="F28" s="500"/>
      <c r="G28" s="500"/>
      <c r="H28" s="500"/>
      <c r="I28" s="501">
        <v>1025</v>
      </c>
      <c r="J28" s="500">
        <v>843</v>
      </c>
      <c r="K28" s="500">
        <v>824</v>
      </c>
      <c r="L28" s="500">
        <v>925</v>
      </c>
      <c r="M28" s="501">
        <v>829</v>
      </c>
      <c r="N28" s="460">
        <v>154</v>
      </c>
      <c r="O28" s="460">
        <v>8</v>
      </c>
      <c r="P28" s="160">
        <v>17</v>
      </c>
      <c r="Q28" s="164">
        <v>-9</v>
      </c>
      <c r="R28" s="160">
        <v>60</v>
      </c>
      <c r="S28" s="160">
        <v>12</v>
      </c>
      <c r="T28" s="160">
        <v>13</v>
      </c>
      <c r="U28" s="164">
        <v>17</v>
      </c>
      <c r="V28" s="160">
        <v>12</v>
      </c>
      <c r="W28" s="160">
        <v>23</v>
      </c>
      <c r="X28" s="160">
        <v>15</v>
      </c>
      <c r="Y28" s="164">
        <v>24</v>
      </c>
      <c r="Z28" s="160"/>
      <c r="AA28" s="160"/>
      <c r="AB28" s="160"/>
      <c r="AC28" s="164"/>
      <c r="AD28" s="160"/>
      <c r="AE28" s="180"/>
      <c r="AF28" s="180"/>
      <c r="AG28" s="217"/>
      <c r="AH28" s="189"/>
      <c r="AI28" s="164"/>
      <c r="AJ28" s="164"/>
      <c r="AK28" s="217"/>
      <c r="AL28" s="131"/>
      <c r="AM28" s="168">
        <f t="shared" si="7"/>
        <v>2578</v>
      </c>
      <c r="AN28" s="180">
        <f t="shared" si="4"/>
        <v>16</v>
      </c>
      <c r="AO28" s="180">
        <f t="shared" si="5"/>
        <v>3251</v>
      </c>
      <c r="AP28" s="498" t="str">
        <f t="shared" si="6"/>
        <v>n.m.</v>
      </c>
      <c r="AQ28" s="171"/>
      <c r="AR28" s="37">
        <f t="shared" si="10"/>
        <v>3421</v>
      </c>
      <c r="AS28" s="37">
        <f t="shared" si="9"/>
        <v>170</v>
      </c>
      <c r="AT28" s="37">
        <f t="shared" si="11"/>
        <v>102</v>
      </c>
      <c r="AU28" s="37">
        <f t="shared" si="12"/>
        <v>74</v>
      </c>
      <c r="AV28" s="129">
        <v>253</v>
      </c>
      <c r="AW28" s="129">
        <v>-4</v>
      </c>
      <c r="AX28" s="129">
        <v>0</v>
      </c>
      <c r="AY28" s="37">
        <v>5</v>
      </c>
      <c r="AZ28" s="37">
        <v>1</v>
      </c>
      <c r="BA28" s="459">
        <v>35</v>
      </c>
      <c r="BB28" s="23"/>
      <c r="BC28" s="3"/>
      <c r="BD28" s="3"/>
      <c r="BG28" s="3"/>
    </row>
    <row r="29" spans="1:59" ht="12.75" customHeight="1" x14ac:dyDescent="0.2">
      <c r="A29" s="7"/>
      <c r="B29" s="44" t="s">
        <v>85</v>
      </c>
      <c r="C29" s="168">
        <f t="shared" si="2"/>
        <v>-1269</v>
      </c>
      <c r="D29" s="498">
        <f t="shared" si="3"/>
        <v>-0.14067176587961425</v>
      </c>
      <c r="E29" s="350"/>
      <c r="F29" s="500"/>
      <c r="G29" s="500"/>
      <c r="H29" s="500"/>
      <c r="I29" s="501">
        <v>7752</v>
      </c>
      <c r="J29" s="500">
        <v>6822</v>
      </c>
      <c r="K29" s="500">
        <v>9556</v>
      </c>
      <c r="L29" s="500">
        <v>5965</v>
      </c>
      <c r="M29" s="501">
        <v>9021</v>
      </c>
      <c r="N29" s="460">
        <v>3693</v>
      </c>
      <c r="O29" s="460">
        <v>1763</v>
      </c>
      <c r="P29" s="160">
        <v>1485</v>
      </c>
      <c r="Q29" s="164">
        <v>2212</v>
      </c>
      <c r="R29" s="160">
        <v>1710</v>
      </c>
      <c r="S29" s="160">
        <v>1633</v>
      </c>
      <c r="T29" s="160">
        <v>1593</v>
      </c>
      <c r="U29" s="164">
        <v>2463</v>
      </c>
      <c r="V29" s="160">
        <v>1365</v>
      </c>
      <c r="W29" s="160">
        <v>1398</v>
      </c>
      <c r="X29" s="160">
        <v>1575</v>
      </c>
      <c r="Y29" s="164">
        <v>1647</v>
      </c>
      <c r="Z29" s="160"/>
      <c r="AA29" s="160"/>
      <c r="AB29" s="160"/>
      <c r="AC29" s="164"/>
      <c r="AD29" s="160"/>
      <c r="AE29" s="160"/>
      <c r="AF29" s="160"/>
      <c r="AG29" s="164"/>
      <c r="AH29" s="129"/>
      <c r="AI29" s="164"/>
      <c r="AJ29" s="164"/>
      <c r="AK29" s="164"/>
      <c r="AL29" s="131"/>
      <c r="AM29" s="168">
        <f t="shared" si="7"/>
        <v>24542</v>
      </c>
      <c r="AN29" s="180">
        <f t="shared" si="4"/>
        <v>5460</v>
      </c>
      <c r="AO29" s="180">
        <f t="shared" si="5"/>
        <v>22211</v>
      </c>
      <c r="AP29" s="498">
        <f t="shared" si="6"/>
        <v>2.4266360756036272</v>
      </c>
      <c r="AQ29" s="171"/>
      <c r="AR29" s="37">
        <f t="shared" si="10"/>
        <v>31364</v>
      </c>
      <c r="AS29" s="37">
        <f t="shared" si="9"/>
        <v>9153</v>
      </c>
      <c r="AT29" s="37">
        <f t="shared" si="11"/>
        <v>7399</v>
      </c>
      <c r="AU29" s="37">
        <f t="shared" si="12"/>
        <v>5985</v>
      </c>
      <c r="AV29" s="129">
        <v>15606</v>
      </c>
      <c r="AW29" s="129">
        <v>11718</v>
      </c>
      <c r="AX29" s="129">
        <v>10403</v>
      </c>
      <c r="AY29" s="37">
        <v>6374</v>
      </c>
      <c r="AZ29" s="37">
        <v>5879</v>
      </c>
      <c r="BA29" s="459">
        <v>3463</v>
      </c>
      <c r="BB29" s="23"/>
      <c r="BC29" s="3"/>
      <c r="BD29" s="3"/>
      <c r="BG29" s="3"/>
    </row>
    <row r="30" spans="1:59" ht="12.75" customHeight="1" x14ac:dyDescent="0.2">
      <c r="A30" s="7"/>
      <c r="B30" s="44" t="s">
        <v>66</v>
      </c>
      <c r="C30" s="168">
        <f t="shared" si="2"/>
        <v>-695</v>
      </c>
      <c r="D30" s="498">
        <f t="shared" si="3"/>
        <v>-0.19649420412779192</v>
      </c>
      <c r="E30" s="350"/>
      <c r="F30" s="500"/>
      <c r="G30" s="500"/>
      <c r="H30" s="500"/>
      <c r="I30" s="501">
        <v>2842</v>
      </c>
      <c r="J30" s="500">
        <v>3524</v>
      </c>
      <c r="K30" s="500">
        <v>3580</v>
      </c>
      <c r="L30" s="500">
        <v>3478</v>
      </c>
      <c r="M30" s="501">
        <v>3537</v>
      </c>
      <c r="N30" s="460">
        <v>334</v>
      </c>
      <c r="O30" s="460">
        <v>307</v>
      </c>
      <c r="P30" s="160">
        <v>291</v>
      </c>
      <c r="Q30" s="164">
        <v>312</v>
      </c>
      <c r="R30" s="160">
        <v>314</v>
      </c>
      <c r="S30" s="160">
        <v>314</v>
      </c>
      <c r="T30" s="160">
        <v>314</v>
      </c>
      <c r="U30" s="164">
        <v>312</v>
      </c>
      <c r="V30" s="160">
        <v>339</v>
      </c>
      <c r="W30" s="160">
        <v>391</v>
      </c>
      <c r="X30" s="160">
        <v>425</v>
      </c>
      <c r="Y30" s="164">
        <v>448</v>
      </c>
      <c r="Z30" s="160"/>
      <c r="AA30" s="160"/>
      <c r="AB30" s="160"/>
      <c r="AC30" s="164"/>
      <c r="AD30" s="160"/>
      <c r="AE30" s="160"/>
      <c r="AF30" s="160"/>
      <c r="AG30" s="164"/>
      <c r="AH30" s="129"/>
      <c r="AI30" s="164"/>
      <c r="AJ30" s="164"/>
      <c r="AK30" s="164"/>
      <c r="AL30" s="131"/>
      <c r="AM30" s="168">
        <f t="shared" si="7"/>
        <v>10595</v>
      </c>
      <c r="AN30" s="180">
        <f t="shared" si="4"/>
        <v>910</v>
      </c>
      <c r="AO30" s="180">
        <f t="shared" si="5"/>
        <v>12875</v>
      </c>
      <c r="AP30" s="498" t="str">
        <f t="shared" si="6"/>
        <v>n.m.</v>
      </c>
      <c r="AQ30" s="171"/>
      <c r="AR30" s="37">
        <f t="shared" si="10"/>
        <v>14119</v>
      </c>
      <c r="AS30" s="37">
        <f t="shared" si="9"/>
        <v>1244</v>
      </c>
      <c r="AT30" s="37">
        <f t="shared" si="11"/>
        <v>1254</v>
      </c>
      <c r="AU30" s="37">
        <f t="shared" si="12"/>
        <v>1603</v>
      </c>
      <c r="AV30" s="129">
        <v>1843</v>
      </c>
      <c r="AW30" s="129">
        <v>1825</v>
      </c>
      <c r="AX30" s="129">
        <v>2016</v>
      </c>
      <c r="AY30" s="37">
        <v>716</v>
      </c>
      <c r="AZ30" s="37">
        <v>620</v>
      </c>
      <c r="BA30" s="459">
        <v>716</v>
      </c>
      <c r="BB30" s="23"/>
      <c r="BC30" s="3"/>
      <c r="BD30" s="3"/>
      <c r="BG30" s="3"/>
    </row>
    <row r="31" spans="1:59" s="480" customFormat="1" ht="12.75" customHeight="1" x14ac:dyDescent="0.2">
      <c r="A31" s="6"/>
      <c r="B31" s="482" t="s">
        <v>67</v>
      </c>
      <c r="C31" s="168">
        <f t="shared" si="2"/>
        <v>1551</v>
      </c>
      <c r="D31" s="498" t="s">
        <v>38</v>
      </c>
      <c r="E31" s="497"/>
      <c r="F31" s="500"/>
      <c r="G31" s="500"/>
      <c r="H31" s="521"/>
      <c r="I31" s="217">
        <v>1551</v>
      </c>
      <c r="J31" s="500">
        <v>1658</v>
      </c>
      <c r="K31" s="500">
        <v>2664</v>
      </c>
      <c r="L31" s="521">
        <v>0</v>
      </c>
      <c r="M31" s="522">
        <v>0</v>
      </c>
      <c r="N31" s="500">
        <v>1</v>
      </c>
      <c r="O31" s="500">
        <v>512</v>
      </c>
      <c r="P31" s="500">
        <v>533</v>
      </c>
      <c r="Q31" s="501">
        <v>760</v>
      </c>
      <c r="R31" s="500">
        <v>1474</v>
      </c>
      <c r="S31" s="500">
        <v>1103</v>
      </c>
      <c r="T31" s="500">
        <v>1012</v>
      </c>
      <c r="U31" s="501">
        <v>1108</v>
      </c>
      <c r="V31" s="500">
        <v>1972</v>
      </c>
      <c r="W31" s="500">
        <v>345</v>
      </c>
      <c r="X31" s="500">
        <v>343</v>
      </c>
      <c r="Y31" s="501">
        <v>352</v>
      </c>
      <c r="Z31" s="500"/>
      <c r="AA31" s="500"/>
      <c r="AB31" s="500"/>
      <c r="AC31" s="501"/>
      <c r="AD31" s="500"/>
      <c r="AE31" s="500"/>
      <c r="AF31" s="500"/>
      <c r="AG31" s="501"/>
      <c r="AH31" s="499"/>
      <c r="AI31" s="167"/>
      <c r="AJ31" s="501"/>
      <c r="AK31" s="501"/>
      <c r="AL31" s="131"/>
      <c r="AM31" s="168">
        <f>SUM(K31:M31)</f>
        <v>2664</v>
      </c>
      <c r="AN31" s="180">
        <f>SUM(O31:Q31)</f>
        <v>1805</v>
      </c>
      <c r="AO31" s="180">
        <f t="shared" si="5"/>
        <v>2516</v>
      </c>
      <c r="AP31" s="498">
        <f t="shared" si="6"/>
        <v>1.3931339977851607</v>
      </c>
      <c r="AQ31" s="171"/>
      <c r="AR31" s="37">
        <f t="shared" si="10"/>
        <v>4322</v>
      </c>
      <c r="AS31" s="37">
        <f>SUM(N31:Q31)</f>
        <v>1806</v>
      </c>
      <c r="AT31" s="37">
        <f>SUM(R31:U31)</f>
        <v>4697</v>
      </c>
      <c r="AU31" s="37">
        <f>SUM(V31:Y31)</f>
        <v>3012</v>
      </c>
      <c r="AV31" s="499">
        <v>1340</v>
      </c>
      <c r="AW31" s="499">
        <v>1133</v>
      </c>
      <c r="AX31" s="499">
        <v>269</v>
      </c>
      <c r="AY31" s="37">
        <v>0</v>
      </c>
      <c r="AZ31" s="37">
        <v>0</v>
      </c>
      <c r="BA31" s="459">
        <v>0</v>
      </c>
      <c r="BB31" s="23"/>
      <c r="BC31" s="481"/>
      <c r="BD31" s="481"/>
      <c r="BG31" s="481"/>
    </row>
    <row r="32" spans="1:59" s="480" customFormat="1" ht="12.75" customHeight="1" x14ac:dyDescent="0.2">
      <c r="A32" s="7"/>
      <c r="B32" s="482" t="s">
        <v>149</v>
      </c>
      <c r="C32" s="168">
        <f t="shared" si="2"/>
        <v>0</v>
      </c>
      <c r="D32" s="498">
        <v>0</v>
      </c>
      <c r="E32" s="497"/>
      <c r="F32" s="500"/>
      <c r="G32" s="500"/>
      <c r="H32" s="521"/>
      <c r="I32" s="522">
        <v>0</v>
      </c>
      <c r="J32" s="500">
        <v>6445</v>
      </c>
      <c r="K32" s="500">
        <v>3325</v>
      </c>
      <c r="L32" s="521">
        <v>0</v>
      </c>
      <c r="M32" s="522">
        <v>0</v>
      </c>
      <c r="N32" s="500">
        <v>18050</v>
      </c>
      <c r="O32" s="500">
        <v>410</v>
      </c>
      <c r="P32" s="521">
        <v>0</v>
      </c>
      <c r="Q32" s="522">
        <v>0</v>
      </c>
      <c r="R32" s="521">
        <v>0</v>
      </c>
      <c r="S32" s="521">
        <v>0</v>
      </c>
      <c r="T32" s="521">
        <v>0</v>
      </c>
      <c r="U32" s="522">
        <v>0</v>
      </c>
      <c r="V32" s="363">
        <v>0</v>
      </c>
      <c r="W32" s="500">
        <v>0</v>
      </c>
      <c r="X32" s="500">
        <v>0</v>
      </c>
      <c r="Y32" s="501">
        <v>0</v>
      </c>
      <c r="Z32" s="500"/>
      <c r="AA32" s="500"/>
      <c r="AB32" s="500"/>
      <c r="AC32" s="501"/>
      <c r="AD32" s="500"/>
      <c r="AE32" s="500"/>
      <c r="AF32" s="500"/>
      <c r="AG32" s="501"/>
      <c r="AH32" s="499"/>
      <c r="AI32" s="501"/>
      <c r="AJ32" s="501"/>
      <c r="AK32" s="501"/>
      <c r="AL32" s="131"/>
      <c r="AM32" s="168">
        <f>SUM(K32:M32)</f>
        <v>3325</v>
      </c>
      <c r="AN32" s="180">
        <f>SUM(O32:Q32)</f>
        <v>410</v>
      </c>
      <c r="AO32" s="180">
        <f t="shared" si="5"/>
        <v>-8690</v>
      </c>
      <c r="AP32" s="498">
        <f t="shared" si="6"/>
        <v>-0.47074756229685805</v>
      </c>
      <c r="AQ32" s="171"/>
      <c r="AR32" s="37">
        <f t="shared" si="10"/>
        <v>9770</v>
      </c>
      <c r="AS32" s="37">
        <f>SUM(N32:Q32)</f>
        <v>18460</v>
      </c>
      <c r="AT32" s="37">
        <f>SUM(R32:U32)</f>
        <v>0</v>
      </c>
      <c r="AU32" s="37">
        <f>SUM(V32:Y32)</f>
        <v>0</v>
      </c>
      <c r="AV32" s="506">
        <v>1274</v>
      </c>
      <c r="AW32" s="506">
        <v>0</v>
      </c>
      <c r="AX32" s="499">
        <v>0</v>
      </c>
      <c r="AY32" s="37">
        <v>0</v>
      </c>
      <c r="AZ32" s="37">
        <v>0</v>
      </c>
      <c r="BA32" s="459">
        <v>0</v>
      </c>
      <c r="BB32" s="23"/>
      <c r="BC32" s="481"/>
      <c r="BD32" s="481"/>
      <c r="BG32" s="481"/>
    </row>
    <row r="33" spans="1:59" s="480" customFormat="1" ht="12.75" customHeight="1" x14ac:dyDescent="0.2">
      <c r="A33" s="7"/>
      <c r="B33" s="482" t="s">
        <v>169</v>
      </c>
      <c r="C33" s="168">
        <f t="shared" si="2"/>
        <v>0</v>
      </c>
      <c r="D33" s="498">
        <v>0</v>
      </c>
      <c r="E33" s="497"/>
      <c r="F33" s="180"/>
      <c r="G33" s="180"/>
      <c r="H33" s="500"/>
      <c r="I33" s="217">
        <v>0</v>
      </c>
      <c r="J33" s="180">
        <v>0</v>
      </c>
      <c r="K33" s="180">
        <v>431</v>
      </c>
      <c r="L33" s="500">
        <v>900</v>
      </c>
      <c r="M33" s="217">
        <v>0</v>
      </c>
      <c r="N33" s="180">
        <v>9963</v>
      </c>
      <c r="O33" s="180">
        <v>0</v>
      </c>
      <c r="P33" s="180">
        <v>0</v>
      </c>
      <c r="Q33" s="217">
        <v>0</v>
      </c>
      <c r="R33" s="180">
        <v>0</v>
      </c>
      <c r="S33" s="180">
        <v>0</v>
      </c>
      <c r="T33" s="180">
        <v>0</v>
      </c>
      <c r="U33" s="217">
        <v>0</v>
      </c>
      <c r="V33" s="500">
        <v>0</v>
      </c>
      <c r="W33" s="500"/>
      <c r="X33" s="500"/>
      <c r="Y33" s="501"/>
      <c r="Z33" s="500"/>
      <c r="AA33" s="500"/>
      <c r="AB33" s="500"/>
      <c r="AC33" s="501"/>
      <c r="AD33" s="500"/>
      <c r="AE33" s="500"/>
      <c r="AF33" s="500"/>
      <c r="AG33" s="501"/>
      <c r="AH33" s="499"/>
      <c r="AI33" s="501"/>
      <c r="AJ33" s="501"/>
      <c r="AK33" s="501"/>
      <c r="AL33" s="131"/>
      <c r="AM33" s="168">
        <f>SUM(K33:M33)</f>
        <v>1331</v>
      </c>
      <c r="AN33" s="180">
        <f>SUM(O33:Q33)</f>
        <v>0</v>
      </c>
      <c r="AO33" s="180">
        <f t="shared" si="5"/>
        <v>-8632</v>
      </c>
      <c r="AP33" s="498">
        <f t="shared" si="6"/>
        <v>-0.86640570109404802</v>
      </c>
      <c r="AQ33" s="171"/>
      <c r="AR33" s="37">
        <f t="shared" si="10"/>
        <v>1331</v>
      </c>
      <c r="AS33" s="37">
        <f>SUM(N33:Q33)</f>
        <v>9963</v>
      </c>
      <c r="AT33" s="37">
        <f>SUM(R33:U33)</f>
        <v>0</v>
      </c>
      <c r="AU33" s="37">
        <v>0</v>
      </c>
      <c r="AV33" s="499">
        <v>0</v>
      </c>
      <c r="AW33" s="499">
        <v>0</v>
      </c>
      <c r="AX33" s="499"/>
      <c r="AY33" s="37"/>
      <c r="AZ33" s="37"/>
      <c r="BA33" s="459"/>
      <c r="BB33" s="23"/>
      <c r="BC33" s="481"/>
      <c r="BD33" s="481"/>
      <c r="BG33" s="481"/>
    </row>
    <row r="34" spans="1:59" s="480" customFormat="1" ht="12.75" hidden="1" customHeight="1" x14ac:dyDescent="0.2">
      <c r="A34" s="7"/>
      <c r="B34" s="482" t="s">
        <v>236</v>
      </c>
      <c r="C34" s="168"/>
      <c r="D34" s="498"/>
      <c r="E34" s="497"/>
      <c r="F34" s="500"/>
      <c r="G34" s="500"/>
      <c r="H34" s="500"/>
      <c r="I34" s="217"/>
      <c r="J34" s="500"/>
      <c r="K34" s="500"/>
      <c r="L34" s="500"/>
      <c r="M34" s="217"/>
      <c r="N34" s="180"/>
      <c r="O34" s="180"/>
      <c r="P34" s="180"/>
      <c r="Q34" s="217"/>
      <c r="R34" s="180"/>
      <c r="S34" s="180"/>
      <c r="T34" s="180"/>
      <c r="U34" s="217"/>
      <c r="V34" s="500"/>
      <c r="W34" s="500"/>
      <c r="X34" s="500"/>
      <c r="Y34" s="501"/>
      <c r="Z34" s="500"/>
      <c r="AA34" s="500"/>
      <c r="AB34" s="500"/>
      <c r="AC34" s="501"/>
      <c r="AD34" s="500"/>
      <c r="AE34" s="500"/>
      <c r="AF34" s="500"/>
      <c r="AG34" s="501"/>
      <c r="AH34" s="499"/>
      <c r="AI34" s="501"/>
      <c r="AJ34" s="501"/>
      <c r="AK34" s="501"/>
      <c r="AL34" s="131"/>
      <c r="AM34" s="168"/>
      <c r="AN34" s="180"/>
      <c r="AO34" s="180"/>
      <c r="AP34" s="498"/>
      <c r="AQ34" s="171"/>
      <c r="AR34" s="37"/>
      <c r="AS34" s="37"/>
      <c r="AT34" s="37"/>
      <c r="AU34" s="37"/>
      <c r="AV34" s="499"/>
      <c r="AW34" s="499"/>
      <c r="AX34" s="499"/>
      <c r="AY34" s="37"/>
      <c r="AZ34" s="37"/>
      <c r="BA34" s="459"/>
      <c r="BB34" s="23"/>
      <c r="BC34" s="481"/>
      <c r="BD34" s="481"/>
      <c r="BG34" s="481"/>
    </row>
    <row r="35" spans="1:59" ht="12.75" customHeight="1" x14ac:dyDescent="0.2">
      <c r="A35" s="7"/>
      <c r="B35" s="6"/>
      <c r="C35" s="173">
        <f>I35-M35</f>
        <v>-910</v>
      </c>
      <c r="D35" s="111">
        <f>IF(OR((C35/M35)&gt;3,(C35/M35)&lt;-3),"n.m.",(C35/M35))</f>
        <v>-1.5546519971298732E-2</v>
      </c>
      <c r="E35" s="350"/>
      <c r="F35" s="174"/>
      <c r="G35" s="174"/>
      <c r="H35" s="174"/>
      <c r="I35" s="175">
        <f t="shared" ref="I35:N35" si="13">SUM(I22:I34)</f>
        <v>57624</v>
      </c>
      <c r="J35" s="174">
        <f t="shared" si="13"/>
        <v>71904</v>
      </c>
      <c r="K35" s="174">
        <f t="shared" si="13"/>
        <v>70304</v>
      </c>
      <c r="L35" s="174">
        <f t="shared" si="13"/>
        <v>58778</v>
      </c>
      <c r="M35" s="175">
        <f t="shared" si="13"/>
        <v>58534</v>
      </c>
      <c r="N35" s="174">
        <f t="shared" si="13"/>
        <v>53257</v>
      </c>
      <c r="O35" s="174">
        <f>SUM(O20:O21,O23:O33)</f>
        <v>13751</v>
      </c>
      <c r="P35" s="174">
        <f>SUM(P22:P34)</f>
        <v>13294</v>
      </c>
      <c r="Q35" s="175">
        <f>SUM(Q22:Q34)</f>
        <v>14080</v>
      </c>
      <c r="R35" s="174">
        <f t="shared" ref="R35:AX35" si="14">SUM(R22:R33)</f>
        <v>25215</v>
      </c>
      <c r="S35" s="174">
        <f t="shared" si="14"/>
        <v>20384</v>
      </c>
      <c r="T35" s="174">
        <f t="shared" si="14"/>
        <v>16895</v>
      </c>
      <c r="U35" s="175">
        <f t="shared" si="14"/>
        <v>16054</v>
      </c>
      <c r="V35" s="174">
        <f t="shared" si="14"/>
        <v>19201</v>
      </c>
      <c r="W35" s="174">
        <f t="shared" si="14"/>
        <v>21966</v>
      </c>
      <c r="X35" s="174">
        <f t="shared" si="14"/>
        <v>14464</v>
      </c>
      <c r="Y35" s="175">
        <f t="shared" si="14"/>
        <v>17290</v>
      </c>
      <c r="Z35" s="174">
        <f t="shared" si="14"/>
        <v>0</v>
      </c>
      <c r="AA35" s="174">
        <f t="shared" si="14"/>
        <v>0</v>
      </c>
      <c r="AB35" s="174">
        <f t="shared" si="14"/>
        <v>0</v>
      </c>
      <c r="AC35" s="175">
        <f t="shared" si="14"/>
        <v>0</v>
      </c>
      <c r="AD35" s="174">
        <f t="shared" si="14"/>
        <v>0</v>
      </c>
      <c r="AE35" s="174">
        <f t="shared" si="14"/>
        <v>0</v>
      </c>
      <c r="AF35" s="174">
        <f t="shared" si="14"/>
        <v>0</v>
      </c>
      <c r="AG35" s="175">
        <f t="shared" si="14"/>
        <v>0</v>
      </c>
      <c r="AH35" s="134">
        <f t="shared" si="14"/>
        <v>0</v>
      </c>
      <c r="AI35" s="175">
        <f t="shared" si="14"/>
        <v>0</v>
      </c>
      <c r="AJ35" s="175">
        <f t="shared" si="14"/>
        <v>0</v>
      </c>
      <c r="AK35" s="175">
        <f t="shared" si="14"/>
        <v>0</v>
      </c>
      <c r="AL35" s="131"/>
      <c r="AM35" s="172">
        <f>SUM(AM22:AM33)</f>
        <v>187616</v>
      </c>
      <c r="AN35" s="236">
        <f>SUM(AN22:AN33)</f>
        <v>41125</v>
      </c>
      <c r="AO35" s="236">
        <f>AR35-AS35</f>
        <v>165138</v>
      </c>
      <c r="AP35" s="111">
        <f>IF(OR((AO35/AS35)&gt;3,(AO35/AS35)&lt;-3),"n.m.",(AO35/AS35))</f>
        <v>1.7496768451611535</v>
      </c>
      <c r="AQ35" s="171"/>
      <c r="AR35" s="241">
        <f>SUM(AR22:AR34)</f>
        <v>259520</v>
      </c>
      <c r="AS35" s="241">
        <f>SUM(AS22:AS34)</f>
        <v>94382</v>
      </c>
      <c r="AT35" s="241">
        <f>SUM(AT22:AT34)</f>
        <v>78548</v>
      </c>
      <c r="AU35" s="130">
        <f t="shared" si="14"/>
        <v>72921</v>
      </c>
      <c r="AV35" s="130">
        <f t="shared" si="14"/>
        <v>70895</v>
      </c>
      <c r="AW35" s="130">
        <f t="shared" si="14"/>
        <v>88719</v>
      </c>
      <c r="AX35" s="130">
        <f t="shared" si="14"/>
        <v>98148</v>
      </c>
      <c r="AY35" s="219">
        <v>83963</v>
      </c>
      <c r="AZ35" s="219">
        <v>85664</v>
      </c>
      <c r="BA35" s="110">
        <v>68575</v>
      </c>
      <c r="BB35" s="23"/>
      <c r="BC35" s="3"/>
      <c r="BD35" s="3"/>
      <c r="BG35" s="3"/>
    </row>
    <row r="36" spans="1:59" s="480" customFormat="1" ht="12.75" customHeight="1" thickBot="1" x14ac:dyDescent="0.25">
      <c r="A36" s="2429" t="s">
        <v>307</v>
      </c>
      <c r="B36" s="2430"/>
      <c r="C36" s="268" t="e">
        <f>I36-M36</f>
        <v>#REF!</v>
      </c>
      <c r="D36" s="120" t="e">
        <f>IF(OR((C36/M36)&gt;3,(C36/M36)&lt;-3),"n.m.",(C36/M36))</f>
        <v>#REF!</v>
      </c>
      <c r="E36" s="497"/>
      <c r="F36" s="149"/>
      <c r="G36" s="149"/>
      <c r="H36" s="149"/>
      <c r="I36" s="150" t="e">
        <f>+I16-I35</f>
        <v>#REF!</v>
      </c>
      <c r="J36" s="149" t="e">
        <f>+J16-J35</f>
        <v>#REF!</v>
      </c>
      <c r="K36" s="149" t="e">
        <f>+K16-K35</f>
        <v>#REF!</v>
      </c>
      <c r="L36" s="149" t="e">
        <f>+L16-L35</f>
        <v>#REF!</v>
      </c>
      <c r="M36" s="150" t="e">
        <f t="shared" ref="M36:AK36" si="15">M16-M35</f>
        <v>#REF!</v>
      </c>
      <c r="N36" s="149" t="e">
        <f t="shared" si="15"/>
        <v>#REF!</v>
      </c>
      <c r="O36" s="149">
        <f t="shared" si="15"/>
        <v>-1003</v>
      </c>
      <c r="P36" s="149">
        <f t="shared" si="15"/>
        <v>-3956</v>
      </c>
      <c r="Q36" s="150">
        <f t="shared" si="15"/>
        <v>-4834</v>
      </c>
      <c r="R36" s="149">
        <f t="shared" si="15"/>
        <v>9340</v>
      </c>
      <c r="S36" s="149">
        <f t="shared" si="15"/>
        <v>2955</v>
      </c>
      <c r="T36" s="149">
        <f t="shared" si="15"/>
        <v>1443</v>
      </c>
      <c r="U36" s="150">
        <f t="shared" si="15"/>
        <v>391</v>
      </c>
      <c r="V36" s="149">
        <f t="shared" si="15"/>
        <v>2132</v>
      </c>
      <c r="W36" s="149">
        <f t="shared" si="15"/>
        <v>4455</v>
      </c>
      <c r="X36" s="149">
        <f t="shared" si="15"/>
        <v>-689</v>
      </c>
      <c r="Y36" s="150">
        <f t="shared" si="15"/>
        <v>3635</v>
      </c>
      <c r="Z36" s="149">
        <f t="shared" si="15"/>
        <v>0</v>
      </c>
      <c r="AA36" s="149">
        <f t="shared" si="15"/>
        <v>0</v>
      </c>
      <c r="AB36" s="149">
        <f t="shared" si="15"/>
        <v>0</v>
      </c>
      <c r="AC36" s="150">
        <f t="shared" si="15"/>
        <v>0</v>
      </c>
      <c r="AD36" s="150">
        <f t="shared" si="15"/>
        <v>0</v>
      </c>
      <c r="AE36" s="249">
        <f t="shared" si="15"/>
        <v>0</v>
      </c>
      <c r="AF36" s="249">
        <f t="shared" si="15"/>
        <v>0</v>
      </c>
      <c r="AG36" s="147">
        <f t="shared" si="15"/>
        <v>0</v>
      </c>
      <c r="AH36" s="147">
        <f t="shared" si="15"/>
        <v>0</v>
      </c>
      <c r="AI36" s="147">
        <f t="shared" si="15"/>
        <v>0</v>
      </c>
      <c r="AJ36" s="147">
        <f t="shared" si="15"/>
        <v>0</v>
      </c>
      <c r="AK36" s="147">
        <f t="shared" si="15"/>
        <v>0</v>
      </c>
      <c r="AL36" s="47"/>
      <c r="AM36" s="149" t="e">
        <f>AM16-AM35</f>
        <v>#REF!</v>
      </c>
      <c r="AN36" s="149">
        <f>AN16-AN35</f>
        <v>-9793</v>
      </c>
      <c r="AO36" s="320" t="e">
        <f>AR36-AS36</f>
        <v>#REF!</v>
      </c>
      <c r="AP36" s="120" t="e">
        <f>-IF(OR((AO36/AS36)&gt;3,(AO36/AS36)&lt;-3),"n.m.",(AO36/AS36))</f>
        <v>#REF!</v>
      </c>
      <c r="AQ36" s="47"/>
      <c r="AR36" s="150" t="e">
        <f>AR16-AR35</f>
        <v>#REF!</v>
      </c>
      <c r="AS36" s="150" t="e">
        <f t="shared" ref="AS36:AZ36" si="16">AS16-AS35</f>
        <v>#REF!</v>
      </c>
      <c r="AT36" s="150">
        <f t="shared" si="16"/>
        <v>14129</v>
      </c>
      <c r="AU36" s="136">
        <f t="shared" si="16"/>
        <v>9533</v>
      </c>
      <c r="AV36" s="136">
        <f t="shared" si="16"/>
        <v>2031</v>
      </c>
      <c r="AW36" s="136">
        <f t="shared" si="16"/>
        <v>29613</v>
      </c>
      <c r="AX36" s="179">
        <f t="shared" si="16"/>
        <v>31704</v>
      </c>
      <c r="AY36" s="220">
        <f t="shared" si="16"/>
        <v>41937</v>
      </c>
      <c r="AZ36" s="220">
        <f t="shared" si="16"/>
        <v>30426</v>
      </c>
      <c r="BA36" s="224"/>
      <c r="BB36" s="483"/>
      <c r="BC36" s="483"/>
      <c r="BG36" s="481"/>
    </row>
    <row r="37" spans="1:59" s="480" customFormat="1" ht="12.75" customHeight="1" thickTop="1" x14ac:dyDescent="0.2">
      <c r="A37" s="7"/>
      <c r="B37" s="275"/>
      <c r="C37" s="507"/>
      <c r="D37" s="498"/>
      <c r="E37" s="498"/>
      <c r="F37" s="139"/>
      <c r="G37" s="139"/>
      <c r="H37" s="139"/>
      <c r="I37" s="143"/>
      <c r="J37" s="139"/>
      <c r="K37" s="139"/>
      <c r="L37" s="139"/>
      <c r="M37" s="143"/>
      <c r="N37" s="139"/>
      <c r="O37" s="139"/>
      <c r="P37" s="139"/>
      <c r="Q37" s="143"/>
      <c r="R37" s="139"/>
      <c r="S37" s="139"/>
      <c r="T37" s="139"/>
      <c r="U37" s="143"/>
      <c r="V37" s="139"/>
      <c r="W37" s="139"/>
      <c r="X37" s="139"/>
      <c r="Y37" s="143"/>
      <c r="Z37" s="139"/>
      <c r="AA37" s="139"/>
      <c r="AB37" s="139"/>
      <c r="AC37" s="143"/>
      <c r="AD37" s="143"/>
      <c r="AE37" s="249"/>
      <c r="AF37" s="249"/>
      <c r="AG37" s="147"/>
      <c r="AH37" s="147"/>
      <c r="AI37" s="147"/>
      <c r="AJ37" s="147"/>
      <c r="AK37" s="147"/>
      <c r="AL37" s="107"/>
      <c r="AM37" s="483"/>
      <c r="AN37" s="483"/>
      <c r="AO37" s="507"/>
      <c r="AP37" s="498"/>
      <c r="AQ37" s="107"/>
      <c r="AR37" s="552"/>
      <c r="AS37" s="552"/>
      <c r="AT37" s="552"/>
      <c r="AU37" s="552"/>
      <c r="AV37" s="552"/>
      <c r="AW37" s="501"/>
      <c r="AX37" s="501"/>
      <c r="AY37" s="26"/>
      <c r="AZ37" s="26"/>
      <c r="BA37" s="99"/>
      <c r="BB37" s="483"/>
      <c r="BC37" s="483"/>
      <c r="BG37" s="481"/>
    </row>
    <row r="38" spans="1:59" s="480" customFormat="1" ht="12.75" hidden="1" customHeight="1" outlineLevel="1" x14ac:dyDescent="0.2">
      <c r="A38" s="7"/>
      <c r="B38" s="275" t="s">
        <v>310</v>
      </c>
      <c r="C38" s="168">
        <f>I38-M38</f>
        <v>825</v>
      </c>
      <c r="D38" s="498" t="s">
        <v>38</v>
      </c>
      <c r="E38" s="498"/>
      <c r="F38" s="139"/>
      <c r="G38" s="139"/>
      <c r="H38" s="139"/>
      <c r="I38" s="143">
        <f>275*3</f>
        <v>825</v>
      </c>
      <c r="J38" s="525">
        <v>0</v>
      </c>
      <c r="K38" s="525">
        <v>0</v>
      </c>
      <c r="L38" s="525">
        <v>0</v>
      </c>
      <c r="M38" s="542">
        <v>0</v>
      </c>
      <c r="N38" s="525">
        <v>0</v>
      </c>
      <c r="O38" s="525">
        <v>0</v>
      </c>
      <c r="P38" s="525">
        <v>0</v>
      </c>
      <c r="Q38" s="542">
        <v>0</v>
      </c>
      <c r="R38" s="139"/>
      <c r="S38" s="139"/>
      <c r="T38" s="139"/>
      <c r="U38" s="143"/>
      <c r="V38" s="139"/>
      <c r="W38" s="139"/>
      <c r="X38" s="139"/>
      <c r="Y38" s="143"/>
      <c r="Z38" s="139"/>
      <c r="AA38" s="139"/>
      <c r="AB38" s="139"/>
      <c r="AC38" s="143"/>
      <c r="AD38" s="143"/>
      <c r="AE38" s="249"/>
      <c r="AF38" s="249"/>
      <c r="AG38" s="147"/>
      <c r="AH38" s="147"/>
      <c r="AI38" s="147"/>
      <c r="AJ38" s="147"/>
      <c r="AK38" s="147"/>
      <c r="AL38" s="107"/>
      <c r="AM38" s="483"/>
      <c r="AN38" s="483"/>
      <c r="AO38" s="507"/>
      <c r="AP38" s="498"/>
      <c r="AQ38" s="107"/>
      <c r="AR38" s="549">
        <v>0</v>
      </c>
      <c r="AS38" s="549">
        <v>0</v>
      </c>
      <c r="AT38" s="549">
        <v>0</v>
      </c>
      <c r="AU38" s="549">
        <v>0</v>
      </c>
      <c r="AV38" s="549">
        <v>0</v>
      </c>
      <c r="AW38" s="501"/>
      <c r="AX38" s="501"/>
      <c r="AY38" s="26">
        <v>11945</v>
      </c>
      <c r="AZ38" s="26">
        <v>10058</v>
      </c>
      <c r="BA38" s="99"/>
      <c r="BB38" s="483"/>
      <c r="BC38" s="483"/>
      <c r="BG38" s="481"/>
    </row>
    <row r="39" spans="1:59" s="480" customFormat="1" ht="12.75" hidden="1" customHeight="1" outlineLevel="1" x14ac:dyDescent="0.2">
      <c r="A39" s="7"/>
      <c r="B39" s="6" t="s">
        <v>311</v>
      </c>
      <c r="C39" s="176">
        <f>I39-M39</f>
        <v>98</v>
      </c>
      <c r="D39" s="92" t="s">
        <v>38</v>
      </c>
      <c r="E39" s="498"/>
      <c r="F39" s="139"/>
      <c r="G39" s="139"/>
      <c r="H39" s="139"/>
      <c r="I39" s="146">
        <v>98</v>
      </c>
      <c r="J39" s="564">
        <v>0</v>
      </c>
      <c r="K39" s="564">
        <v>0</v>
      </c>
      <c r="L39" s="564">
        <v>0</v>
      </c>
      <c r="M39" s="565">
        <v>0</v>
      </c>
      <c r="N39" s="564">
        <v>0</v>
      </c>
      <c r="O39" s="564">
        <v>0</v>
      </c>
      <c r="P39" s="564">
        <v>0</v>
      </c>
      <c r="Q39" s="565">
        <v>0</v>
      </c>
      <c r="R39" s="139"/>
      <c r="S39" s="139"/>
      <c r="T39" s="139"/>
      <c r="U39" s="143"/>
      <c r="V39" s="139"/>
      <c r="W39" s="139"/>
      <c r="X39" s="139"/>
      <c r="Y39" s="143"/>
      <c r="Z39" s="139"/>
      <c r="AA39" s="139"/>
      <c r="AB39" s="139"/>
      <c r="AC39" s="143"/>
      <c r="AD39" s="143"/>
      <c r="AE39" s="249"/>
      <c r="AF39" s="249"/>
      <c r="AG39" s="147"/>
      <c r="AH39" s="147"/>
      <c r="AI39" s="147"/>
      <c r="AJ39" s="147"/>
      <c r="AK39" s="147"/>
      <c r="AL39" s="107"/>
      <c r="AM39" s="483"/>
      <c r="AN39" s="483"/>
      <c r="AO39" s="507"/>
      <c r="AP39" s="498"/>
      <c r="AQ39" s="107"/>
      <c r="AR39" s="566">
        <v>0</v>
      </c>
      <c r="AS39" s="566">
        <v>0</v>
      </c>
      <c r="AT39" s="566">
        <v>0</v>
      </c>
      <c r="AU39" s="566">
        <v>0</v>
      </c>
      <c r="AV39" s="566">
        <v>0</v>
      </c>
      <c r="AW39" s="501"/>
      <c r="AX39" s="501"/>
      <c r="AY39" s="507"/>
      <c r="AZ39" s="26"/>
      <c r="BA39" s="99"/>
      <c r="BB39" s="483"/>
      <c r="BC39" s="483"/>
      <c r="BG39" s="481"/>
    </row>
    <row r="40" spans="1:59" s="480" customFormat="1" ht="12.75" customHeight="1" collapsed="1" x14ac:dyDescent="0.2">
      <c r="A40" s="7"/>
      <c r="B40" s="6" t="s">
        <v>313</v>
      </c>
      <c r="C40" s="168">
        <f>I40-M40</f>
        <v>923</v>
      </c>
      <c r="D40" s="498" t="s">
        <v>38</v>
      </c>
      <c r="E40" s="498"/>
      <c r="F40" s="139"/>
      <c r="G40" s="139"/>
      <c r="H40" s="139"/>
      <c r="I40" s="143">
        <f>+I38+I39</f>
        <v>923</v>
      </c>
      <c r="J40" s="525">
        <v>0</v>
      </c>
      <c r="K40" s="525">
        <v>0</v>
      </c>
      <c r="L40" s="525">
        <v>0</v>
      </c>
      <c r="M40" s="542">
        <v>0</v>
      </c>
      <c r="N40" s="525">
        <v>0</v>
      </c>
      <c r="O40" s="525">
        <v>0</v>
      </c>
      <c r="P40" s="525">
        <v>0</v>
      </c>
      <c r="Q40" s="542">
        <v>0</v>
      </c>
      <c r="R40" s="139"/>
      <c r="S40" s="139"/>
      <c r="T40" s="139"/>
      <c r="U40" s="143"/>
      <c r="V40" s="139"/>
      <c r="W40" s="139"/>
      <c r="X40" s="139"/>
      <c r="Y40" s="143"/>
      <c r="Z40" s="139"/>
      <c r="AA40" s="139"/>
      <c r="AB40" s="139"/>
      <c r="AC40" s="143"/>
      <c r="AD40" s="143"/>
      <c r="AE40" s="249"/>
      <c r="AF40" s="249"/>
      <c r="AG40" s="147"/>
      <c r="AH40" s="147"/>
      <c r="AI40" s="147"/>
      <c r="AJ40" s="147"/>
      <c r="AK40" s="147"/>
      <c r="AL40" s="107"/>
      <c r="AM40" s="483"/>
      <c r="AN40" s="483"/>
      <c r="AO40" s="507"/>
      <c r="AP40" s="498"/>
      <c r="AQ40" s="107"/>
      <c r="AR40" s="549">
        <v>0</v>
      </c>
      <c r="AS40" s="549">
        <v>0</v>
      </c>
      <c r="AT40" s="549">
        <v>0</v>
      </c>
      <c r="AU40" s="549">
        <v>0</v>
      </c>
      <c r="AV40" s="549">
        <v>0</v>
      </c>
      <c r="AW40" s="501"/>
      <c r="AX40" s="501"/>
      <c r="AY40" s="507"/>
      <c r="AZ40" s="26"/>
      <c r="BA40" s="99"/>
      <c r="BB40" s="483"/>
      <c r="BC40" s="483"/>
      <c r="BG40" s="481"/>
    </row>
    <row r="41" spans="1:59" s="480" customFormat="1" ht="12.75" customHeight="1" x14ac:dyDescent="0.2">
      <c r="A41" s="7"/>
      <c r="B41" s="6"/>
      <c r="C41" s="459"/>
      <c r="D41" s="498"/>
      <c r="E41" s="497"/>
      <c r="F41" s="139"/>
      <c r="G41" s="139"/>
      <c r="H41" s="139"/>
      <c r="I41" s="143"/>
      <c r="J41" s="139"/>
      <c r="K41" s="139"/>
      <c r="L41" s="139"/>
      <c r="M41" s="143"/>
      <c r="N41" s="139"/>
      <c r="O41" s="139"/>
      <c r="P41" s="139"/>
      <c r="Q41" s="143"/>
      <c r="R41" s="139"/>
      <c r="S41" s="139"/>
      <c r="T41" s="139"/>
      <c r="U41" s="143"/>
      <c r="V41" s="139"/>
      <c r="W41" s="139"/>
      <c r="X41" s="139"/>
      <c r="Y41" s="143"/>
      <c r="Z41" s="139"/>
      <c r="AA41" s="139"/>
      <c r="AB41" s="139"/>
      <c r="AC41" s="143"/>
      <c r="AD41" s="143"/>
      <c r="AE41" s="249"/>
      <c r="AF41" s="249"/>
      <c r="AG41" s="147"/>
      <c r="AH41" s="147"/>
      <c r="AI41" s="147"/>
      <c r="AJ41" s="147"/>
      <c r="AK41" s="147"/>
      <c r="AL41" s="483"/>
      <c r="AM41" s="483"/>
      <c r="AN41" s="483"/>
      <c r="AO41" s="507"/>
      <c r="AP41" s="508"/>
      <c r="AQ41" s="47"/>
      <c r="AR41" s="134"/>
      <c r="AS41" s="134"/>
      <c r="AT41" s="134"/>
      <c r="AU41" s="134"/>
      <c r="AV41" s="134"/>
      <c r="AW41" s="501"/>
      <c r="AX41" s="501"/>
      <c r="AY41" s="507"/>
      <c r="AZ41" s="37"/>
      <c r="BA41" s="224"/>
      <c r="BB41" s="483"/>
      <c r="BC41" s="483"/>
      <c r="BG41" s="481"/>
    </row>
    <row r="42" spans="1:59" s="53" customFormat="1" ht="12.75" customHeight="1" thickBot="1" x14ac:dyDescent="0.25">
      <c r="A42" s="2429" t="s">
        <v>69</v>
      </c>
      <c r="B42" s="2430"/>
      <c r="C42" s="268" t="e">
        <f>I42-M42</f>
        <v>#REF!</v>
      </c>
      <c r="D42" s="120" t="e">
        <f>-IF(OR((C42/M42)&gt;3,(C42/M42)&lt;-3),"n.m.",(C42/M42))</f>
        <v>#REF!</v>
      </c>
      <c r="E42" s="497"/>
      <c r="F42" s="149"/>
      <c r="G42" s="149"/>
      <c r="H42" s="149"/>
      <c r="I42" s="150" t="e">
        <f>+I36-I38-I39</f>
        <v>#REF!</v>
      </c>
      <c r="J42" s="149" t="e">
        <f t="shared" ref="J42:Q42" si="17">+J36-J38-J39</f>
        <v>#REF!</v>
      </c>
      <c r="K42" s="149" t="e">
        <f t="shared" si="17"/>
        <v>#REF!</v>
      </c>
      <c r="L42" s="149" t="e">
        <f t="shared" si="17"/>
        <v>#REF!</v>
      </c>
      <c r="M42" s="150" t="e">
        <f t="shared" si="17"/>
        <v>#REF!</v>
      </c>
      <c r="N42" s="149" t="e">
        <f t="shared" si="17"/>
        <v>#REF!</v>
      </c>
      <c r="O42" s="149">
        <f t="shared" si="17"/>
        <v>-1003</v>
      </c>
      <c r="P42" s="149">
        <f t="shared" si="17"/>
        <v>-3956</v>
      </c>
      <c r="Q42" s="150">
        <f t="shared" si="17"/>
        <v>-4834</v>
      </c>
      <c r="R42" s="149"/>
      <c r="S42" s="149"/>
      <c r="T42" s="149"/>
      <c r="U42" s="150"/>
      <c r="V42" s="149"/>
      <c r="W42" s="149"/>
      <c r="X42" s="149"/>
      <c r="Y42" s="150"/>
      <c r="Z42" s="149"/>
      <c r="AA42" s="149"/>
      <c r="AB42" s="149"/>
      <c r="AC42" s="150"/>
      <c r="AD42" s="149"/>
      <c r="AE42" s="150"/>
      <c r="AF42" s="150"/>
      <c r="AG42" s="147"/>
      <c r="AH42" s="147"/>
      <c r="AI42" s="147"/>
      <c r="AJ42" s="147"/>
      <c r="AK42" s="147"/>
      <c r="AL42" s="483"/>
      <c r="AM42" s="483"/>
      <c r="AN42" s="483"/>
      <c r="AO42" s="320"/>
      <c r="AP42" s="120"/>
      <c r="AQ42" s="47"/>
      <c r="AR42" s="136" t="e">
        <f>+AR36-AR38-AR39</f>
        <v>#REF!</v>
      </c>
      <c r="AS42" s="136" t="e">
        <f>+AS36-AS38-AS39</f>
        <v>#REF!</v>
      </c>
      <c r="AT42" s="136">
        <f>+AT36-AT38-AT39</f>
        <v>14129</v>
      </c>
      <c r="AU42" s="136">
        <f>+AU36-AU38-AU39</f>
        <v>9533</v>
      </c>
      <c r="AV42" s="136">
        <f>+AV36-AV38-AV39</f>
        <v>2031</v>
      </c>
      <c r="AW42" s="179"/>
      <c r="AX42" s="179"/>
      <c r="AY42" s="320">
        <f>AY36-AY38</f>
        <v>29992</v>
      </c>
      <c r="AZ42" s="220">
        <f>AZ36-AZ38</f>
        <v>20368</v>
      </c>
      <c r="BA42" s="231">
        <v>15914</v>
      </c>
      <c r="BB42" s="483"/>
      <c r="BC42" s="251"/>
      <c r="BG42" s="137"/>
    </row>
    <row r="43" spans="1:59" s="53" customFormat="1" ht="12.75" customHeight="1" thickTop="1" x14ac:dyDescent="0.2">
      <c r="A43" s="86"/>
      <c r="B43" s="408"/>
      <c r="C43" s="160"/>
      <c r="D43" s="35"/>
      <c r="E43" s="35"/>
      <c r="F43" s="508"/>
      <c r="G43" s="508"/>
      <c r="H43" s="508"/>
      <c r="I43" s="500"/>
      <c r="J43" s="508"/>
      <c r="K43" s="508"/>
      <c r="L43" s="508"/>
      <c r="M43" s="500"/>
      <c r="N43" s="35"/>
      <c r="O43" s="35"/>
      <c r="P43" s="35"/>
      <c r="Q43" s="160"/>
      <c r="R43" s="35"/>
      <c r="S43" s="35"/>
      <c r="T43" s="35"/>
      <c r="U43" s="160"/>
      <c r="V43" s="35"/>
      <c r="W43" s="35"/>
      <c r="X43" s="35"/>
      <c r="Y43" s="160"/>
      <c r="Z43" s="35"/>
      <c r="AA43" s="35"/>
      <c r="AB43" s="35"/>
      <c r="AC43" s="160"/>
      <c r="AD43" s="160"/>
      <c r="AE43" s="160"/>
      <c r="AF43" s="160"/>
      <c r="AG43" s="160"/>
      <c r="AH43" s="160"/>
      <c r="AI43" s="160"/>
      <c r="AJ43" s="160"/>
      <c r="AK43" s="160"/>
      <c r="AL43" s="171"/>
      <c r="AM43" s="171"/>
      <c r="AN43" s="171"/>
      <c r="AO43" s="180"/>
      <c r="AP43" s="35"/>
      <c r="AQ43" s="171"/>
      <c r="AR43" s="491"/>
      <c r="AS43" s="187"/>
      <c r="AT43" s="187"/>
      <c r="AU43" s="160"/>
      <c r="AV43" s="160"/>
      <c r="AW43" s="44"/>
      <c r="AX43" s="160"/>
      <c r="AY43" s="28"/>
      <c r="AZ43" s="28"/>
      <c r="BA43" s="28"/>
      <c r="BB43" s="3"/>
      <c r="BC43" s="137"/>
      <c r="BD43" s="137"/>
      <c r="BG43" s="137"/>
    </row>
    <row r="44" spans="1:59" s="53" customFormat="1" ht="12.75" customHeight="1" x14ac:dyDescent="0.2">
      <c r="A44" s="6" t="s">
        <v>276</v>
      </c>
      <c r="B44" s="408"/>
      <c r="C44" s="154" t="e">
        <f t="shared" ref="C44:C50" si="18">(I44-M44)*100</f>
        <v>#REF!</v>
      </c>
      <c r="D44" s="508"/>
      <c r="E44" s="508"/>
      <c r="F44" s="508"/>
      <c r="G44" s="508"/>
      <c r="H44" s="508"/>
      <c r="I44" s="508" t="e">
        <f>+I18/I$16</f>
        <v>#REF!</v>
      </c>
      <c r="J44" s="508" t="e">
        <f t="shared" ref="J44:L45" si="19">+J18/J$16</f>
        <v>#REF!</v>
      </c>
      <c r="K44" s="508" t="e">
        <f t="shared" si="19"/>
        <v>#REF!</v>
      </c>
      <c r="L44" s="508" t="e">
        <f t="shared" si="19"/>
        <v>#REF!</v>
      </c>
      <c r="M44" s="508" t="e">
        <f t="shared" ref="M44:AK44" si="20">+M18/M$16</f>
        <v>#REF!</v>
      </c>
      <c r="N44" s="508" t="e">
        <f t="shared" si="20"/>
        <v>#REF!</v>
      </c>
      <c r="O44" s="508">
        <f t="shared" si="20"/>
        <v>0.38751176655161595</v>
      </c>
      <c r="P44" s="508">
        <f t="shared" si="20"/>
        <v>0.5500107089312487</v>
      </c>
      <c r="Q44" s="508">
        <f t="shared" si="20"/>
        <v>0.50324464633354959</v>
      </c>
      <c r="R44" s="508">
        <f t="shared" si="20"/>
        <v>0.50201128635508607</v>
      </c>
      <c r="S44" s="508">
        <f t="shared" si="20"/>
        <v>0.46831483782509964</v>
      </c>
      <c r="T44" s="508">
        <f t="shared" si="20"/>
        <v>0.47862362307776202</v>
      </c>
      <c r="U44" s="508">
        <f t="shared" si="20"/>
        <v>0</v>
      </c>
      <c r="V44" s="508">
        <f t="shared" si="20"/>
        <v>0</v>
      </c>
      <c r="W44" s="508">
        <f t="shared" si="20"/>
        <v>0</v>
      </c>
      <c r="X44" s="508">
        <f t="shared" si="20"/>
        <v>0</v>
      </c>
      <c r="Y44" s="508">
        <f t="shared" si="20"/>
        <v>0</v>
      </c>
      <c r="Z44" s="508" t="e">
        <f t="shared" si="20"/>
        <v>#DIV/0!</v>
      </c>
      <c r="AA44" s="508" t="e">
        <f t="shared" si="20"/>
        <v>#DIV/0!</v>
      </c>
      <c r="AB44" s="508" t="e">
        <f t="shared" si="20"/>
        <v>#DIV/0!</v>
      </c>
      <c r="AC44" s="508" t="e">
        <f t="shared" si="20"/>
        <v>#DIV/0!</v>
      </c>
      <c r="AD44" s="508" t="e">
        <f t="shared" si="20"/>
        <v>#DIV/0!</v>
      </c>
      <c r="AE44" s="508" t="e">
        <f t="shared" si="20"/>
        <v>#DIV/0!</v>
      </c>
      <c r="AF44" s="508" t="e">
        <f t="shared" si="20"/>
        <v>#DIV/0!</v>
      </c>
      <c r="AG44" s="508" t="e">
        <f t="shared" si="20"/>
        <v>#DIV/0!</v>
      </c>
      <c r="AH44" s="508" t="e">
        <f t="shared" si="20"/>
        <v>#DIV/0!</v>
      </c>
      <c r="AI44" s="508" t="e">
        <f t="shared" si="20"/>
        <v>#DIV/0!</v>
      </c>
      <c r="AJ44" s="508" t="e">
        <f t="shared" si="20"/>
        <v>#DIV/0!</v>
      </c>
      <c r="AK44" s="508" t="e">
        <f t="shared" si="20"/>
        <v>#DIV/0!</v>
      </c>
      <c r="AL44" s="171"/>
      <c r="AM44" s="508" t="e">
        <f>+AM18/AM$16</f>
        <v>#REF!</v>
      </c>
      <c r="AN44" s="508">
        <f>+AN18/AN$16</f>
        <v>0.47009447210519595</v>
      </c>
      <c r="AO44" s="154" t="e">
        <f t="shared" ref="AO44:AO50" si="21">(AR44-AS44)*100</f>
        <v>#REF!</v>
      </c>
      <c r="AP44" s="508"/>
      <c r="AQ44" s="171"/>
      <c r="AR44" s="508" t="e">
        <f t="shared" ref="AR44:AW45" si="22">+AR18/AR$16</f>
        <v>#REF!</v>
      </c>
      <c r="AS44" s="508" t="e">
        <f t="shared" si="22"/>
        <v>#REF!</v>
      </c>
      <c r="AT44" s="508">
        <f t="shared" si="22"/>
        <v>0.47434638583467309</v>
      </c>
      <c r="AU44" s="508">
        <f t="shared" si="22"/>
        <v>0.49825357168845658</v>
      </c>
      <c r="AV44" s="508">
        <f t="shared" si="22"/>
        <v>0.44623316786879852</v>
      </c>
      <c r="AW44" s="508">
        <f t="shared" si="22"/>
        <v>0.47108136429706249</v>
      </c>
      <c r="AX44" s="500"/>
      <c r="AY44" s="507"/>
      <c r="AZ44" s="507"/>
      <c r="BA44" s="507"/>
      <c r="BB44" s="481"/>
      <c r="BC44" s="137"/>
      <c r="BD44" s="137"/>
      <c r="BG44" s="137"/>
    </row>
    <row r="45" spans="1:59" s="53" customFormat="1" ht="12.75" customHeight="1" x14ac:dyDescent="0.2">
      <c r="A45" s="6" t="s">
        <v>277</v>
      </c>
      <c r="B45" s="408"/>
      <c r="C45" s="154" t="e">
        <f t="shared" si="18"/>
        <v>#REF!</v>
      </c>
      <c r="D45" s="508"/>
      <c r="E45" s="508"/>
      <c r="F45" s="508"/>
      <c r="G45" s="508"/>
      <c r="H45" s="508"/>
      <c r="I45" s="508" t="e">
        <f>+I19/I$16</f>
        <v>#REF!</v>
      </c>
      <c r="J45" s="508" t="e">
        <f t="shared" si="19"/>
        <v>#REF!</v>
      </c>
      <c r="K45" s="508" t="e">
        <f t="shared" si="19"/>
        <v>#REF!</v>
      </c>
      <c r="L45" s="508" t="e">
        <f t="shared" si="19"/>
        <v>#REF!</v>
      </c>
      <c r="M45" s="508" t="e">
        <f t="shared" ref="M45:AK45" si="23">+M19/M$16</f>
        <v>#REF!</v>
      </c>
      <c r="N45" s="508" t="e">
        <f t="shared" si="23"/>
        <v>#REF!</v>
      </c>
      <c r="O45" s="508">
        <f t="shared" si="23"/>
        <v>7.7659240665202384E-2</v>
      </c>
      <c r="P45" s="508">
        <f t="shared" si="23"/>
        <v>8.3850931677018639E-2</v>
      </c>
      <c r="Q45" s="508">
        <f t="shared" si="23"/>
        <v>0.11118321436296777</v>
      </c>
      <c r="R45" s="508">
        <f t="shared" si="23"/>
        <v>-1.4701200983938649E-2</v>
      </c>
      <c r="S45" s="508">
        <f t="shared" si="23"/>
        <v>6.9240327349072373E-2</v>
      </c>
      <c r="T45" s="508">
        <f t="shared" si="23"/>
        <v>2.4266550332642599E-2</v>
      </c>
      <c r="U45" s="508">
        <f t="shared" si="23"/>
        <v>0</v>
      </c>
      <c r="V45" s="508">
        <f t="shared" si="23"/>
        <v>0</v>
      </c>
      <c r="W45" s="508">
        <f t="shared" si="23"/>
        <v>0</v>
      </c>
      <c r="X45" s="508">
        <f t="shared" si="23"/>
        <v>0</v>
      </c>
      <c r="Y45" s="508">
        <f t="shared" si="23"/>
        <v>0</v>
      </c>
      <c r="Z45" s="508" t="e">
        <f t="shared" si="23"/>
        <v>#DIV/0!</v>
      </c>
      <c r="AA45" s="508" t="e">
        <f t="shared" si="23"/>
        <v>#DIV/0!</v>
      </c>
      <c r="AB45" s="508" t="e">
        <f t="shared" si="23"/>
        <v>#DIV/0!</v>
      </c>
      <c r="AC45" s="508" t="e">
        <f t="shared" si="23"/>
        <v>#DIV/0!</v>
      </c>
      <c r="AD45" s="508" t="e">
        <f t="shared" si="23"/>
        <v>#DIV/0!</v>
      </c>
      <c r="AE45" s="508" t="e">
        <f t="shared" si="23"/>
        <v>#DIV/0!</v>
      </c>
      <c r="AF45" s="508" t="e">
        <f t="shared" si="23"/>
        <v>#DIV/0!</v>
      </c>
      <c r="AG45" s="508" t="e">
        <f t="shared" si="23"/>
        <v>#DIV/0!</v>
      </c>
      <c r="AH45" s="508" t="e">
        <f t="shared" si="23"/>
        <v>#DIV/0!</v>
      </c>
      <c r="AI45" s="508" t="e">
        <f t="shared" si="23"/>
        <v>#DIV/0!</v>
      </c>
      <c r="AJ45" s="508" t="e">
        <f t="shared" si="23"/>
        <v>#DIV/0!</v>
      </c>
      <c r="AK45" s="508" t="e">
        <f t="shared" si="23"/>
        <v>#DIV/0!</v>
      </c>
      <c r="AL45" s="171"/>
      <c r="AM45" s="508" t="e">
        <f>+AM19/AM$16</f>
        <v>#REF!</v>
      </c>
      <c r="AN45" s="508">
        <f>+AN19/AN$16</f>
        <v>8.9397421166858171E-2</v>
      </c>
      <c r="AO45" s="154" t="e">
        <f t="shared" si="21"/>
        <v>#REF!</v>
      </c>
      <c r="AP45" s="508"/>
      <c r="AQ45" s="171"/>
      <c r="AR45" s="508" t="e">
        <f t="shared" si="22"/>
        <v>#REF!</v>
      </c>
      <c r="AS45" s="508" t="e">
        <f t="shared" si="22"/>
        <v>#REF!</v>
      </c>
      <c r="AT45" s="508">
        <f t="shared" si="22"/>
        <v>2.4785005988540845E-2</v>
      </c>
      <c r="AU45" s="508">
        <f t="shared" si="22"/>
        <v>4.0301258883741239E-2</v>
      </c>
      <c r="AV45" s="508">
        <f t="shared" si="22"/>
        <v>2.5765844829004743E-2</v>
      </c>
      <c r="AW45" s="508">
        <f t="shared" si="22"/>
        <v>3.3490518203022006E-2</v>
      </c>
      <c r="AX45" s="500"/>
      <c r="AY45" s="507"/>
      <c r="AZ45" s="507"/>
      <c r="BA45" s="507"/>
      <c r="BB45" s="481"/>
      <c r="BC45" s="137"/>
      <c r="BD45" s="137"/>
      <c r="BG45" s="137"/>
    </row>
    <row r="46" spans="1:59" s="53" customFormat="1" ht="12.75" customHeight="1" x14ac:dyDescent="0.2">
      <c r="A46" s="88" t="s">
        <v>71</v>
      </c>
      <c r="B46" s="408"/>
      <c r="C46" s="154" t="e">
        <f t="shared" si="18"/>
        <v>#REF!</v>
      </c>
      <c r="D46" s="32"/>
      <c r="E46" s="32"/>
      <c r="F46" s="32"/>
      <c r="G46" s="32"/>
      <c r="H46" s="32"/>
      <c r="I46" s="32" t="e">
        <f>I22/I16</f>
        <v>#REF!</v>
      </c>
      <c r="J46" s="32" t="e">
        <f t="shared" ref="J46:O46" si="24">J22/J16</f>
        <v>#REF!</v>
      </c>
      <c r="K46" s="32" t="e">
        <f t="shared" si="24"/>
        <v>#REF!</v>
      </c>
      <c r="L46" s="32" t="e">
        <f t="shared" si="24"/>
        <v>#REF!</v>
      </c>
      <c r="M46" s="32" t="e">
        <f t="shared" si="24"/>
        <v>#REF!</v>
      </c>
      <c r="N46" s="32" t="e">
        <f t="shared" si="24"/>
        <v>#REF!</v>
      </c>
      <c r="O46" s="32">
        <f t="shared" si="24"/>
        <v>0.5043144022591779</v>
      </c>
      <c r="P46" s="32">
        <f t="shared" ref="P46:AX46" si="25">P22/P16</f>
        <v>0.69190404797601202</v>
      </c>
      <c r="Q46" s="32">
        <f t="shared" si="25"/>
        <v>0.67153363616699113</v>
      </c>
      <c r="R46" s="32">
        <f t="shared" si="25"/>
        <v>0.49943568224569529</v>
      </c>
      <c r="S46" s="32">
        <f t="shared" si="25"/>
        <v>0.55567933501863831</v>
      </c>
      <c r="T46" s="32">
        <f t="shared" si="25"/>
        <v>0.52633875013632891</v>
      </c>
      <c r="U46" s="32">
        <f t="shared" si="25"/>
        <v>0.48878078443295836</v>
      </c>
      <c r="V46" s="32">
        <f t="shared" si="25"/>
        <v>0.52519570618290912</v>
      </c>
      <c r="W46" s="32">
        <f t="shared" si="25"/>
        <v>0.587449377389198</v>
      </c>
      <c r="X46" s="32">
        <f t="shared" si="25"/>
        <v>0.60348457350272233</v>
      </c>
      <c r="Y46" s="32">
        <f t="shared" si="25"/>
        <v>0.52267622461170848</v>
      </c>
      <c r="Z46" s="32" t="e">
        <f t="shared" si="25"/>
        <v>#DIV/0!</v>
      </c>
      <c r="AA46" s="32" t="e">
        <f t="shared" si="25"/>
        <v>#DIV/0!</v>
      </c>
      <c r="AB46" s="32" t="e">
        <f t="shared" si="25"/>
        <v>#DIV/0!</v>
      </c>
      <c r="AC46" s="32" t="e">
        <f t="shared" si="25"/>
        <v>#DIV/0!</v>
      </c>
      <c r="AD46" s="32" t="e">
        <f t="shared" si="25"/>
        <v>#DIV/0!</v>
      </c>
      <c r="AE46" s="32" t="e">
        <f t="shared" si="25"/>
        <v>#DIV/0!</v>
      </c>
      <c r="AF46" s="32" t="e">
        <f t="shared" si="25"/>
        <v>#DIV/0!</v>
      </c>
      <c r="AG46" s="32" t="e">
        <f t="shared" si="25"/>
        <v>#DIV/0!</v>
      </c>
      <c r="AH46" s="32" t="e">
        <f t="shared" si="25"/>
        <v>#DIV/0!</v>
      </c>
      <c r="AI46" s="32" t="e">
        <f t="shared" si="25"/>
        <v>#DIV/0!</v>
      </c>
      <c r="AJ46" s="32" t="e">
        <f t="shared" si="25"/>
        <v>#DIV/0!</v>
      </c>
      <c r="AK46" s="32" t="e">
        <f t="shared" si="25"/>
        <v>#DIV/0!</v>
      </c>
      <c r="AL46" s="32"/>
      <c r="AM46" s="32" t="e">
        <f>AM22/AM16</f>
        <v>#REF!</v>
      </c>
      <c r="AN46" s="32">
        <f>AN22/AN16</f>
        <v>0.60956849227626708</v>
      </c>
      <c r="AO46" s="154" t="e">
        <f t="shared" si="21"/>
        <v>#REF!</v>
      </c>
      <c r="AP46" s="32"/>
      <c r="AQ46" s="32"/>
      <c r="AR46" s="32" t="e">
        <f>AR22/AR16</f>
        <v>#REF!</v>
      </c>
      <c r="AS46" s="32" t="e">
        <f>AS22/AS16</f>
        <v>#REF!</v>
      </c>
      <c r="AT46" s="32">
        <f t="shared" si="25"/>
        <v>0.51703227337958713</v>
      </c>
      <c r="AU46" s="32">
        <f>AU22/AU16</f>
        <v>0.55758362238338954</v>
      </c>
      <c r="AV46" s="32">
        <f t="shared" si="25"/>
        <v>0.49337684776348628</v>
      </c>
      <c r="AW46" s="32">
        <f t="shared" si="25"/>
        <v>0.51784808842916541</v>
      </c>
      <c r="AX46" s="32">
        <f t="shared" si="25"/>
        <v>0.55688784154267934</v>
      </c>
      <c r="AY46" s="222">
        <v>0.54700000000000004</v>
      </c>
      <c r="AZ46" s="222">
        <v>0.56899999999999995</v>
      </c>
      <c r="BA46" s="222">
        <v>0.63900000000000001</v>
      </c>
      <c r="BB46" s="3"/>
      <c r="BC46" s="137"/>
      <c r="BD46" s="137"/>
      <c r="BG46" s="137"/>
    </row>
    <row r="47" spans="1:59" s="53" customFormat="1" ht="12.75" customHeight="1" x14ac:dyDescent="0.2">
      <c r="A47" s="88" t="s">
        <v>196</v>
      </c>
      <c r="B47" s="408"/>
      <c r="C47" s="154" t="e">
        <f t="shared" si="18"/>
        <v>#REF!</v>
      </c>
      <c r="D47" s="32"/>
      <c r="E47" s="32"/>
      <c r="F47" s="32"/>
      <c r="G47" s="32"/>
      <c r="H47" s="32"/>
      <c r="I47" s="32" t="e">
        <f t="shared" ref="I47:O47" si="26">(I22+I23)/I16</f>
        <v>#REF!</v>
      </c>
      <c r="J47" s="32" t="e">
        <f t="shared" si="26"/>
        <v>#REF!</v>
      </c>
      <c r="K47" s="32" t="e">
        <f t="shared" si="26"/>
        <v>#REF!</v>
      </c>
      <c r="L47" s="32" t="e">
        <f t="shared" si="26"/>
        <v>#REF!</v>
      </c>
      <c r="M47" s="32" t="e">
        <f t="shared" si="26"/>
        <v>#REF!</v>
      </c>
      <c r="N47" s="32" t="e">
        <f t="shared" si="26"/>
        <v>#REF!</v>
      </c>
      <c r="O47" s="32">
        <f t="shared" si="26"/>
        <v>0.60260433009099468</v>
      </c>
      <c r="P47" s="32">
        <f t="shared" ref="P47:AX47" si="27">(P22+P23)/P16</f>
        <v>0.8218033840222746</v>
      </c>
      <c r="Q47" s="32">
        <f t="shared" si="27"/>
        <v>0.80856586632057104</v>
      </c>
      <c r="R47" s="32">
        <f t="shared" si="27"/>
        <v>0.53555201852119805</v>
      </c>
      <c r="S47" s="32">
        <f t="shared" si="27"/>
        <v>0.61150863361755003</v>
      </c>
      <c r="T47" s="32">
        <f t="shared" si="27"/>
        <v>0.59477587523175923</v>
      </c>
      <c r="U47" s="32">
        <f t="shared" si="27"/>
        <v>0.56430525995743386</v>
      </c>
      <c r="V47" s="32">
        <f t="shared" si="27"/>
        <v>0.61444710073594899</v>
      </c>
      <c r="W47" s="32">
        <f t="shared" si="27"/>
        <v>0.65073237197683664</v>
      </c>
      <c r="X47" s="32">
        <f t="shared" si="27"/>
        <v>0.70482758620689656</v>
      </c>
      <c r="Y47" s="32">
        <f t="shared" si="27"/>
        <v>0.59307048984468336</v>
      </c>
      <c r="Z47" s="32" t="e">
        <f t="shared" si="27"/>
        <v>#DIV/0!</v>
      </c>
      <c r="AA47" s="32" t="e">
        <f t="shared" si="27"/>
        <v>#DIV/0!</v>
      </c>
      <c r="AB47" s="32" t="e">
        <f t="shared" si="27"/>
        <v>#DIV/0!</v>
      </c>
      <c r="AC47" s="32" t="e">
        <f t="shared" si="27"/>
        <v>#DIV/0!</v>
      </c>
      <c r="AD47" s="32" t="e">
        <f t="shared" si="27"/>
        <v>#DIV/0!</v>
      </c>
      <c r="AE47" s="32" t="e">
        <f t="shared" si="27"/>
        <v>#DIV/0!</v>
      </c>
      <c r="AF47" s="32" t="e">
        <f t="shared" si="27"/>
        <v>#DIV/0!</v>
      </c>
      <c r="AG47" s="32" t="e">
        <f t="shared" si="27"/>
        <v>#DIV/0!</v>
      </c>
      <c r="AH47" s="32" t="e">
        <f t="shared" si="27"/>
        <v>#DIV/0!</v>
      </c>
      <c r="AI47" s="32" t="e">
        <f t="shared" si="27"/>
        <v>#DIV/0!</v>
      </c>
      <c r="AJ47" s="32" t="e">
        <f t="shared" si="27"/>
        <v>#DIV/0!</v>
      </c>
      <c r="AK47" s="32" t="e">
        <f t="shared" si="27"/>
        <v>#DIV/0!</v>
      </c>
      <c r="AL47" s="32"/>
      <c r="AM47" s="32" t="e">
        <f>(AM22+AM23)/AM16</f>
        <v>#REF!</v>
      </c>
      <c r="AN47" s="32">
        <f>(AN22+AN23)/AN16</f>
        <v>0.72871186007915234</v>
      </c>
      <c r="AO47" s="154" t="e">
        <f t="shared" si="21"/>
        <v>#REF!</v>
      </c>
      <c r="AP47" s="32"/>
      <c r="AQ47" s="32"/>
      <c r="AR47" s="32" t="e">
        <f>(AR22+AR23)/AR16</f>
        <v>#REF!</v>
      </c>
      <c r="AS47" s="32" t="e">
        <f>(AS22+AS23)/AS16</f>
        <v>#REF!</v>
      </c>
      <c r="AT47" s="32">
        <f t="shared" si="27"/>
        <v>0.5715010196704684</v>
      </c>
      <c r="AU47" s="32">
        <f t="shared" si="27"/>
        <v>0.63574841729934262</v>
      </c>
      <c r="AV47" s="32">
        <f t="shared" si="27"/>
        <v>0.56965965499273241</v>
      </c>
      <c r="AW47" s="32">
        <f t="shared" si="27"/>
        <v>0.55627387350843394</v>
      </c>
      <c r="AX47" s="32">
        <f t="shared" si="27"/>
        <v>0.58076117425992668</v>
      </c>
      <c r="AY47" s="222">
        <v>0.57299999999999995</v>
      </c>
      <c r="AZ47" s="222">
        <v>0.64500000000000002</v>
      </c>
      <c r="BA47" s="222">
        <v>0.70799999999999996</v>
      </c>
      <c r="BB47" s="3"/>
      <c r="BC47" s="137"/>
      <c r="BD47" s="137"/>
      <c r="BG47" s="137"/>
    </row>
    <row r="48" spans="1:59" s="53" customFormat="1" ht="12.75" customHeight="1" x14ac:dyDescent="0.2">
      <c r="A48" s="88" t="s">
        <v>72</v>
      </c>
      <c r="B48" s="408"/>
      <c r="C48" s="154" t="e">
        <f t="shared" si="18"/>
        <v>#REF!</v>
      </c>
      <c r="D48" s="32"/>
      <c r="E48" s="32"/>
      <c r="F48" s="32"/>
      <c r="G48" s="32"/>
      <c r="H48" s="32"/>
      <c r="I48" s="32" t="e">
        <f t="shared" ref="I48:S48" si="28">(I35-I22-I23)/I16</f>
        <v>#REF!</v>
      </c>
      <c r="J48" s="32" t="e">
        <f t="shared" si="28"/>
        <v>#REF!</v>
      </c>
      <c r="K48" s="32" t="e">
        <f t="shared" si="28"/>
        <v>#REF!</v>
      </c>
      <c r="L48" s="32" t="e">
        <f t="shared" si="28"/>
        <v>#REF!</v>
      </c>
      <c r="M48" s="32" t="e">
        <f t="shared" si="28"/>
        <v>#REF!</v>
      </c>
      <c r="N48" s="32" t="e">
        <f t="shared" si="28"/>
        <v>#REF!</v>
      </c>
      <c r="O48" s="32">
        <f t="shared" si="28"/>
        <v>0.47607467838092249</v>
      </c>
      <c r="P48" s="32">
        <f t="shared" si="28"/>
        <v>0.60184193617476978</v>
      </c>
      <c r="Q48" s="32">
        <f t="shared" si="28"/>
        <v>0.71425481289206139</v>
      </c>
      <c r="R48" s="32">
        <f t="shared" si="28"/>
        <v>0.1941542468528433</v>
      </c>
      <c r="S48" s="32">
        <f t="shared" si="28"/>
        <v>0.26187925789451133</v>
      </c>
      <c r="T48" s="32">
        <f t="shared" ref="T48:AK48" si="29">(T25+T26+T27+T28+T29+T30+T32)/T16</f>
        <v>0.27134911113534738</v>
      </c>
      <c r="U48" s="32">
        <f t="shared" si="29"/>
        <v>0.34454241410763148</v>
      </c>
      <c r="V48" s="32">
        <f t="shared" si="29"/>
        <v>0.19317489335770871</v>
      </c>
      <c r="W48" s="32">
        <f t="shared" si="29"/>
        <v>0.16759395935051663</v>
      </c>
      <c r="X48" s="32">
        <f t="shared" si="29"/>
        <v>0.32029038112522684</v>
      </c>
      <c r="Y48" s="32">
        <f t="shared" si="29"/>
        <v>0.21639187574671445</v>
      </c>
      <c r="Z48" s="32" t="e">
        <f t="shared" si="29"/>
        <v>#DIV/0!</v>
      </c>
      <c r="AA48" s="32" t="e">
        <f t="shared" si="29"/>
        <v>#DIV/0!</v>
      </c>
      <c r="AB48" s="32" t="e">
        <f t="shared" si="29"/>
        <v>#DIV/0!</v>
      </c>
      <c r="AC48" s="32" t="e">
        <f t="shared" si="29"/>
        <v>#DIV/0!</v>
      </c>
      <c r="AD48" s="32" t="e">
        <f t="shared" si="29"/>
        <v>#DIV/0!</v>
      </c>
      <c r="AE48" s="32" t="e">
        <f t="shared" si="29"/>
        <v>#DIV/0!</v>
      </c>
      <c r="AF48" s="32" t="e">
        <f t="shared" si="29"/>
        <v>#DIV/0!</v>
      </c>
      <c r="AG48" s="32" t="e">
        <f t="shared" si="29"/>
        <v>#DIV/0!</v>
      </c>
      <c r="AH48" s="32" t="e">
        <f t="shared" si="29"/>
        <v>#DIV/0!</v>
      </c>
      <c r="AI48" s="32" t="e">
        <f t="shared" si="29"/>
        <v>#DIV/0!</v>
      </c>
      <c r="AJ48" s="32" t="e">
        <f t="shared" si="29"/>
        <v>#DIV/0!</v>
      </c>
      <c r="AK48" s="32" t="e">
        <f t="shared" si="29"/>
        <v>#DIV/0!</v>
      </c>
      <c r="AL48" s="32"/>
      <c r="AM48" s="32" t="e">
        <f>(AM35-AM22-AM23)/AM16</f>
        <v>#REF!</v>
      </c>
      <c r="AN48" s="32">
        <f>(AN35-AN22-AN23)/AN16</f>
        <v>0.58384399336141968</v>
      </c>
      <c r="AO48" s="154" t="e">
        <f t="shared" si="21"/>
        <v>#REF!</v>
      </c>
      <c r="AP48" s="32"/>
      <c r="AQ48" s="32"/>
      <c r="AR48" s="32" t="e">
        <f t="shared" ref="AR48:AW48" si="30">+(AR35-AR23-AR22)/AR16</f>
        <v>#REF!</v>
      </c>
      <c r="AS48" s="32" t="e">
        <f t="shared" si="30"/>
        <v>#REF!</v>
      </c>
      <c r="AT48" s="32">
        <f t="shared" si="30"/>
        <v>0.27604475759897279</v>
      </c>
      <c r="AU48" s="32">
        <f t="shared" si="30"/>
        <v>0.24863560288160672</v>
      </c>
      <c r="AV48" s="32">
        <f t="shared" si="30"/>
        <v>0.4024901955406851</v>
      </c>
      <c r="AW48" s="32">
        <f t="shared" si="30"/>
        <v>0.19347260250819728</v>
      </c>
      <c r="AX48" s="32">
        <f>(AX25+AX26+AX27+AX28+AX29+AX30+AX32)/AX16</f>
        <v>0.17301235252441241</v>
      </c>
      <c r="AY48" s="232">
        <v>9.4E-2</v>
      </c>
      <c r="AZ48" s="232">
        <v>9.2999999999999999E-2</v>
      </c>
      <c r="BA48" s="232">
        <v>0.104</v>
      </c>
      <c r="BB48" s="3"/>
      <c r="BC48" s="137"/>
      <c r="BD48" s="137"/>
      <c r="BG48" s="137"/>
    </row>
    <row r="49" spans="1:59" s="53" customFormat="1" ht="12.75" customHeight="1" x14ac:dyDescent="0.2">
      <c r="A49" s="88" t="s">
        <v>73</v>
      </c>
      <c r="B49" s="408"/>
      <c r="C49" s="154" t="e">
        <f t="shared" si="18"/>
        <v>#REF!</v>
      </c>
      <c r="D49" s="32"/>
      <c r="E49" s="32"/>
      <c r="F49" s="32"/>
      <c r="G49" s="32"/>
      <c r="H49" s="32"/>
      <c r="I49" s="32" t="e">
        <f>I35/I16</f>
        <v>#REF!</v>
      </c>
      <c r="J49" s="32" t="e">
        <f>J35/J16</f>
        <v>#REF!</v>
      </c>
      <c r="K49" s="32" t="e">
        <f>K35/K16</f>
        <v>#REF!</v>
      </c>
      <c r="L49" s="32" t="e">
        <f t="shared" ref="L49:AK49" si="31">L35/L16</f>
        <v>#REF!</v>
      </c>
      <c r="M49" s="32" t="e">
        <f t="shared" si="31"/>
        <v>#REF!</v>
      </c>
      <c r="N49" s="32" t="e">
        <f t="shared" si="31"/>
        <v>#REF!</v>
      </c>
      <c r="O49" s="32">
        <f t="shared" si="31"/>
        <v>1.0786790084719171</v>
      </c>
      <c r="P49" s="32">
        <f t="shared" si="31"/>
        <v>1.4236453201970443</v>
      </c>
      <c r="Q49" s="32">
        <f t="shared" si="31"/>
        <v>1.5228206792126324</v>
      </c>
      <c r="R49" s="32">
        <f t="shared" si="31"/>
        <v>0.72970626537404137</v>
      </c>
      <c r="S49" s="32">
        <f t="shared" si="31"/>
        <v>0.87338789151206131</v>
      </c>
      <c r="T49" s="32">
        <f t="shared" si="31"/>
        <v>0.92131093903370054</v>
      </c>
      <c r="U49" s="32">
        <f t="shared" si="31"/>
        <v>0.97622377622377621</v>
      </c>
      <c r="V49" s="32">
        <f t="shared" si="31"/>
        <v>0.90006093845216328</v>
      </c>
      <c r="W49" s="32">
        <f t="shared" si="31"/>
        <v>0.83138412626319969</v>
      </c>
      <c r="X49" s="32">
        <f t="shared" si="31"/>
        <v>1.0500181488203266</v>
      </c>
      <c r="Y49" s="32">
        <f t="shared" si="31"/>
        <v>0.82628434886499402</v>
      </c>
      <c r="Z49" s="32" t="e">
        <f t="shared" si="31"/>
        <v>#DIV/0!</v>
      </c>
      <c r="AA49" s="32" t="e">
        <f t="shared" si="31"/>
        <v>#DIV/0!</v>
      </c>
      <c r="AB49" s="32" t="e">
        <f t="shared" si="31"/>
        <v>#DIV/0!</v>
      </c>
      <c r="AC49" s="32" t="e">
        <f t="shared" si="31"/>
        <v>#DIV/0!</v>
      </c>
      <c r="AD49" s="32" t="e">
        <f t="shared" si="31"/>
        <v>#DIV/0!</v>
      </c>
      <c r="AE49" s="32" t="e">
        <f t="shared" si="31"/>
        <v>#DIV/0!</v>
      </c>
      <c r="AF49" s="32" t="e">
        <f t="shared" si="31"/>
        <v>#DIV/0!</v>
      </c>
      <c r="AG49" s="32" t="e">
        <f t="shared" si="31"/>
        <v>#DIV/0!</v>
      </c>
      <c r="AH49" s="32" t="e">
        <f t="shared" si="31"/>
        <v>#DIV/0!</v>
      </c>
      <c r="AI49" s="32" t="e">
        <f t="shared" si="31"/>
        <v>#DIV/0!</v>
      </c>
      <c r="AJ49" s="32" t="e">
        <f t="shared" si="31"/>
        <v>#DIV/0!</v>
      </c>
      <c r="AK49" s="32" t="e">
        <f t="shared" si="31"/>
        <v>#DIV/0!</v>
      </c>
      <c r="AL49" s="32"/>
      <c r="AM49" s="32" t="e">
        <f>AM35/AM16</f>
        <v>#REF!</v>
      </c>
      <c r="AN49" s="32">
        <f>AN35/AN16</f>
        <v>1.3125558534405719</v>
      </c>
      <c r="AO49" s="154" t="e">
        <f t="shared" si="21"/>
        <v>#REF!</v>
      </c>
      <c r="AP49" s="32"/>
      <c r="AQ49" s="32"/>
      <c r="AR49" s="32" t="e">
        <f>AR35/AR16</f>
        <v>#REF!</v>
      </c>
      <c r="AS49" s="32" t="e">
        <f t="shared" ref="AS49:AX49" si="32">AS35/AS16</f>
        <v>#REF!</v>
      </c>
      <c r="AT49" s="32">
        <f t="shared" si="32"/>
        <v>0.84754577726944114</v>
      </c>
      <c r="AU49" s="32">
        <f t="shared" si="32"/>
        <v>0.88438402018094942</v>
      </c>
      <c r="AV49" s="32">
        <f t="shared" si="32"/>
        <v>0.9721498505334174</v>
      </c>
      <c r="AW49" s="32">
        <f t="shared" si="32"/>
        <v>0.74974647601663114</v>
      </c>
      <c r="AX49" s="32">
        <f t="shared" si="32"/>
        <v>0.7558451159781906</v>
      </c>
      <c r="AY49" s="232">
        <v>0.66699999999999993</v>
      </c>
      <c r="AZ49" s="232">
        <v>0.73799999999999999</v>
      </c>
      <c r="BA49" s="232">
        <v>0.81199999999999994</v>
      </c>
      <c r="BB49" s="3"/>
      <c r="BC49" s="137"/>
      <c r="BD49" s="137"/>
      <c r="BG49" s="137"/>
    </row>
    <row r="50" spans="1:59" s="53" customFormat="1" ht="12.75" customHeight="1" x14ac:dyDescent="0.2">
      <c r="A50" s="88" t="s">
        <v>74</v>
      </c>
      <c r="B50" s="408"/>
      <c r="C50" s="154" t="e">
        <f t="shared" si="18"/>
        <v>#REF!</v>
      </c>
      <c r="D50" s="32"/>
      <c r="E50" s="32"/>
      <c r="F50" s="32"/>
      <c r="G50" s="32"/>
      <c r="H50" s="32"/>
      <c r="I50" s="32" t="e">
        <f>I36/I16</f>
        <v>#REF!</v>
      </c>
      <c r="J50" s="32" t="e">
        <f>J36/J16</f>
        <v>#REF!</v>
      </c>
      <c r="K50" s="32" t="e">
        <f>K36/K16</f>
        <v>#REF!</v>
      </c>
      <c r="L50" s="32" t="e">
        <f t="shared" ref="L50:AK50" si="33">L36/L16</f>
        <v>#REF!</v>
      </c>
      <c r="M50" s="32" t="e">
        <f t="shared" si="33"/>
        <v>#REF!</v>
      </c>
      <c r="N50" s="32" t="e">
        <f t="shared" si="33"/>
        <v>#REF!</v>
      </c>
      <c r="O50" s="32">
        <f t="shared" si="33"/>
        <v>-7.8679008471917167E-2</v>
      </c>
      <c r="P50" s="32">
        <f t="shared" si="33"/>
        <v>-0.42364532019704432</v>
      </c>
      <c r="Q50" s="32">
        <f t="shared" si="33"/>
        <v>-0.52282067921263253</v>
      </c>
      <c r="R50" s="32">
        <f t="shared" si="33"/>
        <v>0.27029373462595863</v>
      </c>
      <c r="S50" s="32">
        <f t="shared" si="33"/>
        <v>0.12661210848793863</v>
      </c>
      <c r="T50" s="32">
        <f t="shared" si="33"/>
        <v>7.868906096629949E-2</v>
      </c>
      <c r="U50" s="32">
        <f t="shared" si="33"/>
        <v>2.3776223776223775E-2</v>
      </c>
      <c r="V50" s="32">
        <f t="shared" si="33"/>
        <v>9.9939061547836688E-2</v>
      </c>
      <c r="W50" s="32">
        <f t="shared" si="33"/>
        <v>0.16861587373680026</v>
      </c>
      <c r="X50" s="32">
        <f t="shared" si="33"/>
        <v>-5.001814882032668E-2</v>
      </c>
      <c r="Y50" s="32">
        <f t="shared" si="33"/>
        <v>0.17371565113500598</v>
      </c>
      <c r="Z50" s="32" t="e">
        <f t="shared" si="33"/>
        <v>#DIV/0!</v>
      </c>
      <c r="AA50" s="32" t="e">
        <f t="shared" si="33"/>
        <v>#DIV/0!</v>
      </c>
      <c r="AB50" s="32" t="e">
        <f t="shared" si="33"/>
        <v>#DIV/0!</v>
      </c>
      <c r="AC50" s="32" t="e">
        <f t="shared" si="33"/>
        <v>#DIV/0!</v>
      </c>
      <c r="AD50" s="32" t="e">
        <f t="shared" si="33"/>
        <v>#DIV/0!</v>
      </c>
      <c r="AE50" s="32" t="e">
        <f t="shared" si="33"/>
        <v>#DIV/0!</v>
      </c>
      <c r="AF50" s="32" t="e">
        <f t="shared" si="33"/>
        <v>#DIV/0!</v>
      </c>
      <c r="AG50" s="32" t="e">
        <f t="shared" si="33"/>
        <v>#DIV/0!</v>
      </c>
      <c r="AH50" s="32" t="e">
        <f t="shared" si="33"/>
        <v>#DIV/0!</v>
      </c>
      <c r="AI50" s="32" t="e">
        <f t="shared" si="33"/>
        <v>#DIV/0!</v>
      </c>
      <c r="AJ50" s="32" t="e">
        <f t="shared" si="33"/>
        <v>#DIV/0!</v>
      </c>
      <c r="AK50" s="32" t="e">
        <f t="shared" si="33"/>
        <v>#DIV/0!</v>
      </c>
      <c r="AL50" s="32"/>
      <c r="AM50" s="32" t="e">
        <f>AM36/AM16</f>
        <v>#REF!</v>
      </c>
      <c r="AN50" s="32">
        <f>AN36/AN16</f>
        <v>-0.31255585344057196</v>
      </c>
      <c r="AO50" s="154" t="e">
        <f t="shared" si="21"/>
        <v>#REF!</v>
      </c>
      <c r="AP50" s="32"/>
      <c r="AQ50" s="32"/>
      <c r="AR50" s="32" t="e">
        <f>AR36/AR16</f>
        <v>#REF!</v>
      </c>
      <c r="AS50" s="32" t="e">
        <f t="shared" ref="AS50:AZ50" si="34">AS36/AS16</f>
        <v>#REF!</v>
      </c>
      <c r="AT50" s="32">
        <f t="shared" si="34"/>
        <v>0.15245422273055884</v>
      </c>
      <c r="AU50" s="32">
        <f t="shared" si="34"/>
        <v>0.11561597981905063</v>
      </c>
      <c r="AV50" s="32">
        <f t="shared" si="34"/>
        <v>2.7850149466582562E-2</v>
      </c>
      <c r="AW50" s="32">
        <f t="shared" si="34"/>
        <v>0.25025352398336881</v>
      </c>
      <c r="AX50" s="32">
        <f t="shared" si="34"/>
        <v>0.24415488402180943</v>
      </c>
      <c r="AY50" s="222">
        <f t="shared" si="34"/>
        <v>0.33309769658459093</v>
      </c>
      <c r="AZ50" s="222">
        <f t="shared" si="34"/>
        <v>0.26208975794642086</v>
      </c>
      <c r="BA50" s="222">
        <v>0.18800000000000006</v>
      </c>
      <c r="BB50" s="3"/>
      <c r="BC50" s="137"/>
      <c r="BD50" s="137"/>
      <c r="BG50" s="137"/>
    </row>
    <row r="51" spans="1:59" s="53" customFormat="1" ht="12.75" customHeight="1" x14ac:dyDescent="0.2">
      <c r="A51" s="86"/>
      <c r="B51" s="408"/>
      <c r="C51" s="32"/>
      <c r="D51" s="32"/>
      <c r="E51" s="32"/>
      <c r="F51" s="32"/>
      <c r="G51" s="32"/>
      <c r="H51" s="32"/>
      <c r="I51" s="482"/>
      <c r="J51" s="32"/>
      <c r="K51" s="32"/>
      <c r="L51" s="32"/>
      <c r="M51" s="482"/>
      <c r="N51" s="32"/>
      <c r="O51" s="32"/>
      <c r="P51" s="32"/>
      <c r="Q51" s="44"/>
      <c r="R51" s="32"/>
      <c r="S51" s="32"/>
      <c r="T51" s="32"/>
      <c r="U51" s="44"/>
      <c r="V51" s="32"/>
      <c r="W51" s="32"/>
      <c r="X51" s="32"/>
      <c r="Y51" s="44"/>
      <c r="Z51" s="32"/>
      <c r="AA51" s="32"/>
      <c r="AB51" s="32"/>
      <c r="AC51" s="44"/>
      <c r="AD51" s="44"/>
      <c r="AE51" s="44"/>
      <c r="AF51" s="44"/>
      <c r="AG51" s="44"/>
      <c r="AH51" s="44"/>
      <c r="AI51" s="44"/>
      <c r="AJ51" s="44"/>
      <c r="AK51" s="44"/>
      <c r="AL51" s="32"/>
      <c r="AM51" s="32"/>
      <c r="AN51" s="32"/>
      <c r="AO51" s="180"/>
      <c r="AP51" s="35"/>
      <c r="AQ51" s="32"/>
      <c r="AR51" s="491"/>
      <c r="AS51" s="187"/>
      <c r="AT51" s="187"/>
      <c r="AU51" s="32"/>
      <c r="AV51" s="32"/>
      <c r="AW51" s="32"/>
      <c r="AX51" s="32"/>
      <c r="AY51" s="222"/>
      <c r="AZ51" s="222"/>
      <c r="BA51" s="222"/>
      <c r="BB51" s="3"/>
      <c r="BC51" s="137"/>
      <c r="BD51" s="137"/>
      <c r="BG51" s="137"/>
    </row>
    <row r="52" spans="1:59" s="53" customFormat="1" ht="12.75" customHeight="1" x14ac:dyDescent="0.2">
      <c r="A52" s="44" t="s">
        <v>84</v>
      </c>
      <c r="B52" s="408"/>
      <c r="C52" s="108" t="e">
        <f>I52-M52</f>
        <v>#REF!</v>
      </c>
      <c r="D52" s="508" t="e">
        <f>IF(OR((C52/M52)&gt;3,(C52/M52)&lt;-3),"n.m.",(C52/M52))</f>
        <v>#REF!</v>
      </c>
      <c r="E52" s="35"/>
      <c r="F52" s="413"/>
      <c r="G52" s="413"/>
      <c r="H52" s="413"/>
      <c r="I52" s="119" t="e">
        <f>+'14 Misc Operating Stats'!#REF!+'14 Misc Operating Stats'!#REF!</f>
        <v>#REF!</v>
      </c>
      <c r="J52" s="413" t="e">
        <f>+'14 Misc Operating Stats'!#REF!+'14 Misc Operating Stats'!#REF!</f>
        <v>#REF!</v>
      </c>
      <c r="K52" s="413" t="e">
        <f>+'14 Misc Operating Stats'!#REF!+'14 Misc Operating Stats'!#REF!</f>
        <v>#REF!</v>
      </c>
      <c r="L52" s="413" t="e">
        <f>+'14 Misc Operating Stats'!#REF!+'14 Misc Operating Stats'!#REF!</f>
        <v>#REF!</v>
      </c>
      <c r="M52" s="119" t="e">
        <f>+'14 Misc Operating Stats'!#REF!+'14 Misc Operating Stats'!#REF!</f>
        <v>#REF!</v>
      </c>
      <c r="N52" s="119" t="e">
        <f>'14 Misc Operating Stats'!#REF!+'14 Misc Operating Stats'!#REF!</f>
        <v>#REF!</v>
      </c>
      <c r="O52" s="119" t="e">
        <f>'14 Misc Operating Stats'!#REF!</f>
        <v>#REF!</v>
      </c>
      <c r="P52" s="119" t="e">
        <f>'14 Misc Operating Stats'!#REF!</f>
        <v>#REF!</v>
      </c>
      <c r="Q52" s="119">
        <v>155</v>
      </c>
      <c r="R52" s="119">
        <v>143</v>
      </c>
      <c r="S52" s="119">
        <v>140</v>
      </c>
      <c r="T52" s="119">
        <v>142</v>
      </c>
      <c r="U52" s="119">
        <v>137</v>
      </c>
      <c r="V52" s="119">
        <v>138</v>
      </c>
      <c r="W52" s="119">
        <v>136</v>
      </c>
      <c r="X52" s="119">
        <v>124</v>
      </c>
      <c r="Y52" s="119">
        <v>111</v>
      </c>
      <c r="Z52" s="119">
        <v>114</v>
      </c>
      <c r="AA52" s="119">
        <v>117</v>
      </c>
      <c r="AB52" s="119">
        <v>127</v>
      </c>
      <c r="AC52" s="119">
        <v>125</v>
      </c>
      <c r="AD52" s="119">
        <v>125</v>
      </c>
      <c r="AE52" s="119">
        <v>116</v>
      </c>
      <c r="AF52" s="119">
        <v>109</v>
      </c>
      <c r="AG52" s="119">
        <v>104</v>
      </c>
      <c r="AH52" s="119">
        <v>93</v>
      </c>
      <c r="AI52" s="119">
        <v>95</v>
      </c>
      <c r="AJ52" s="119">
        <v>89</v>
      </c>
      <c r="AK52" s="119">
        <v>88</v>
      </c>
      <c r="AL52" s="119"/>
      <c r="AM52" s="413" t="e">
        <f>K52</f>
        <v>#REF!</v>
      </c>
      <c r="AN52" s="413" t="e">
        <f>O52</f>
        <v>#REF!</v>
      </c>
      <c r="AO52" s="413" t="e">
        <f>AR52-AS52</f>
        <v>#REF!</v>
      </c>
      <c r="AP52" s="413"/>
      <c r="AQ52" s="413"/>
      <c r="AR52" s="413" t="e">
        <f>+J52</f>
        <v>#REF!</v>
      </c>
      <c r="AS52" s="413" t="e">
        <f>N52</f>
        <v>#REF!</v>
      </c>
      <c r="AT52" s="413">
        <f>R52</f>
        <v>143</v>
      </c>
      <c r="AU52" s="413">
        <f>V52</f>
        <v>138</v>
      </c>
      <c r="AV52" s="413">
        <v>113</v>
      </c>
      <c r="AW52" s="413">
        <v>124</v>
      </c>
      <c r="AX52" s="413">
        <v>92</v>
      </c>
      <c r="AY52" s="216">
        <v>81</v>
      </c>
      <c r="AZ52" s="216">
        <v>70</v>
      </c>
      <c r="BA52" s="216">
        <v>52</v>
      </c>
      <c r="BB52" s="3"/>
      <c r="BC52" s="137"/>
      <c r="BD52" s="137"/>
      <c r="BG52" s="137"/>
    </row>
    <row r="53" spans="1:59" s="53" customFormat="1" ht="12.75" customHeight="1" x14ac:dyDescent="0.2">
      <c r="A53" s="44"/>
      <c r="B53" s="408"/>
      <c r="C53" s="108"/>
      <c r="D53" s="35"/>
      <c r="E53" s="35"/>
      <c r="F53" s="482"/>
      <c r="G53" s="482"/>
      <c r="H53" s="482"/>
      <c r="I53" s="482"/>
      <c r="J53" s="482"/>
      <c r="K53" s="482"/>
      <c r="L53" s="482"/>
      <c r="M53" s="482"/>
      <c r="N53" s="91"/>
      <c r="O53" s="44"/>
      <c r="P53" s="44"/>
      <c r="Q53" s="44"/>
      <c r="R53" s="91"/>
      <c r="S53" s="44"/>
      <c r="T53" s="87"/>
      <c r="U53" s="44"/>
      <c r="V53" s="91"/>
      <c r="W53" s="44"/>
      <c r="X53" s="87"/>
      <c r="Y53" s="44"/>
      <c r="Z53" s="91"/>
      <c r="AA53" s="44"/>
      <c r="AB53" s="87"/>
      <c r="AC53" s="44"/>
      <c r="AD53" s="44"/>
      <c r="AE53" s="44"/>
      <c r="AF53" s="44"/>
      <c r="AG53" s="44"/>
      <c r="AH53" s="44"/>
      <c r="AI53" s="44"/>
      <c r="AJ53" s="44"/>
      <c r="AK53" s="44"/>
      <c r="AL53" s="171"/>
      <c r="AM53" s="171"/>
      <c r="AN53" s="171"/>
      <c r="AO53" s="180"/>
      <c r="AP53" s="35"/>
      <c r="AQ53" s="171"/>
      <c r="AR53" s="491"/>
      <c r="AS53" s="187"/>
      <c r="AT53" s="187"/>
      <c r="AU53" s="160"/>
      <c r="AV53" s="160"/>
      <c r="AW53" s="44"/>
      <c r="AX53" s="44"/>
      <c r="AY53" s="216"/>
      <c r="AZ53" s="216"/>
      <c r="BA53" s="216"/>
      <c r="BB53" s="3"/>
      <c r="BC53" s="137"/>
      <c r="BD53" s="137"/>
      <c r="BG53" s="137"/>
    </row>
    <row r="54" spans="1:59" ht="18" customHeight="1" x14ac:dyDescent="0.2">
      <c r="A54" s="10" t="s">
        <v>231</v>
      </c>
      <c r="B54" s="6"/>
      <c r="C54" s="44"/>
      <c r="D54" s="44"/>
      <c r="E54" s="91"/>
      <c r="F54" s="483"/>
      <c r="G54" s="483"/>
      <c r="H54" s="483"/>
      <c r="I54" s="483"/>
      <c r="J54" s="483"/>
      <c r="K54" s="483"/>
      <c r="L54" s="483"/>
      <c r="M54" s="483"/>
      <c r="N54" s="359"/>
      <c r="O54" s="91"/>
      <c r="P54" s="91"/>
      <c r="Q54" s="91"/>
      <c r="R54" s="91"/>
      <c r="S54" s="91"/>
      <c r="T54" s="91"/>
      <c r="U54" s="91"/>
      <c r="V54" s="91"/>
      <c r="W54" s="91"/>
      <c r="X54" s="91"/>
      <c r="Y54" s="91"/>
      <c r="Z54" s="91"/>
      <c r="AA54" s="91"/>
      <c r="AB54" s="91"/>
      <c r="AC54" s="91"/>
      <c r="AD54" s="91"/>
      <c r="AE54" s="91"/>
      <c r="AF54" s="44"/>
      <c r="AG54" s="44"/>
      <c r="AH54" s="44"/>
      <c r="AI54" s="44"/>
      <c r="AJ54" s="44"/>
      <c r="AK54" s="44"/>
      <c r="AL54" s="44"/>
      <c r="AM54" s="44"/>
      <c r="AN54" s="44"/>
      <c r="AO54" s="370"/>
      <c r="AP54" s="370"/>
      <c r="AQ54" s="44"/>
      <c r="AR54" s="370"/>
      <c r="AS54" s="370"/>
      <c r="AT54" s="370"/>
      <c r="AU54" s="44"/>
      <c r="AV54" s="44"/>
      <c r="AW54" s="44"/>
      <c r="AX54" s="44"/>
      <c r="AY54" s="221"/>
      <c r="AZ54" s="221"/>
      <c r="BA54" s="221"/>
      <c r="BB54" s="3"/>
      <c r="BC54" s="3"/>
      <c r="BD54" s="3"/>
      <c r="BG54" s="3"/>
    </row>
    <row r="55" spans="1:59" ht="12.75" customHeight="1" x14ac:dyDescent="0.2">
      <c r="A55" s="123"/>
      <c r="B55" s="414"/>
      <c r="C55" s="44"/>
      <c r="D55" s="44"/>
      <c r="E55" s="91"/>
      <c r="F55" s="483"/>
      <c r="G55" s="483"/>
      <c r="H55" s="483"/>
      <c r="I55" s="483"/>
      <c r="J55" s="483"/>
      <c r="K55" s="483"/>
      <c r="L55" s="483"/>
      <c r="M55" s="483"/>
      <c r="N55" s="265"/>
      <c r="O55" s="91"/>
      <c r="P55" s="91"/>
      <c r="Q55" s="91"/>
      <c r="R55" s="265"/>
      <c r="S55" s="91"/>
      <c r="T55" s="265"/>
      <c r="U55" s="91"/>
      <c r="V55" s="265"/>
      <c r="W55" s="91"/>
      <c r="X55" s="265"/>
      <c r="Y55" s="91"/>
      <c r="Z55" s="265"/>
      <c r="AA55" s="91"/>
      <c r="AB55" s="91"/>
      <c r="AC55" s="91"/>
      <c r="AD55" s="91"/>
      <c r="AE55" s="91"/>
      <c r="AF55" s="44"/>
      <c r="AG55" s="44"/>
      <c r="AH55" s="44"/>
      <c r="AI55" s="44"/>
      <c r="AJ55" s="44"/>
      <c r="AK55" s="44"/>
      <c r="AL55" s="44"/>
      <c r="AM55" s="44"/>
      <c r="AN55" s="44"/>
      <c r="AO55" s="370"/>
      <c r="AP55" s="370"/>
      <c r="AQ55" s="44"/>
      <c r="AR55" s="370"/>
      <c r="AS55" s="370"/>
      <c r="AT55" s="370"/>
      <c r="AU55" s="44"/>
      <c r="AV55" s="44"/>
      <c r="AW55" s="44"/>
      <c r="AX55" s="44"/>
      <c r="AY55" s="221"/>
      <c r="AZ55" s="221"/>
      <c r="BA55" s="221"/>
      <c r="BB55" s="3"/>
      <c r="BC55" s="3"/>
      <c r="BD55" s="3"/>
      <c r="BG55" s="3"/>
    </row>
    <row r="56" spans="1:59" ht="12.75" customHeight="1" x14ac:dyDescent="0.2">
      <c r="A56" s="5"/>
      <c r="B56" s="6"/>
      <c r="C56" s="2431" t="s">
        <v>293</v>
      </c>
      <c r="D56" s="2432"/>
      <c r="E56" s="184"/>
      <c r="F56" s="273"/>
      <c r="G56" s="273"/>
      <c r="H56" s="273"/>
      <c r="I56" s="17"/>
      <c r="J56" s="273"/>
      <c r="K56" s="273"/>
      <c r="L56" s="273"/>
      <c r="M56" s="17"/>
      <c r="N56" s="15"/>
      <c r="O56" s="16"/>
      <c r="P56" s="273"/>
      <c r="Q56" s="17"/>
      <c r="R56" s="15"/>
      <c r="S56" s="16"/>
      <c r="T56" s="273"/>
      <c r="U56" s="17"/>
      <c r="V56" s="481"/>
      <c r="W56" s="16"/>
      <c r="X56" s="2"/>
      <c r="Y56" s="17"/>
      <c r="Z56" s="16"/>
      <c r="AA56" s="481"/>
      <c r="AB56" s="273"/>
      <c r="AC56" s="17"/>
      <c r="AD56" s="16"/>
      <c r="AE56" s="16"/>
      <c r="AF56" s="16"/>
      <c r="AG56" s="16"/>
      <c r="AH56" s="20"/>
      <c r="AI56" s="17"/>
      <c r="AJ56" s="17"/>
      <c r="AK56" s="17"/>
      <c r="AL56" s="22"/>
      <c r="AM56" s="445" t="s">
        <v>281</v>
      </c>
      <c r="AN56" s="433"/>
      <c r="AO56" s="433" t="s">
        <v>266</v>
      </c>
      <c r="AP56" s="434"/>
      <c r="AQ56" s="13"/>
      <c r="AR56" s="530"/>
      <c r="AS56" s="464"/>
      <c r="AT56" s="448"/>
      <c r="AU56" s="46"/>
      <c r="AV56" s="46"/>
      <c r="AW56" s="126"/>
      <c r="AX56" s="124"/>
      <c r="AY56" s="46"/>
      <c r="AZ56" s="46"/>
      <c r="BA56" s="464"/>
      <c r="BB56" s="23"/>
      <c r="BC56" s="3"/>
      <c r="BD56" s="3"/>
      <c r="BG56" s="3"/>
    </row>
    <row r="57" spans="1:59" ht="12.75" customHeight="1" x14ac:dyDescent="0.2">
      <c r="A57" s="5" t="s">
        <v>91</v>
      </c>
      <c r="B57" s="6"/>
      <c r="C57" s="2433" t="s">
        <v>35</v>
      </c>
      <c r="D57" s="2434"/>
      <c r="E57" s="355"/>
      <c r="F57" s="19" t="s">
        <v>296</v>
      </c>
      <c r="G57" s="19" t="s">
        <v>295</v>
      </c>
      <c r="H57" s="19" t="s">
        <v>294</v>
      </c>
      <c r="I57" s="12" t="s">
        <v>292</v>
      </c>
      <c r="J57" s="19" t="s">
        <v>252</v>
      </c>
      <c r="K57" s="19" t="s">
        <v>253</v>
      </c>
      <c r="L57" s="19" t="s">
        <v>254</v>
      </c>
      <c r="M57" s="12" t="s">
        <v>255</v>
      </c>
      <c r="N57" s="18" t="s">
        <v>202</v>
      </c>
      <c r="O57" s="19" t="s">
        <v>203</v>
      </c>
      <c r="P57" s="19" t="s">
        <v>204</v>
      </c>
      <c r="Q57" s="12" t="s">
        <v>201</v>
      </c>
      <c r="R57" s="18" t="s">
        <v>173</v>
      </c>
      <c r="S57" s="19" t="s">
        <v>174</v>
      </c>
      <c r="T57" s="19" t="s">
        <v>175</v>
      </c>
      <c r="U57" s="12" t="s">
        <v>176</v>
      </c>
      <c r="V57" s="19" t="s">
        <v>109</v>
      </c>
      <c r="W57" s="19" t="s">
        <v>108</v>
      </c>
      <c r="X57" s="19" t="s">
        <v>107</v>
      </c>
      <c r="Y57" s="12" t="s">
        <v>106</v>
      </c>
      <c r="Z57" s="19" t="s">
        <v>78</v>
      </c>
      <c r="AA57" s="19" t="s">
        <v>79</v>
      </c>
      <c r="AB57" s="19" t="s">
        <v>80</v>
      </c>
      <c r="AC57" s="12" t="s">
        <v>26</v>
      </c>
      <c r="AD57" s="19" t="s">
        <v>27</v>
      </c>
      <c r="AE57" s="19" t="s">
        <v>28</v>
      </c>
      <c r="AF57" s="19" t="s">
        <v>29</v>
      </c>
      <c r="AG57" s="19" t="s">
        <v>30</v>
      </c>
      <c r="AH57" s="21" t="s">
        <v>31</v>
      </c>
      <c r="AI57" s="12" t="s">
        <v>32</v>
      </c>
      <c r="AJ57" s="12" t="s">
        <v>33</v>
      </c>
      <c r="AK57" s="12" t="s">
        <v>34</v>
      </c>
      <c r="AL57" s="184"/>
      <c r="AM57" s="19" t="s">
        <v>253</v>
      </c>
      <c r="AN57" s="19" t="s">
        <v>203</v>
      </c>
      <c r="AO57" s="2435" t="s">
        <v>35</v>
      </c>
      <c r="AP57" s="2434"/>
      <c r="AQ57" s="127"/>
      <c r="AR57" s="158" t="s">
        <v>257</v>
      </c>
      <c r="AS57" s="158" t="s">
        <v>206</v>
      </c>
      <c r="AT57" s="158" t="s">
        <v>111</v>
      </c>
      <c r="AU57" s="18" t="s">
        <v>110</v>
      </c>
      <c r="AV57" s="18" t="s">
        <v>39</v>
      </c>
      <c r="AW57" s="18" t="s">
        <v>36</v>
      </c>
      <c r="AX57" s="21" t="s">
        <v>37</v>
      </c>
      <c r="AY57" s="21" t="s">
        <v>128</v>
      </c>
      <c r="AZ57" s="21" t="s">
        <v>129</v>
      </c>
      <c r="BA57" s="18" t="s">
        <v>130</v>
      </c>
      <c r="BB57" s="23"/>
      <c r="BC57" s="3"/>
      <c r="BD57" s="3"/>
      <c r="BG57" s="3"/>
    </row>
    <row r="58" spans="1:59" ht="12.75" customHeight="1" x14ac:dyDescent="0.2">
      <c r="A58" s="90"/>
      <c r="B58" s="91" t="s">
        <v>4</v>
      </c>
      <c r="C58" s="262" t="e">
        <f>I58-M58</f>
        <v>#REF!</v>
      </c>
      <c r="D58" s="498" t="e">
        <f>IF(OR((C58/M58)&gt;3,(C58/M58)&lt;-3),"n.m.",(C58/M58))</f>
        <v>#REF!</v>
      </c>
      <c r="E58" s="47"/>
      <c r="F58" s="494" t="e">
        <f t="shared" ref="F58:M58" si="35">+F16</f>
        <v>#REF!</v>
      </c>
      <c r="G58" s="494" t="e">
        <f t="shared" si="35"/>
        <v>#REF!</v>
      </c>
      <c r="H58" s="494" t="e">
        <f t="shared" si="35"/>
        <v>#REF!</v>
      </c>
      <c r="I58" s="495" t="e">
        <f t="shared" si="35"/>
        <v>#REF!</v>
      </c>
      <c r="J58" s="494" t="e">
        <f t="shared" si="35"/>
        <v>#REF!</v>
      </c>
      <c r="K58" s="494" t="e">
        <f t="shared" si="35"/>
        <v>#REF!</v>
      </c>
      <c r="L58" s="494" t="e">
        <f t="shared" si="35"/>
        <v>#REF!</v>
      </c>
      <c r="M58" s="495" t="e">
        <f t="shared" si="35"/>
        <v>#REF!</v>
      </c>
      <c r="N58" s="235" t="e">
        <f>N16</f>
        <v>#REF!</v>
      </c>
      <c r="O58" s="235">
        <f>O16</f>
        <v>12748</v>
      </c>
      <c r="P58" s="235">
        <f>P16</f>
        <v>9338</v>
      </c>
      <c r="Q58" s="252">
        <f>Q16</f>
        <v>9246</v>
      </c>
      <c r="R58" s="235">
        <f t="shared" ref="R58:AX58" si="36">R16</f>
        <v>34555</v>
      </c>
      <c r="S58" s="235">
        <f t="shared" si="36"/>
        <v>23339</v>
      </c>
      <c r="T58" s="235">
        <f t="shared" si="36"/>
        <v>18338</v>
      </c>
      <c r="U58" s="252">
        <f t="shared" si="36"/>
        <v>16445</v>
      </c>
      <c r="V58" s="235">
        <f t="shared" si="36"/>
        <v>21333</v>
      </c>
      <c r="W58" s="235">
        <f t="shared" si="36"/>
        <v>26421</v>
      </c>
      <c r="X58" s="235">
        <f t="shared" si="36"/>
        <v>13775</v>
      </c>
      <c r="Y58" s="252">
        <f t="shared" si="36"/>
        <v>20925</v>
      </c>
      <c r="Z58" s="245">
        <f t="shared" si="36"/>
        <v>0</v>
      </c>
      <c r="AA58" s="235">
        <f t="shared" si="36"/>
        <v>0</v>
      </c>
      <c r="AB58" s="235">
        <f t="shared" si="36"/>
        <v>0</v>
      </c>
      <c r="AC58" s="252">
        <f t="shared" si="36"/>
        <v>0</v>
      </c>
      <c r="AD58" s="161">
        <f t="shared" si="36"/>
        <v>0</v>
      </c>
      <c r="AE58" s="161">
        <f t="shared" si="36"/>
        <v>0</v>
      </c>
      <c r="AF58" s="161">
        <f t="shared" si="36"/>
        <v>0</v>
      </c>
      <c r="AG58" s="162">
        <f t="shared" si="36"/>
        <v>0</v>
      </c>
      <c r="AH58" s="183">
        <f t="shared" si="36"/>
        <v>0</v>
      </c>
      <c r="AI58" s="162">
        <f t="shared" si="36"/>
        <v>0</v>
      </c>
      <c r="AJ58" s="162">
        <f t="shared" si="36"/>
        <v>0</v>
      </c>
      <c r="AK58" s="162">
        <f t="shared" si="36"/>
        <v>0</v>
      </c>
      <c r="AL58" s="47"/>
      <c r="AM58" s="168" t="e">
        <f>SUM(K58:M58)</f>
        <v>#REF!</v>
      </c>
      <c r="AN58" s="454">
        <f>SUM(O58:Q58)</f>
        <v>31332</v>
      </c>
      <c r="AO58" s="180" t="e">
        <f>AR58-AS58</f>
        <v>#REF!</v>
      </c>
      <c r="AP58" s="498" t="e">
        <f>IF(OR((AO58/AS58)&gt;3,(AO58/AS58)&lt;-3),"n.m.",(AO58/AS58))</f>
        <v>#REF!</v>
      </c>
      <c r="AQ58" s="44"/>
      <c r="AR58" s="380" t="e">
        <f>SUM(J58:M58)</f>
        <v>#REF!</v>
      </c>
      <c r="AS58" s="380" t="e">
        <f>SUM(N58:Q58)</f>
        <v>#REF!</v>
      </c>
      <c r="AT58" s="380">
        <f t="shared" si="36"/>
        <v>92677</v>
      </c>
      <c r="AU58" s="118">
        <f t="shared" si="36"/>
        <v>82454</v>
      </c>
      <c r="AV58" s="118">
        <f t="shared" si="36"/>
        <v>72926</v>
      </c>
      <c r="AW58" s="129">
        <f t="shared" si="36"/>
        <v>118332</v>
      </c>
      <c r="AX58" s="129">
        <f t="shared" si="36"/>
        <v>129852</v>
      </c>
      <c r="AY58" s="230">
        <f>AY16</f>
        <v>125900</v>
      </c>
      <c r="AZ58" s="230">
        <f>AZ16</f>
        <v>116090</v>
      </c>
      <c r="BA58" s="262">
        <f>BA16</f>
        <v>84489</v>
      </c>
      <c r="BB58" s="23"/>
      <c r="BC58" s="3"/>
      <c r="BD58" s="3"/>
      <c r="BG58" s="3"/>
    </row>
    <row r="59" spans="1:59" ht="12.75" customHeight="1" x14ac:dyDescent="0.2">
      <c r="A59" s="44"/>
      <c r="B59" s="91" t="s">
        <v>77</v>
      </c>
      <c r="C59" s="45">
        <f>I59-M59</f>
        <v>-96</v>
      </c>
      <c r="D59" s="324">
        <f>IF(OR((C59/M59)&gt;3,(C59/M59)&lt;-3),"n.m.",(C59/M59))</f>
        <v>-1.7194748437248124E-3</v>
      </c>
      <c r="E59" s="356"/>
      <c r="F59" s="264">
        <f>+F35-F32-F33</f>
        <v>0</v>
      </c>
      <c r="G59" s="264">
        <f>+G35-G32-G33</f>
        <v>0</v>
      </c>
      <c r="H59" s="264">
        <f>+H35-H32-H33</f>
        <v>0</v>
      </c>
      <c r="I59" s="495">
        <f>+I35-I32-I33-1889</f>
        <v>55735</v>
      </c>
      <c r="J59" s="264">
        <f>+J35-J32-J33-2639</f>
        <v>62820</v>
      </c>
      <c r="K59" s="264">
        <f>+K35-K32-K33-2709</f>
        <v>63839</v>
      </c>
      <c r="L59" s="264">
        <f>+L35-L33-2660</f>
        <v>55218</v>
      </c>
      <c r="M59" s="495">
        <f>+M35-1705-998</f>
        <v>55831</v>
      </c>
      <c r="N59" s="264">
        <f>N35-N32-N33</f>
        <v>25244</v>
      </c>
      <c r="O59" s="264">
        <f>O35-O32</f>
        <v>13341</v>
      </c>
      <c r="P59" s="264">
        <f>P35</f>
        <v>13294</v>
      </c>
      <c r="Q59" s="252">
        <f>Q35</f>
        <v>14080</v>
      </c>
      <c r="R59" s="264">
        <f t="shared" ref="R59:BB59" si="37">R35</f>
        <v>25215</v>
      </c>
      <c r="S59" s="264">
        <f t="shared" si="37"/>
        <v>20384</v>
      </c>
      <c r="T59" s="264">
        <f t="shared" si="37"/>
        <v>16895</v>
      </c>
      <c r="U59" s="252">
        <f t="shared" si="37"/>
        <v>16054</v>
      </c>
      <c r="V59" s="264">
        <f t="shared" si="37"/>
        <v>19201</v>
      </c>
      <c r="W59" s="264">
        <f t="shared" si="37"/>
        <v>21966</v>
      </c>
      <c r="X59" s="264">
        <f t="shared" si="37"/>
        <v>14464</v>
      </c>
      <c r="Y59" s="252">
        <f t="shared" si="37"/>
        <v>17290</v>
      </c>
      <c r="Z59" s="264">
        <f t="shared" si="37"/>
        <v>0</v>
      </c>
      <c r="AA59" s="264">
        <f t="shared" si="37"/>
        <v>0</v>
      </c>
      <c r="AB59" s="264">
        <f t="shared" si="37"/>
        <v>0</v>
      </c>
      <c r="AC59" s="252">
        <f t="shared" si="37"/>
        <v>0</v>
      </c>
      <c r="AD59" s="160">
        <f t="shared" si="37"/>
        <v>0</v>
      </c>
      <c r="AE59" s="160">
        <f t="shared" si="37"/>
        <v>0</v>
      </c>
      <c r="AF59" s="160">
        <f t="shared" si="37"/>
        <v>0</v>
      </c>
      <c r="AG59" s="164">
        <f t="shared" si="37"/>
        <v>0</v>
      </c>
      <c r="AH59" s="129">
        <f t="shared" si="37"/>
        <v>0</v>
      </c>
      <c r="AI59" s="164">
        <f t="shared" si="37"/>
        <v>0</v>
      </c>
      <c r="AJ59" s="164">
        <f t="shared" si="37"/>
        <v>0</v>
      </c>
      <c r="AK59" s="164">
        <f t="shared" si="37"/>
        <v>0</v>
      </c>
      <c r="AL59" s="47"/>
      <c r="AM59" s="168">
        <f>SUM(K59:M59)</f>
        <v>174888</v>
      </c>
      <c r="AN59" s="180">
        <f>SUM(O59:Q59)</f>
        <v>40715</v>
      </c>
      <c r="AO59" s="180">
        <f>AR59-AS59</f>
        <v>171749</v>
      </c>
      <c r="AP59" s="444">
        <f>IF(OR((AO59/AS59)&gt;3,(AO59/AS59)&lt;-3),"n.m.",(AO59/AS59))</f>
        <v>2.6038751345532831</v>
      </c>
      <c r="AQ59" s="44"/>
      <c r="AR59" s="372">
        <f>SUM(J59:M59)</f>
        <v>237708</v>
      </c>
      <c r="AS59" s="372">
        <f>SUM(N59:Q59)</f>
        <v>65959</v>
      </c>
      <c r="AT59" s="372">
        <f t="shared" si="37"/>
        <v>78548</v>
      </c>
      <c r="AU59" s="118">
        <f t="shared" si="37"/>
        <v>72921</v>
      </c>
      <c r="AV59" s="118">
        <f>AV35-AV33-AV32</f>
        <v>69621</v>
      </c>
      <c r="AW59" s="129">
        <f t="shared" si="37"/>
        <v>88719</v>
      </c>
      <c r="AX59" s="129">
        <f t="shared" si="37"/>
        <v>98148</v>
      </c>
      <c r="AY59" s="37">
        <f t="shared" si="37"/>
        <v>83963</v>
      </c>
      <c r="AZ59" s="37">
        <f t="shared" si="37"/>
        <v>85664</v>
      </c>
      <c r="BA59" s="37">
        <f t="shared" si="37"/>
        <v>68575</v>
      </c>
      <c r="BB59" s="3">
        <f t="shared" si="37"/>
        <v>0</v>
      </c>
      <c r="BC59" s="3"/>
      <c r="BD59" s="3"/>
      <c r="BG59" s="3"/>
    </row>
    <row r="60" spans="1:59" ht="12.75" customHeight="1" x14ac:dyDescent="0.2">
      <c r="A60" s="44"/>
      <c r="B60" s="91" t="s">
        <v>69</v>
      </c>
      <c r="C60" s="97" t="e">
        <f>I60-M60</f>
        <v>#REF!</v>
      </c>
      <c r="D60" s="322" t="e">
        <f>IF(OR((C60/M60)&gt;3,(C60/M60)&lt;-3),"n.m.",(C60/M60))</f>
        <v>#REF!</v>
      </c>
      <c r="E60" s="356"/>
      <c r="F60" s="270" t="e">
        <f t="shared" ref="F60:M60" si="38">+F58-F59</f>
        <v>#REF!</v>
      </c>
      <c r="G60" s="270" t="e">
        <f t="shared" si="38"/>
        <v>#REF!</v>
      </c>
      <c r="H60" s="270" t="e">
        <f t="shared" si="38"/>
        <v>#REF!</v>
      </c>
      <c r="I60" s="253" t="e">
        <f t="shared" si="38"/>
        <v>#REF!</v>
      </c>
      <c r="J60" s="270" t="e">
        <f t="shared" si="38"/>
        <v>#REF!</v>
      </c>
      <c r="K60" s="270" t="e">
        <f t="shared" si="38"/>
        <v>#REF!</v>
      </c>
      <c r="L60" s="270" t="e">
        <f t="shared" si="38"/>
        <v>#REF!</v>
      </c>
      <c r="M60" s="253" t="e">
        <f t="shared" si="38"/>
        <v>#REF!</v>
      </c>
      <c r="N60" s="270" t="e">
        <f>N58-N59</f>
        <v>#REF!</v>
      </c>
      <c r="O60" s="270">
        <f>O58-O59</f>
        <v>-593</v>
      </c>
      <c r="P60" s="270">
        <f>P58-P59</f>
        <v>-3956</v>
      </c>
      <c r="Q60" s="253">
        <f>Q58-Q59</f>
        <v>-4834</v>
      </c>
      <c r="R60" s="270">
        <f t="shared" ref="R60:AX60" si="39">R58-R59</f>
        <v>9340</v>
      </c>
      <c r="S60" s="270">
        <f t="shared" si="39"/>
        <v>2955</v>
      </c>
      <c r="T60" s="270">
        <f t="shared" si="39"/>
        <v>1443</v>
      </c>
      <c r="U60" s="253">
        <f t="shared" si="39"/>
        <v>391</v>
      </c>
      <c r="V60" s="270">
        <f t="shared" si="39"/>
        <v>2132</v>
      </c>
      <c r="W60" s="270">
        <f t="shared" si="39"/>
        <v>4455</v>
      </c>
      <c r="X60" s="270">
        <f t="shared" si="39"/>
        <v>-689</v>
      </c>
      <c r="Y60" s="253">
        <f t="shared" si="39"/>
        <v>3635</v>
      </c>
      <c r="Z60" s="270">
        <f t="shared" si="39"/>
        <v>0</v>
      </c>
      <c r="AA60" s="270">
        <f t="shared" si="39"/>
        <v>0</v>
      </c>
      <c r="AB60" s="270">
        <f t="shared" si="39"/>
        <v>0</v>
      </c>
      <c r="AC60" s="253">
        <f t="shared" si="39"/>
        <v>0</v>
      </c>
      <c r="AD60" s="166">
        <f t="shared" si="39"/>
        <v>0</v>
      </c>
      <c r="AE60" s="166">
        <f t="shared" si="39"/>
        <v>0</v>
      </c>
      <c r="AF60" s="166">
        <f t="shared" si="39"/>
        <v>0</v>
      </c>
      <c r="AG60" s="167">
        <f t="shared" si="39"/>
        <v>0</v>
      </c>
      <c r="AH60" s="134">
        <f t="shared" si="39"/>
        <v>0</v>
      </c>
      <c r="AI60" s="167">
        <f t="shared" si="39"/>
        <v>0</v>
      </c>
      <c r="AJ60" s="167">
        <f t="shared" si="39"/>
        <v>0</v>
      </c>
      <c r="AK60" s="167">
        <f t="shared" si="39"/>
        <v>0</v>
      </c>
      <c r="AL60" s="47"/>
      <c r="AM60" s="176" t="e">
        <f>AM58-AM59</f>
        <v>#REF!</v>
      </c>
      <c r="AN60" s="240">
        <f>AN58-AN59</f>
        <v>-9383</v>
      </c>
      <c r="AO60" s="240" t="e">
        <f>AR60-AS60</f>
        <v>#REF!</v>
      </c>
      <c r="AP60" s="92" t="e">
        <f>-IF(OR((AO60/AS60)&gt;3,(AO60/AS60)&lt;-3),"n.m.",(AO60/AS60))</f>
        <v>#REF!</v>
      </c>
      <c r="AQ60" s="44"/>
      <c r="AR60" s="373" t="e">
        <f>SUM(J60:M60)</f>
        <v>#REF!</v>
      </c>
      <c r="AS60" s="373" t="e">
        <f>AS58-AS59</f>
        <v>#REF!</v>
      </c>
      <c r="AT60" s="373">
        <f t="shared" si="39"/>
        <v>14129</v>
      </c>
      <c r="AU60" s="128">
        <f t="shared" si="39"/>
        <v>9533</v>
      </c>
      <c r="AV60" s="128">
        <f t="shared" si="39"/>
        <v>3305</v>
      </c>
      <c r="AW60" s="134">
        <f t="shared" si="39"/>
        <v>29613</v>
      </c>
      <c r="AX60" s="134">
        <f t="shared" si="39"/>
        <v>31704</v>
      </c>
      <c r="AY60" s="102">
        <f>AY58-AY59</f>
        <v>41937</v>
      </c>
      <c r="AZ60" s="102">
        <f>AZ58-AZ59</f>
        <v>30426</v>
      </c>
      <c r="BA60" s="102">
        <f>BA58-BA59</f>
        <v>15914</v>
      </c>
      <c r="BB60" s="3"/>
      <c r="BC60" s="3"/>
      <c r="BD60" s="3"/>
      <c r="BG60" s="3"/>
    </row>
    <row r="61" spans="1:59" ht="12.75" customHeight="1" x14ac:dyDescent="0.2">
      <c r="A61" s="44"/>
      <c r="B61" s="91"/>
      <c r="C61" s="96"/>
      <c r="D61" s="9"/>
      <c r="E61" s="9"/>
      <c r="F61" s="264"/>
      <c r="G61" s="264"/>
      <c r="H61" s="264"/>
      <c r="I61" s="494"/>
      <c r="J61" s="264"/>
      <c r="K61" s="264"/>
      <c r="L61" s="264"/>
      <c r="M61" s="494"/>
      <c r="N61" s="264"/>
      <c r="O61" s="264"/>
      <c r="P61" s="264"/>
      <c r="Q61" s="235"/>
      <c r="R61" s="264"/>
      <c r="S61" s="264"/>
      <c r="T61" s="264"/>
      <c r="U61" s="235"/>
      <c r="V61" s="264"/>
      <c r="W61" s="264"/>
      <c r="X61" s="264"/>
      <c r="Y61" s="235"/>
      <c r="Z61" s="264"/>
      <c r="AA61" s="264"/>
      <c r="AB61" s="264"/>
      <c r="AC61" s="235"/>
      <c r="AD61" s="160"/>
      <c r="AE61" s="160"/>
      <c r="AF61" s="160"/>
      <c r="AG61" s="160"/>
      <c r="AH61" s="160"/>
      <c r="AI61" s="160"/>
      <c r="AJ61" s="160"/>
      <c r="AK61" s="160"/>
      <c r="AL61" s="91"/>
      <c r="AM61" s="91"/>
      <c r="AN61" s="91"/>
      <c r="AO61" s="388"/>
      <c r="AP61" s="371"/>
      <c r="AQ61" s="44"/>
      <c r="AR61" s="368"/>
      <c r="AS61" s="368"/>
      <c r="AT61" s="368"/>
      <c r="AU61" s="235"/>
      <c r="AV61" s="235"/>
      <c r="AW61" s="160"/>
      <c r="AX61" s="160"/>
      <c r="AY61" s="28"/>
      <c r="AZ61" s="28"/>
      <c r="BA61" s="28"/>
      <c r="BB61" s="3"/>
      <c r="BC61" s="3"/>
      <c r="BD61" s="3"/>
      <c r="BG61" s="3"/>
    </row>
    <row r="62" spans="1:59" ht="12.75" customHeight="1" x14ac:dyDescent="0.2">
      <c r="A62" s="10" t="s">
        <v>177</v>
      </c>
      <c r="B62" s="88"/>
      <c r="C62" s="91"/>
      <c r="D62" s="91"/>
      <c r="E62" s="91"/>
      <c r="F62" s="483"/>
      <c r="G62" s="483"/>
      <c r="H62" s="483"/>
      <c r="I62" s="483"/>
      <c r="J62" s="483"/>
      <c r="K62" s="483"/>
      <c r="L62" s="483"/>
      <c r="M62" s="483"/>
      <c r="N62" s="91"/>
      <c r="O62" s="91"/>
      <c r="P62" s="91"/>
      <c r="Q62" s="91"/>
      <c r="R62" s="91"/>
      <c r="S62" s="91"/>
      <c r="T62" s="91"/>
      <c r="U62" s="91"/>
      <c r="V62" s="91"/>
      <c r="W62" s="91"/>
      <c r="X62" s="91"/>
      <c r="Y62" s="91"/>
      <c r="Z62" s="265"/>
      <c r="AA62" s="91"/>
      <c r="AB62" s="91"/>
      <c r="AC62" s="91"/>
      <c r="AD62" s="91"/>
      <c r="AE62" s="91"/>
      <c r="AF62" s="91"/>
      <c r="AG62" s="6"/>
      <c r="AH62" s="91"/>
      <c r="AI62" s="6"/>
      <c r="AJ62" s="6"/>
      <c r="AK62" s="91"/>
      <c r="AL62" s="91"/>
      <c r="AM62" s="91"/>
      <c r="AN62" s="91"/>
      <c r="AO62" s="370"/>
      <c r="AP62" s="370"/>
      <c r="AQ62" s="91"/>
      <c r="AR62" s="370"/>
      <c r="AS62" s="370"/>
      <c r="AT62" s="370"/>
      <c r="AU62" s="91"/>
      <c r="AV62" s="91"/>
      <c r="AW62" s="91"/>
      <c r="AX62" s="91"/>
      <c r="AY62" s="28"/>
      <c r="AZ62" s="28"/>
      <c r="BA62" s="28"/>
      <c r="BB62" s="3"/>
      <c r="BC62" s="3"/>
      <c r="BD62" s="3"/>
      <c r="BG62" s="3"/>
    </row>
    <row r="63" spans="1:59" ht="12.75" customHeight="1" x14ac:dyDescent="0.2">
      <c r="C63" s="2431" t="s">
        <v>293</v>
      </c>
      <c r="D63" s="2432"/>
      <c r="E63" s="184"/>
      <c r="F63" s="273"/>
      <c r="G63" s="273"/>
      <c r="H63" s="273"/>
      <c r="I63" s="17"/>
      <c r="J63" s="273"/>
      <c r="K63" s="273"/>
      <c r="L63" s="273"/>
      <c r="M63" s="17"/>
      <c r="N63" s="15"/>
      <c r="O63" s="16"/>
      <c r="P63" s="273"/>
      <c r="Q63" s="17"/>
      <c r="R63" s="15"/>
      <c r="S63" s="16"/>
      <c r="T63" s="273"/>
      <c r="U63" s="17"/>
      <c r="V63" s="481"/>
      <c r="W63" s="16"/>
      <c r="X63" s="2"/>
      <c r="Y63" s="17"/>
      <c r="Z63" s="16"/>
      <c r="AA63" s="481"/>
      <c r="AB63" s="273"/>
      <c r="AC63" s="17"/>
      <c r="AD63" s="16"/>
      <c r="AE63" s="16"/>
      <c r="AF63" s="16"/>
      <c r="AG63" s="16"/>
      <c r="AH63" s="20"/>
      <c r="AI63" s="17"/>
      <c r="AJ63" s="17"/>
      <c r="AK63" s="17"/>
      <c r="AL63" s="22"/>
      <c r="AM63" s="445" t="s">
        <v>281</v>
      </c>
      <c r="AN63" s="433"/>
      <c r="AO63" s="433" t="s">
        <v>266</v>
      </c>
      <c r="AP63" s="434"/>
      <c r="AQ63" s="91"/>
      <c r="AR63" s="530"/>
      <c r="AS63" s="464"/>
      <c r="AT63" s="448"/>
      <c r="AU63" s="46"/>
      <c r="AV63" s="46"/>
      <c r="AW63" s="126"/>
      <c r="AX63" s="124"/>
      <c r="AY63" s="46"/>
      <c r="AZ63" s="28"/>
      <c r="BA63" s="28"/>
      <c r="BB63" s="23"/>
      <c r="BC63" s="3"/>
      <c r="BD63" s="3"/>
      <c r="BG63" s="3"/>
    </row>
    <row r="64" spans="1:59" ht="12.75" customHeight="1" x14ac:dyDescent="0.2">
      <c r="C64" s="2433" t="s">
        <v>35</v>
      </c>
      <c r="D64" s="2434"/>
      <c r="E64" s="355"/>
      <c r="F64" s="19" t="s">
        <v>296</v>
      </c>
      <c r="G64" s="19" t="s">
        <v>295</v>
      </c>
      <c r="H64" s="19" t="s">
        <v>294</v>
      </c>
      <c r="I64" s="12" t="s">
        <v>292</v>
      </c>
      <c r="J64" s="19" t="s">
        <v>252</v>
      </c>
      <c r="K64" s="19" t="s">
        <v>253</v>
      </c>
      <c r="L64" s="19" t="s">
        <v>254</v>
      </c>
      <c r="M64" s="12" t="s">
        <v>255</v>
      </c>
      <c r="N64" s="18" t="s">
        <v>202</v>
      </c>
      <c r="O64" s="19" t="s">
        <v>203</v>
      </c>
      <c r="P64" s="19" t="s">
        <v>204</v>
      </c>
      <c r="Q64" s="12" t="s">
        <v>201</v>
      </c>
      <c r="R64" s="18" t="s">
        <v>173</v>
      </c>
      <c r="S64" s="19" t="s">
        <v>174</v>
      </c>
      <c r="T64" s="19" t="s">
        <v>175</v>
      </c>
      <c r="U64" s="12" t="s">
        <v>176</v>
      </c>
      <c r="V64" s="19" t="s">
        <v>109</v>
      </c>
      <c r="W64" s="19" t="s">
        <v>108</v>
      </c>
      <c r="X64" s="19" t="s">
        <v>107</v>
      </c>
      <c r="Y64" s="12" t="s">
        <v>106</v>
      </c>
      <c r="Z64" s="19" t="s">
        <v>78</v>
      </c>
      <c r="AA64" s="19" t="s">
        <v>79</v>
      </c>
      <c r="AB64" s="19" t="s">
        <v>80</v>
      </c>
      <c r="AC64" s="12" t="s">
        <v>26</v>
      </c>
      <c r="AD64" s="19" t="s">
        <v>27</v>
      </c>
      <c r="AE64" s="19" t="s">
        <v>28</v>
      </c>
      <c r="AF64" s="19" t="s">
        <v>29</v>
      </c>
      <c r="AG64" s="19" t="s">
        <v>30</v>
      </c>
      <c r="AH64" s="21" t="s">
        <v>31</v>
      </c>
      <c r="AI64" s="12" t="s">
        <v>32</v>
      </c>
      <c r="AJ64" s="12" t="s">
        <v>33</v>
      </c>
      <c r="AK64" s="12" t="s">
        <v>34</v>
      </c>
      <c r="AL64" s="184"/>
      <c r="AM64" s="19" t="s">
        <v>253</v>
      </c>
      <c r="AN64" s="19" t="s">
        <v>203</v>
      </c>
      <c r="AO64" s="2435" t="s">
        <v>35</v>
      </c>
      <c r="AP64" s="2434"/>
      <c r="AQ64" s="91"/>
      <c r="AR64" s="158" t="s">
        <v>257</v>
      </c>
      <c r="AS64" s="158" t="s">
        <v>206</v>
      </c>
      <c r="AT64" s="158" t="s">
        <v>111</v>
      </c>
      <c r="AU64" s="18" t="s">
        <v>110</v>
      </c>
      <c r="AV64" s="18" t="s">
        <v>39</v>
      </c>
      <c r="AW64" s="18" t="s">
        <v>36</v>
      </c>
      <c r="AX64" s="21" t="s">
        <v>37</v>
      </c>
      <c r="AY64" s="21" t="s">
        <v>128</v>
      </c>
      <c r="AZ64" s="28"/>
      <c r="BA64" s="28"/>
      <c r="BB64" s="23"/>
      <c r="BC64" s="3"/>
      <c r="BD64" s="3"/>
      <c r="BG64" s="3"/>
    </row>
    <row r="65" spans="1:59" ht="12.75" customHeight="1" x14ac:dyDescent="0.2">
      <c r="A65" s="44"/>
      <c r="B65" s="6" t="s">
        <v>282</v>
      </c>
      <c r="C65" s="45">
        <f t="shared" ref="C65:C71" si="40">I65-M65</f>
        <v>5859</v>
      </c>
      <c r="D65" s="324">
        <f t="shared" ref="D65:D71" si="41">IF(OR((C65/M65)&gt;3,(C65/M65)&lt;-3),"n.m.",(C65/M65))</f>
        <v>0.20384802727715537</v>
      </c>
      <c r="E65" s="47"/>
      <c r="F65" s="180"/>
      <c r="G65" s="180"/>
      <c r="H65" s="180"/>
      <c r="I65" s="217">
        <v>34601</v>
      </c>
      <c r="J65" s="180">
        <f>38419-2686</f>
        <v>35733</v>
      </c>
      <c r="K65" s="180">
        <f>30571+2009</f>
        <v>32580</v>
      </c>
      <c r="L65" s="180">
        <f>27830+380</f>
        <v>28210</v>
      </c>
      <c r="M65" s="217">
        <f>28445+297</f>
        <v>28742</v>
      </c>
      <c r="N65" s="180">
        <v>5969</v>
      </c>
      <c r="O65" s="180">
        <v>2712</v>
      </c>
      <c r="P65" s="180">
        <v>3187</v>
      </c>
      <c r="Q65" s="217">
        <v>3355</v>
      </c>
      <c r="R65" s="180">
        <v>4877</v>
      </c>
      <c r="S65" s="180">
        <v>4800</v>
      </c>
      <c r="T65" s="180">
        <v>4288</v>
      </c>
      <c r="U65" s="217">
        <v>3624</v>
      </c>
      <c r="V65" s="180">
        <v>2939</v>
      </c>
      <c r="W65" s="180">
        <v>3598</v>
      </c>
      <c r="X65" s="180">
        <v>2710</v>
      </c>
      <c r="Y65" s="217">
        <v>2214</v>
      </c>
      <c r="Z65" s="180"/>
      <c r="AA65" s="180"/>
      <c r="AB65" s="217"/>
      <c r="AC65" s="217"/>
      <c r="AD65" s="252"/>
      <c r="AE65" s="91"/>
      <c r="AF65" s="91"/>
      <c r="AG65" s="6"/>
      <c r="AH65" s="91"/>
      <c r="AI65" s="6"/>
      <c r="AJ65" s="6"/>
      <c r="AK65" s="91"/>
      <c r="AL65" s="47"/>
      <c r="AM65" s="168">
        <f t="shared" ref="AM65:AM70" si="42">SUM(K65:M65)</f>
        <v>89532</v>
      </c>
      <c r="AN65" s="180">
        <f t="shared" ref="AN65:AN70" si="43">SUM(O65:Q65)</f>
        <v>9254</v>
      </c>
      <c r="AO65" s="180">
        <f t="shared" ref="AO65:AO71" si="44">AR65-AS65</f>
        <v>110042</v>
      </c>
      <c r="AP65" s="498" t="str">
        <f t="shared" ref="AP65:AP71" si="45">IF(OR((AO65/AS65)&gt;3,(AO65/AS65)&lt;-3),"n.m.",(AO65/AS65))</f>
        <v>n.m.</v>
      </c>
      <c r="AQ65" s="91"/>
      <c r="AR65" s="380">
        <f t="shared" ref="AR65:AR70" si="46">SUM(J65:M65)</f>
        <v>125265</v>
      </c>
      <c r="AS65" s="380">
        <f t="shared" ref="AS65:AS70" si="47">SUM(N65:Q65)</f>
        <v>15223</v>
      </c>
      <c r="AT65" s="375">
        <f t="shared" ref="AT65:AT70" si="48">SUM(R65:U65)</f>
        <v>17589</v>
      </c>
      <c r="AU65" s="37">
        <f t="shared" ref="AU65:AU70" si="49">SUM(V65:Y65)</f>
        <v>11461</v>
      </c>
      <c r="AV65" s="37">
        <v>10891</v>
      </c>
      <c r="AW65" s="37">
        <v>14557</v>
      </c>
      <c r="AX65" s="37">
        <v>11991</v>
      </c>
      <c r="AY65" s="37">
        <v>14929</v>
      </c>
      <c r="AZ65" s="28"/>
      <c r="BA65" s="28"/>
      <c r="BB65" s="23"/>
      <c r="BC65" s="3"/>
      <c r="BD65" s="3"/>
      <c r="BG65" s="3"/>
    </row>
    <row r="66" spans="1:59" ht="12.75" customHeight="1" x14ac:dyDescent="0.2">
      <c r="A66" s="44"/>
      <c r="B66" s="6" t="s">
        <v>57</v>
      </c>
      <c r="C66" s="45">
        <f t="shared" si="40"/>
        <v>1687</v>
      </c>
      <c r="D66" s="324">
        <f t="shared" si="41"/>
        <v>0.56782228205991248</v>
      </c>
      <c r="E66" s="47"/>
      <c r="F66" s="180"/>
      <c r="G66" s="180"/>
      <c r="H66" s="180"/>
      <c r="I66" s="217">
        <v>4658</v>
      </c>
      <c r="J66" s="180">
        <f>7552-268</f>
        <v>7284</v>
      </c>
      <c r="K66" s="180">
        <f>12466+150</f>
        <v>12616</v>
      </c>
      <c r="L66" s="180">
        <f>10921+86</f>
        <v>11007</v>
      </c>
      <c r="M66" s="217">
        <f>2939+32</f>
        <v>2971</v>
      </c>
      <c r="N66" s="180">
        <v>6836</v>
      </c>
      <c r="O66" s="180">
        <v>3072</v>
      </c>
      <c r="P66" s="180">
        <v>750</v>
      </c>
      <c r="Q66" s="217">
        <v>2299</v>
      </c>
      <c r="R66" s="180">
        <v>16817</v>
      </c>
      <c r="S66" s="180">
        <v>9429</v>
      </c>
      <c r="T66" s="180">
        <v>3477</v>
      </c>
      <c r="U66" s="217">
        <v>4849</v>
      </c>
      <c r="V66" s="180">
        <f>14020-V67</f>
        <v>11927</v>
      </c>
      <c r="W66" s="180">
        <f>16392-W67</f>
        <v>13190</v>
      </c>
      <c r="X66" s="180">
        <f>3925-X67</f>
        <v>1650</v>
      </c>
      <c r="Y66" s="217">
        <f>13214-Y67</f>
        <v>9027</v>
      </c>
      <c r="Z66" s="180"/>
      <c r="AA66" s="180"/>
      <c r="AB66" s="217"/>
      <c r="AC66" s="217"/>
      <c r="AD66" s="252"/>
      <c r="AE66" s="91"/>
      <c r="AF66" s="91"/>
      <c r="AG66" s="6"/>
      <c r="AH66" s="91"/>
      <c r="AI66" s="6"/>
      <c r="AJ66" s="6"/>
      <c r="AK66" s="91"/>
      <c r="AL66" s="47"/>
      <c r="AM66" s="168">
        <f t="shared" si="42"/>
        <v>26594</v>
      </c>
      <c r="AN66" s="180">
        <f t="shared" si="43"/>
        <v>6121</v>
      </c>
      <c r="AO66" s="180">
        <f t="shared" si="44"/>
        <v>20921</v>
      </c>
      <c r="AP66" s="444">
        <f t="shared" si="45"/>
        <v>1.6146484525738982</v>
      </c>
      <c r="AQ66" s="91"/>
      <c r="AR66" s="372">
        <f t="shared" si="46"/>
        <v>33878</v>
      </c>
      <c r="AS66" s="372">
        <f t="shared" si="47"/>
        <v>12957</v>
      </c>
      <c r="AT66" s="376">
        <f t="shared" si="48"/>
        <v>34572</v>
      </c>
      <c r="AU66" s="37">
        <f t="shared" si="49"/>
        <v>35794</v>
      </c>
      <c r="AV66" s="37">
        <f>48109-AV67</f>
        <v>26736</v>
      </c>
      <c r="AW66" s="37">
        <f>92703-AW67</f>
        <v>80789</v>
      </c>
      <c r="AX66" s="37">
        <f>104869-AX67</f>
        <v>99288</v>
      </c>
      <c r="AY66" s="37">
        <f>91128-3937</f>
        <v>87191</v>
      </c>
      <c r="AZ66" s="28"/>
      <c r="BA66" s="28"/>
      <c r="BB66" s="23"/>
      <c r="BC66" s="3"/>
      <c r="BD66" s="3"/>
      <c r="BG66" s="3"/>
    </row>
    <row r="67" spans="1:59" ht="12.75" customHeight="1" x14ac:dyDescent="0.2">
      <c r="A67" s="44"/>
      <c r="B67" s="6" t="s">
        <v>188</v>
      </c>
      <c r="C67" s="45">
        <f t="shared" si="40"/>
        <v>7037</v>
      </c>
      <c r="D67" s="324">
        <f t="shared" si="41"/>
        <v>0.48145867542419268</v>
      </c>
      <c r="E67" s="47"/>
      <c r="F67" s="180"/>
      <c r="G67" s="180"/>
      <c r="H67" s="180"/>
      <c r="I67" s="217">
        <v>21653</v>
      </c>
      <c r="J67" s="180">
        <v>19658</v>
      </c>
      <c r="K67" s="180">
        <v>16995</v>
      </c>
      <c r="L67" s="180">
        <v>13802</v>
      </c>
      <c r="M67" s="217">
        <v>14616</v>
      </c>
      <c r="N67" s="180">
        <v>5533</v>
      </c>
      <c r="O67" s="180">
        <v>4356</v>
      </c>
      <c r="P67" s="180">
        <v>3235</v>
      </c>
      <c r="Q67" s="217">
        <v>1470</v>
      </c>
      <c r="R67" s="180">
        <v>2671</v>
      </c>
      <c r="S67" s="180">
        <v>2437</v>
      </c>
      <c r="T67" s="180">
        <v>4055</v>
      </c>
      <c r="U67" s="217">
        <v>3085</v>
      </c>
      <c r="V67" s="180">
        <v>2093</v>
      </c>
      <c r="W67" s="180">
        <v>3202</v>
      </c>
      <c r="X67" s="180">
        <v>2275</v>
      </c>
      <c r="Y67" s="217">
        <v>4187</v>
      </c>
      <c r="Z67" s="180"/>
      <c r="AA67" s="180"/>
      <c r="AB67" s="217"/>
      <c r="AC67" s="217"/>
      <c r="AD67" s="252"/>
      <c r="AE67" s="91"/>
      <c r="AF67" s="91"/>
      <c r="AG67" s="6"/>
      <c r="AH67" s="91"/>
      <c r="AI67" s="6"/>
      <c r="AJ67" s="6"/>
      <c r="AK67" s="91"/>
      <c r="AL67" s="47"/>
      <c r="AM67" s="168">
        <f t="shared" si="42"/>
        <v>45413</v>
      </c>
      <c r="AN67" s="180">
        <f t="shared" si="43"/>
        <v>9061</v>
      </c>
      <c r="AO67" s="180">
        <f t="shared" si="44"/>
        <v>50477</v>
      </c>
      <c r="AP67" s="444" t="str">
        <f t="shared" si="45"/>
        <v>n.m.</v>
      </c>
      <c r="AQ67" s="91"/>
      <c r="AR67" s="372">
        <f t="shared" si="46"/>
        <v>65071</v>
      </c>
      <c r="AS67" s="372">
        <f t="shared" si="47"/>
        <v>14594</v>
      </c>
      <c r="AT67" s="376">
        <f t="shared" si="48"/>
        <v>12248</v>
      </c>
      <c r="AU67" s="37">
        <f t="shared" si="49"/>
        <v>11757</v>
      </c>
      <c r="AV67" s="37">
        <v>21373</v>
      </c>
      <c r="AW67" s="37">
        <v>11914</v>
      </c>
      <c r="AX67" s="37">
        <v>5581</v>
      </c>
      <c r="AY67" s="37">
        <v>3937</v>
      </c>
      <c r="AZ67" s="28"/>
      <c r="BA67" s="28"/>
      <c r="BB67" s="23"/>
      <c r="BC67" s="3"/>
      <c r="BD67" s="3"/>
      <c r="BG67" s="3"/>
    </row>
    <row r="68" spans="1:59" ht="12.75" customHeight="1" x14ac:dyDescent="0.2">
      <c r="A68" s="44"/>
      <c r="B68" s="6" t="s">
        <v>58</v>
      </c>
      <c r="C68" s="45">
        <f t="shared" si="40"/>
        <v>2895</v>
      </c>
      <c r="D68" s="324">
        <f t="shared" si="41"/>
        <v>1.1850184199754401</v>
      </c>
      <c r="E68" s="47"/>
      <c r="F68" s="180"/>
      <c r="G68" s="180"/>
      <c r="H68" s="180"/>
      <c r="I68" s="217">
        <v>5338</v>
      </c>
      <c r="J68" s="180">
        <v>8936</v>
      </c>
      <c r="K68" s="180">
        <v>6665</v>
      </c>
      <c r="L68" s="180">
        <v>6462</v>
      </c>
      <c r="M68" s="217">
        <v>2443</v>
      </c>
      <c r="N68" s="180">
        <v>3447</v>
      </c>
      <c r="O68" s="180">
        <v>2591</v>
      </c>
      <c r="P68" s="180">
        <v>2232</v>
      </c>
      <c r="Q68" s="217">
        <v>2173</v>
      </c>
      <c r="R68" s="180">
        <v>10213</v>
      </c>
      <c r="S68" s="180">
        <v>6662</v>
      </c>
      <c r="T68" s="180">
        <v>6583</v>
      </c>
      <c r="U68" s="217">
        <v>4874</v>
      </c>
      <c r="V68" s="180">
        <v>4132</v>
      </c>
      <c r="W68" s="180">
        <v>6480</v>
      </c>
      <c r="X68" s="180">
        <v>7104</v>
      </c>
      <c r="Y68" s="217">
        <v>5474</v>
      </c>
      <c r="Z68" s="180"/>
      <c r="AA68" s="180"/>
      <c r="AB68" s="217"/>
      <c r="AC68" s="217"/>
      <c r="AD68" s="252"/>
      <c r="AE68" s="91"/>
      <c r="AF68" s="91"/>
      <c r="AG68" s="6"/>
      <c r="AH68" s="91"/>
      <c r="AI68" s="6"/>
      <c r="AJ68" s="6"/>
      <c r="AK68" s="91"/>
      <c r="AL68" s="47"/>
      <c r="AM68" s="168">
        <f t="shared" si="42"/>
        <v>15570</v>
      </c>
      <c r="AN68" s="180">
        <f t="shared" si="43"/>
        <v>6996</v>
      </c>
      <c r="AO68" s="180">
        <f t="shared" si="44"/>
        <v>14063</v>
      </c>
      <c r="AP68" s="444">
        <f t="shared" si="45"/>
        <v>1.3466436847649144</v>
      </c>
      <c r="AQ68" s="91"/>
      <c r="AR68" s="372">
        <f t="shared" si="46"/>
        <v>24506</v>
      </c>
      <c r="AS68" s="372">
        <f t="shared" si="47"/>
        <v>10443</v>
      </c>
      <c r="AT68" s="376">
        <f t="shared" si="48"/>
        <v>28332</v>
      </c>
      <c r="AU68" s="37">
        <f t="shared" si="49"/>
        <v>23190</v>
      </c>
      <c r="AV68" s="37">
        <v>9476</v>
      </c>
      <c r="AW68" s="37">
        <v>4419</v>
      </c>
      <c r="AX68" s="37">
        <v>9630</v>
      </c>
      <c r="AY68" s="37">
        <v>16467</v>
      </c>
      <c r="AZ68" s="28"/>
      <c r="BA68" s="28"/>
      <c r="BB68" s="23"/>
      <c r="BC68" s="3"/>
      <c r="BD68" s="3"/>
      <c r="BG68" s="3"/>
    </row>
    <row r="69" spans="1:59" ht="12.75" customHeight="1" x14ac:dyDescent="0.2">
      <c r="A69" s="44"/>
      <c r="B69" s="6" t="s">
        <v>59</v>
      </c>
      <c r="C69" s="45">
        <f t="shared" si="40"/>
        <v>475</v>
      </c>
      <c r="D69" s="324">
        <f t="shared" si="41"/>
        <v>1.9076305220883534</v>
      </c>
      <c r="E69" s="47"/>
      <c r="F69" s="180"/>
      <c r="G69" s="180"/>
      <c r="H69" s="180"/>
      <c r="I69" s="217">
        <v>724</v>
      </c>
      <c r="J69" s="180">
        <v>781</v>
      </c>
      <c r="K69" s="180">
        <v>356</v>
      </c>
      <c r="L69" s="180">
        <f>557-322</f>
        <v>235</v>
      </c>
      <c r="M69" s="217">
        <v>249</v>
      </c>
      <c r="N69" s="180">
        <v>30</v>
      </c>
      <c r="O69" s="180">
        <v>0</v>
      </c>
      <c r="P69" s="180">
        <v>3</v>
      </c>
      <c r="Q69" s="217">
        <v>3</v>
      </c>
      <c r="R69" s="180">
        <v>15</v>
      </c>
      <c r="S69" s="180">
        <v>3</v>
      </c>
      <c r="T69" s="180">
        <v>4</v>
      </c>
      <c r="U69" s="217">
        <v>3</v>
      </c>
      <c r="V69" s="180">
        <v>21</v>
      </c>
      <c r="W69" s="180">
        <v>12</v>
      </c>
      <c r="X69" s="180">
        <v>17</v>
      </c>
      <c r="Y69" s="217">
        <v>44</v>
      </c>
      <c r="Z69" s="180"/>
      <c r="AA69" s="180"/>
      <c r="AB69" s="217"/>
      <c r="AC69" s="217"/>
      <c r="AD69" s="252"/>
      <c r="AE69" s="91"/>
      <c r="AF69" s="91"/>
      <c r="AG69" s="6"/>
      <c r="AH69" s="91"/>
      <c r="AI69" s="6"/>
      <c r="AJ69" s="6"/>
      <c r="AK69" s="91"/>
      <c r="AL69" s="47"/>
      <c r="AM69" s="168">
        <f t="shared" si="42"/>
        <v>840</v>
      </c>
      <c r="AN69" s="180">
        <f t="shared" si="43"/>
        <v>6</v>
      </c>
      <c r="AO69" s="180">
        <f t="shared" si="44"/>
        <v>1585</v>
      </c>
      <c r="AP69" s="444" t="str">
        <f t="shared" si="45"/>
        <v>n.m.</v>
      </c>
      <c r="AQ69" s="91"/>
      <c r="AR69" s="372">
        <f t="shared" si="46"/>
        <v>1621</v>
      </c>
      <c r="AS69" s="372">
        <f t="shared" si="47"/>
        <v>36</v>
      </c>
      <c r="AT69" s="376">
        <f t="shared" si="48"/>
        <v>25</v>
      </c>
      <c r="AU69" s="37">
        <f t="shared" si="49"/>
        <v>94</v>
      </c>
      <c r="AV69" s="37">
        <v>2226</v>
      </c>
      <c r="AW69" s="37">
        <v>3339</v>
      </c>
      <c r="AX69" s="37">
        <v>3835</v>
      </c>
      <c r="AY69" s="37">
        <v>2491</v>
      </c>
      <c r="AZ69" s="28"/>
      <c r="BA69" s="28"/>
      <c r="BB69" s="23"/>
      <c r="BC69" s="3"/>
      <c r="BD69" s="3"/>
      <c r="BG69" s="3"/>
    </row>
    <row r="70" spans="1:59" ht="12.75" customHeight="1" x14ac:dyDescent="0.2">
      <c r="A70" s="123"/>
      <c r="B70" s="6" t="s">
        <v>60</v>
      </c>
      <c r="C70" s="45">
        <f t="shared" si="40"/>
        <v>707</v>
      </c>
      <c r="D70" s="324" t="str">
        <f t="shared" si="41"/>
        <v>n.m.</v>
      </c>
      <c r="E70" s="357"/>
      <c r="F70" s="240"/>
      <c r="G70" s="240"/>
      <c r="H70" s="240"/>
      <c r="I70" s="217">
        <v>493</v>
      </c>
      <c r="J70" s="240">
        <f>-3088+2686+268</f>
        <v>-134</v>
      </c>
      <c r="K70" s="240">
        <f>1987-2009-150</f>
        <v>-172</v>
      </c>
      <c r="L70" s="240">
        <f>456-380-86</f>
        <v>-10</v>
      </c>
      <c r="M70" s="217">
        <f>115-297-32</f>
        <v>-214</v>
      </c>
      <c r="N70" s="180">
        <v>33</v>
      </c>
      <c r="O70" s="240">
        <v>17</v>
      </c>
      <c r="P70" s="240">
        <v>-69</v>
      </c>
      <c r="Q70" s="217">
        <v>-54</v>
      </c>
      <c r="R70" s="180">
        <v>-38</v>
      </c>
      <c r="S70" s="240">
        <v>8</v>
      </c>
      <c r="T70" s="180">
        <v>-69</v>
      </c>
      <c r="U70" s="217">
        <v>10</v>
      </c>
      <c r="V70" s="180">
        <v>221</v>
      </c>
      <c r="W70" s="240">
        <v>-61</v>
      </c>
      <c r="X70" s="180">
        <v>19</v>
      </c>
      <c r="Y70" s="217">
        <v>-21</v>
      </c>
      <c r="Z70" s="180"/>
      <c r="AA70" s="240"/>
      <c r="AB70" s="217"/>
      <c r="AC70" s="217"/>
      <c r="AD70" s="253"/>
      <c r="AE70" s="13"/>
      <c r="AF70" s="13"/>
      <c r="AG70" s="13"/>
      <c r="AH70" s="13"/>
      <c r="AI70" s="13"/>
      <c r="AJ70" s="13"/>
      <c r="AK70" s="13"/>
      <c r="AL70" s="47"/>
      <c r="AM70" s="168">
        <f t="shared" si="42"/>
        <v>-396</v>
      </c>
      <c r="AN70" s="180">
        <f t="shared" si="43"/>
        <v>-106</v>
      </c>
      <c r="AO70" s="180">
        <f t="shared" si="44"/>
        <v>-457</v>
      </c>
      <c r="AP70" s="444" t="str">
        <f t="shared" si="45"/>
        <v>n.m.</v>
      </c>
      <c r="AQ70" s="44"/>
      <c r="AR70" s="372">
        <f t="shared" si="46"/>
        <v>-530</v>
      </c>
      <c r="AS70" s="372">
        <f t="shared" si="47"/>
        <v>-73</v>
      </c>
      <c r="AT70" s="377">
        <f t="shared" si="48"/>
        <v>-89</v>
      </c>
      <c r="AU70" s="37">
        <f t="shared" si="49"/>
        <v>158</v>
      </c>
      <c r="AV70" s="37">
        <v>2224</v>
      </c>
      <c r="AW70" s="37">
        <v>3314</v>
      </c>
      <c r="AX70" s="37">
        <v>-473</v>
      </c>
      <c r="AY70" s="37">
        <v>885</v>
      </c>
      <c r="AZ70" s="28"/>
      <c r="BA70" s="28"/>
      <c r="BB70" s="23"/>
      <c r="BC70" s="3"/>
      <c r="BD70" s="3"/>
      <c r="BG70" s="3"/>
    </row>
    <row r="71" spans="1:59" ht="12.75" customHeight="1" x14ac:dyDescent="0.2">
      <c r="A71" s="123"/>
      <c r="B71" s="6"/>
      <c r="C71" s="338">
        <f t="shared" si="40"/>
        <v>18660</v>
      </c>
      <c r="D71" s="461">
        <f t="shared" si="41"/>
        <v>0.3823222078800172</v>
      </c>
      <c r="E71" s="22"/>
      <c r="F71" s="238">
        <f>SUM(F65:F70)</f>
        <v>0</v>
      </c>
      <c r="G71" s="238">
        <f>SUM(G65:G70)</f>
        <v>0</v>
      </c>
      <c r="H71" s="238">
        <f>SUM(H65:H70)</f>
        <v>0</v>
      </c>
      <c r="I71" s="341">
        <f>SUM(I65:I70)</f>
        <v>67467</v>
      </c>
      <c r="J71" s="238">
        <f t="shared" ref="J71:Q71" si="50">SUM(J65:J70)</f>
        <v>72258</v>
      </c>
      <c r="K71" s="238">
        <f t="shared" si="50"/>
        <v>69040</v>
      </c>
      <c r="L71" s="238">
        <f t="shared" si="50"/>
        <v>59706</v>
      </c>
      <c r="M71" s="341">
        <f t="shared" si="50"/>
        <v>48807</v>
      </c>
      <c r="N71" s="238">
        <f t="shared" si="50"/>
        <v>21848</v>
      </c>
      <c r="O71" s="238">
        <f t="shared" si="50"/>
        <v>12748</v>
      </c>
      <c r="P71" s="238">
        <f t="shared" si="50"/>
        <v>9338</v>
      </c>
      <c r="Q71" s="341">
        <f t="shared" si="50"/>
        <v>9246</v>
      </c>
      <c r="R71" s="238">
        <f t="shared" ref="R71:AX71" si="51">SUM(R65:R70)</f>
        <v>34555</v>
      </c>
      <c r="S71" s="238">
        <f t="shared" si="51"/>
        <v>23339</v>
      </c>
      <c r="T71" s="238">
        <f t="shared" si="51"/>
        <v>18338</v>
      </c>
      <c r="U71" s="341">
        <f t="shared" si="51"/>
        <v>16445</v>
      </c>
      <c r="V71" s="238">
        <f t="shared" si="51"/>
        <v>21333</v>
      </c>
      <c r="W71" s="238">
        <f t="shared" si="51"/>
        <v>26421</v>
      </c>
      <c r="X71" s="238">
        <f t="shared" si="51"/>
        <v>13775</v>
      </c>
      <c r="Y71" s="341">
        <f t="shared" si="51"/>
        <v>20925</v>
      </c>
      <c r="Z71" s="237">
        <f t="shared" si="51"/>
        <v>0</v>
      </c>
      <c r="AA71" s="238">
        <f t="shared" si="51"/>
        <v>0</v>
      </c>
      <c r="AB71" s="341">
        <f t="shared" si="51"/>
        <v>0</v>
      </c>
      <c r="AC71" s="341">
        <f t="shared" si="51"/>
        <v>0</v>
      </c>
      <c r="AD71" s="341">
        <f t="shared" si="51"/>
        <v>0</v>
      </c>
      <c r="AE71" s="2">
        <f t="shared" si="51"/>
        <v>0</v>
      </c>
      <c r="AF71" s="2">
        <f t="shared" si="51"/>
        <v>0</v>
      </c>
      <c r="AG71" s="2">
        <f t="shared" si="51"/>
        <v>0</v>
      </c>
      <c r="AH71" s="2">
        <f t="shared" si="51"/>
        <v>0</v>
      </c>
      <c r="AI71" s="2">
        <f t="shared" si="51"/>
        <v>0</v>
      </c>
      <c r="AJ71" s="2">
        <f t="shared" si="51"/>
        <v>0</v>
      </c>
      <c r="AK71" s="2">
        <f t="shared" si="51"/>
        <v>0</v>
      </c>
      <c r="AL71" s="22"/>
      <c r="AM71" s="455">
        <f>SUM(AM65:AM70)</f>
        <v>177553</v>
      </c>
      <c r="AN71" s="343">
        <f>SUM(AN65:AN70)</f>
        <v>31332</v>
      </c>
      <c r="AO71" s="236">
        <f t="shared" si="44"/>
        <v>196631</v>
      </c>
      <c r="AP71" s="111" t="str">
        <f t="shared" si="45"/>
        <v>n.m.</v>
      </c>
      <c r="AR71" s="378">
        <f t="shared" si="51"/>
        <v>249811</v>
      </c>
      <c r="AS71" s="378">
        <f t="shared" si="51"/>
        <v>53180</v>
      </c>
      <c r="AT71" s="378">
        <f t="shared" si="51"/>
        <v>92677</v>
      </c>
      <c r="AU71" s="237">
        <f t="shared" si="51"/>
        <v>82454</v>
      </c>
      <c r="AV71" s="340">
        <f t="shared" si="51"/>
        <v>72926</v>
      </c>
      <c r="AW71" s="343">
        <f t="shared" si="51"/>
        <v>118332</v>
      </c>
      <c r="AX71" s="344">
        <f t="shared" si="51"/>
        <v>129852</v>
      </c>
      <c r="AY71" s="113">
        <f>SUM(AY65:AY70)</f>
        <v>125900</v>
      </c>
      <c r="AZ71" s="28"/>
      <c r="BA71" s="28"/>
      <c r="BB71" s="23"/>
      <c r="BC71" s="3"/>
      <c r="BD71" s="3"/>
      <c r="BG71" s="3"/>
    </row>
    <row r="72" spans="1:59" s="480" customFormat="1" ht="12.75" customHeight="1" x14ac:dyDescent="0.2">
      <c r="A72" s="123"/>
      <c r="B72" s="6"/>
      <c r="C72" s="262"/>
      <c r="D72" s="247"/>
      <c r="E72" s="22"/>
      <c r="F72" s="245"/>
      <c r="G72" s="245"/>
      <c r="H72" s="245"/>
      <c r="I72" s="424"/>
      <c r="J72" s="245"/>
      <c r="K72" s="245"/>
      <c r="L72" s="245"/>
      <c r="M72" s="424"/>
      <c r="N72" s="156"/>
      <c r="O72" s="245"/>
      <c r="P72" s="245"/>
      <c r="Q72" s="424"/>
      <c r="R72" s="156"/>
      <c r="S72" s="245"/>
      <c r="T72" s="245"/>
      <c r="U72" s="424"/>
      <c r="V72" s="156"/>
      <c r="W72" s="424"/>
      <c r="X72" s="424"/>
      <c r="Y72" s="424"/>
      <c r="Z72" s="494"/>
      <c r="AA72" s="494"/>
      <c r="AB72" s="494"/>
      <c r="AC72" s="494"/>
      <c r="AD72" s="494"/>
      <c r="AE72" s="2"/>
      <c r="AF72" s="2"/>
      <c r="AG72" s="2"/>
      <c r="AH72" s="2"/>
      <c r="AI72" s="2"/>
      <c r="AJ72" s="2"/>
      <c r="AK72" s="2"/>
      <c r="AL72" s="22"/>
      <c r="AM72" s="15"/>
      <c r="AN72" s="16"/>
      <c r="AO72" s="440"/>
      <c r="AP72" s="313"/>
      <c r="AR72" s="425"/>
      <c r="AS72" s="425"/>
      <c r="AT72" s="425"/>
      <c r="AU72" s="425"/>
      <c r="AV72" s="284"/>
      <c r="AW72" s="425"/>
      <c r="AX72" s="425"/>
      <c r="AY72" s="488"/>
      <c r="AZ72" s="485"/>
      <c r="BA72" s="485"/>
      <c r="BB72" s="23"/>
    </row>
    <row r="73" spans="1:59" s="480" customFormat="1" ht="13.5" customHeight="1" x14ac:dyDescent="0.2">
      <c r="A73" s="123"/>
      <c r="B73" s="6" t="s">
        <v>267</v>
      </c>
      <c r="C73" s="97">
        <f>I73-M73</f>
        <v>190</v>
      </c>
      <c r="D73" s="322" t="s">
        <v>38</v>
      </c>
      <c r="E73" s="22"/>
      <c r="F73" s="518"/>
      <c r="G73" s="518"/>
      <c r="H73" s="518"/>
      <c r="I73" s="563">
        <v>0</v>
      </c>
      <c r="J73" s="518">
        <v>-276</v>
      </c>
      <c r="K73" s="518">
        <v>-520</v>
      </c>
      <c r="L73" s="518">
        <v>0</v>
      </c>
      <c r="M73" s="253">
        <v>-190</v>
      </c>
      <c r="N73" s="278">
        <v>0</v>
      </c>
      <c r="O73" s="518">
        <v>0</v>
      </c>
      <c r="P73" s="518">
        <v>0</v>
      </c>
      <c r="Q73" s="519">
        <v>0</v>
      </c>
      <c r="R73" s="278">
        <v>0</v>
      </c>
      <c r="S73" s="518">
        <v>0</v>
      </c>
      <c r="T73" s="518">
        <v>0</v>
      </c>
      <c r="U73" s="519">
        <v>0</v>
      </c>
      <c r="V73" s="426" t="s">
        <v>166</v>
      </c>
      <c r="W73" s="427" t="s">
        <v>166</v>
      </c>
      <c r="X73" s="427" t="s">
        <v>166</v>
      </c>
      <c r="Y73" s="427" t="s">
        <v>166</v>
      </c>
      <c r="Z73" s="428"/>
      <c r="AA73" s="428"/>
      <c r="AB73" s="428"/>
      <c r="AC73" s="428"/>
      <c r="AD73" s="428"/>
      <c r="AE73" s="429"/>
      <c r="AF73" s="429"/>
      <c r="AG73" s="429"/>
      <c r="AH73" s="429"/>
      <c r="AI73" s="429"/>
      <c r="AJ73" s="429"/>
      <c r="AK73" s="429"/>
      <c r="AL73" s="513"/>
      <c r="AM73" s="155">
        <f>SUM(K73:M73)</f>
        <v>-710</v>
      </c>
      <c r="AN73" s="518">
        <f>SUM(O73:Q73)</f>
        <v>0</v>
      </c>
      <c r="AO73" s="518">
        <f>AR73-AS73</f>
        <v>-986</v>
      </c>
      <c r="AP73" s="322" t="s">
        <v>38</v>
      </c>
      <c r="AQ73" s="55"/>
      <c r="AR73" s="520">
        <f>SUM(J73:M73)</f>
        <v>-986</v>
      </c>
      <c r="AS73" s="520">
        <f>SUM(N73:Q73)</f>
        <v>0</v>
      </c>
      <c r="AT73" s="520">
        <f>SUM(R73:U73)</f>
        <v>0</v>
      </c>
      <c r="AU73" s="430" t="s">
        <v>166</v>
      </c>
      <c r="AV73" s="431" t="s">
        <v>166</v>
      </c>
      <c r="AW73" s="430" t="s">
        <v>166</v>
      </c>
      <c r="AX73" s="430" t="s">
        <v>166</v>
      </c>
      <c r="AY73" s="488"/>
      <c r="AZ73" s="485"/>
      <c r="BA73" s="485"/>
    </row>
    <row r="74" spans="1:59" ht="12.75" customHeight="1" x14ac:dyDescent="0.2">
      <c r="B74" s="11"/>
      <c r="C74" s="181"/>
      <c r="D74" s="181"/>
      <c r="E74" s="181"/>
      <c r="F74" s="181"/>
      <c r="G74" s="181"/>
      <c r="H74" s="181"/>
      <c r="I74" s="2"/>
      <c r="J74" s="181"/>
      <c r="K74" s="181"/>
      <c r="L74" s="181"/>
      <c r="M74" s="2"/>
      <c r="N74" s="181"/>
      <c r="O74" s="181"/>
      <c r="P74" s="181"/>
      <c r="Q74" s="2"/>
      <c r="R74" s="181"/>
      <c r="S74" s="181"/>
      <c r="T74" s="181"/>
      <c r="U74" s="2"/>
      <c r="V74" s="181"/>
      <c r="W74" s="181"/>
      <c r="X74" s="181"/>
      <c r="Y74" s="2"/>
      <c r="Z74" s="181"/>
      <c r="AA74" s="181"/>
      <c r="AB74" s="181"/>
      <c r="AC74" s="2"/>
      <c r="AG74" s="2"/>
      <c r="AI74" s="2"/>
      <c r="AJ74" s="2"/>
      <c r="AK74" s="182"/>
      <c r="AL74" s="169"/>
      <c r="AM74" s="169"/>
      <c r="AN74" s="169"/>
      <c r="AO74" s="169"/>
      <c r="AP74" s="169"/>
      <c r="AQ74" s="171"/>
      <c r="AR74" s="169"/>
      <c r="AS74" s="169"/>
      <c r="AT74" s="169"/>
      <c r="AU74" s="171"/>
      <c r="AV74" s="171"/>
      <c r="BB74" s="3"/>
      <c r="BC74" s="3"/>
      <c r="BD74" s="3"/>
    </row>
    <row r="75" spans="1:59" x14ac:dyDescent="0.2">
      <c r="A75" s="6" t="s">
        <v>24</v>
      </c>
    </row>
    <row r="76" spans="1:59" ht="4.5" customHeight="1" x14ac:dyDescent="0.2">
      <c r="C76" s="44"/>
      <c r="D76" s="44"/>
      <c r="E76" s="91"/>
      <c r="F76" s="488"/>
      <c r="G76" s="488"/>
      <c r="H76" s="488"/>
      <c r="I76" s="488"/>
      <c r="J76" s="488"/>
      <c r="K76" s="488"/>
      <c r="L76" s="488"/>
      <c r="M76" s="488"/>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379"/>
      <c r="AP76" s="379"/>
      <c r="AQ76" s="140"/>
      <c r="AR76" s="379"/>
      <c r="AS76" s="379"/>
      <c r="AT76" s="379"/>
      <c r="AU76" s="140"/>
      <c r="AV76" s="140"/>
      <c r="AW76" s="140"/>
      <c r="AX76" s="140"/>
      <c r="AY76" s="140"/>
      <c r="BB76" s="3"/>
      <c r="BC76" s="3"/>
      <c r="BD76" s="3"/>
    </row>
    <row r="77" spans="1:59" x14ac:dyDescent="0.2">
      <c r="A77" s="6" t="s">
        <v>280</v>
      </c>
      <c r="B77" s="3"/>
      <c r="C77" s="169"/>
      <c r="D77" s="169"/>
      <c r="E77" s="169"/>
      <c r="F77" s="29"/>
      <c r="G77" s="29"/>
      <c r="H77" s="29"/>
      <c r="I77" s="29"/>
      <c r="J77" s="29"/>
      <c r="K77" s="29"/>
      <c r="L77" s="29"/>
      <c r="M77" s="29"/>
      <c r="N77" s="29"/>
      <c r="O77" s="29"/>
      <c r="P77" s="29"/>
      <c r="Q77" s="29"/>
      <c r="R77" s="29"/>
      <c r="S77" s="29"/>
      <c r="T77" s="29"/>
    </row>
    <row r="78" spans="1:59" x14ac:dyDescent="0.2">
      <c r="C78" s="44"/>
      <c r="D78" s="44"/>
      <c r="E78" s="91"/>
      <c r="F78" s="483"/>
      <c r="G78" s="483"/>
      <c r="H78" s="483"/>
      <c r="I78" s="480"/>
      <c r="J78" s="483"/>
      <c r="K78" s="483"/>
      <c r="L78" s="483"/>
      <c r="M78" s="480"/>
      <c r="N78" s="91"/>
      <c r="O78" s="91"/>
      <c r="P78" s="91"/>
      <c r="Q78" s="407"/>
      <c r="R78" s="91"/>
      <c r="S78" s="91"/>
      <c r="T78" s="91"/>
      <c r="U78" s="407"/>
      <c r="V78" s="91"/>
      <c r="W78" s="91"/>
      <c r="X78" s="91"/>
      <c r="Y78" s="407"/>
      <c r="Z78" s="91"/>
      <c r="AA78" s="91"/>
      <c r="AB78" s="91"/>
      <c r="AK78" s="28"/>
      <c r="AL78" s="91"/>
      <c r="AM78" s="91"/>
      <c r="AN78" s="91"/>
      <c r="AO78" s="180"/>
      <c r="AP78" s="508"/>
      <c r="AQ78" s="483"/>
      <c r="AR78" s="392"/>
      <c r="AS78" s="392"/>
      <c r="AT78" s="370"/>
      <c r="AU78" s="483"/>
      <c r="AV78" s="483"/>
      <c r="AW78" s="481"/>
      <c r="AX78" s="507"/>
      <c r="AY78" s="481"/>
      <c r="AZ78" s="481"/>
      <c r="BA78" s="481"/>
      <c r="BB78" s="481"/>
      <c r="BC78" s="481"/>
      <c r="BD78" s="481"/>
      <c r="BE78" s="481"/>
    </row>
    <row r="79" spans="1:59" x14ac:dyDescent="0.2">
      <c r="C79" s="44"/>
      <c r="D79" s="44"/>
      <c r="E79" s="91"/>
      <c r="F79" s="483"/>
      <c r="G79" s="483"/>
      <c r="H79" s="483"/>
      <c r="I79" s="480"/>
      <c r="J79" s="483"/>
      <c r="K79" s="483"/>
      <c r="L79" s="483"/>
      <c r="M79" s="480"/>
      <c r="N79" s="91"/>
      <c r="O79" s="91"/>
      <c r="P79" s="91"/>
      <c r="Q79" s="407"/>
      <c r="R79" s="91"/>
      <c r="S79" s="91"/>
      <c r="T79" s="91"/>
      <c r="U79" s="407"/>
      <c r="V79" s="91"/>
      <c r="W79" s="91"/>
      <c r="X79" s="91"/>
      <c r="Y79" s="407"/>
      <c r="Z79" s="91"/>
      <c r="AA79" s="91"/>
      <c r="AB79" s="91"/>
      <c r="AK79" s="28"/>
      <c r="AL79" s="91"/>
      <c r="AM79" s="91"/>
      <c r="AN79" s="91"/>
      <c r="AO79" s="370"/>
      <c r="AP79" s="370"/>
      <c r="AQ79" s="483"/>
      <c r="AR79" s="392"/>
      <c r="AS79" s="392"/>
      <c r="AT79" s="370"/>
      <c r="AU79" s="483"/>
      <c r="AV79" s="483"/>
      <c r="AW79" s="481"/>
      <c r="AX79" s="6"/>
      <c r="AY79" s="481"/>
      <c r="AZ79" s="481"/>
      <c r="BA79" s="481"/>
      <c r="BB79" s="481"/>
      <c r="BC79" s="481"/>
      <c r="BD79" s="481"/>
      <c r="BE79" s="481"/>
    </row>
    <row r="80" spans="1:59" x14ac:dyDescent="0.2">
      <c r="I80" s="480"/>
      <c r="M80" s="480"/>
      <c r="Q80" s="407"/>
      <c r="U80" s="407"/>
      <c r="Y80" s="407"/>
      <c r="AK80" s="9"/>
      <c r="AL80" s="3"/>
      <c r="AM80" s="3"/>
      <c r="AN80" s="3"/>
      <c r="AO80" s="259"/>
      <c r="AP80" s="508"/>
      <c r="AQ80" s="481"/>
      <c r="AR80" s="535"/>
      <c r="AS80" s="535"/>
      <c r="AT80" s="366"/>
      <c r="AU80" s="481"/>
      <c r="AV80" s="481"/>
      <c r="AW80" s="481"/>
      <c r="AX80" s="29"/>
      <c r="AY80" s="481"/>
      <c r="AZ80" s="507"/>
      <c r="BA80" s="481"/>
      <c r="BB80" s="481"/>
      <c r="BC80" s="481"/>
      <c r="BD80" s="481"/>
      <c r="BE80" s="481"/>
    </row>
    <row r="81" spans="9:57" x14ac:dyDescent="0.2">
      <c r="I81" s="480"/>
      <c r="M81" s="480"/>
      <c r="Q81" s="407"/>
      <c r="U81" s="407"/>
      <c r="Y81" s="407"/>
      <c r="AK81" s="30"/>
      <c r="AL81" s="3"/>
      <c r="AM81" s="3"/>
      <c r="AN81" s="3"/>
      <c r="AO81" s="366"/>
      <c r="AP81" s="366"/>
      <c r="AQ81" s="481"/>
      <c r="AR81" s="366"/>
      <c r="AS81" s="366"/>
      <c r="AT81" s="366"/>
      <c r="AU81" s="481"/>
      <c r="AV81" s="481"/>
      <c r="AW81" s="481"/>
      <c r="AX81" s="2"/>
      <c r="AY81" s="481"/>
      <c r="AZ81" s="29"/>
      <c r="BA81" s="481"/>
      <c r="BB81" s="481"/>
      <c r="BC81" s="481"/>
      <c r="BD81" s="481"/>
      <c r="BE81" s="481"/>
    </row>
    <row r="82" spans="9:57" x14ac:dyDescent="0.2">
      <c r="I82" s="480"/>
      <c r="M82" s="480"/>
      <c r="Q82" s="407"/>
      <c r="U82" s="29">
        <f t="shared" ref="U82:AK82" si="52">U71-U16</f>
        <v>0</v>
      </c>
      <c r="V82" s="29">
        <f t="shared" si="52"/>
        <v>0</v>
      </c>
      <c r="W82" s="29">
        <f t="shared" si="52"/>
        <v>0</v>
      </c>
      <c r="X82" s="29">
        <f t="shared" si="52"/>
        <v>0</v>
      </c>
      <c r="Y82" s="29">
        <f t="shared" si="52"/>
        <v>0</v>
      </c>
      <c r="Z82" s="29">
        <f t="shared" si="52"/>
        <v>0</v>
      </c>
      <c r="AA82" s="29">
        <f t="shared" si="52"/>
        <v>0</v>
      </c>
      <c r="AB82" s="29">
        <f t="shared" si="52"/>
        <v>0</v>
      </c>
      <c r="AC82" s="29">
        <f t="shared" si="52"/>
        <v>0</v>
      </c>
      <c r="AD82" s="29">
        <f t="shared" si="52"/>
        <v>0</v>
      </c>
      <c r="AE82" s="29">
        <f t="shared" si="52"/>
        <v>0</v>
      </c>
      <c r="AF82" s="29">
        <f t="shared" si="52"/>
        <v>0</v>
      </c>
      <c r="AG82" s="29">
        <f t="shared" si="52"/>
        <v>0</v>
      </c>
      <c r="AH82" s="29">
        <f t="shared" si="52"/>
        <v>0</v>
      </c>
      <c r="AI82" s="29">
        <f t="shared" si="52"/>
        <v>0</v>
      </c>
      <c r="AJ82" s="29">
        <f t="shared" si="52"/>
        <v>0</v>
      </c>
      <c r="AK82" s="29">
        <f t="shared" si="52"/>
        <v>0</v>
      </c>
      <c r="AL82" s="29"/>
      <c r="AM82" s="29"/>
      <c r="AN82" s="29"/>
      <c r="AO82" s="369"/>
      <c r="AP82" s="369"/>
      <c r="AQ82" s="29"/>
      <c r="AR82" s="369"/>
      <c r="AS82" s="369"/>
      <c r="AT82" s="369"/>
      <c r="AU82" s="29"/>
      <c r="AV82" s="29"/>
      <c r="AW82" s="29"/>
      <c r="AX82" s="29"/>
      <c r="AY82" s="29"/>
      <c r="AZ82" s="481"/>
      <c r="BA82" s="481"/>
      <c r="BB82" s="481"/>
      <c r="BC82" s="481"/>
      <c r="BD82" s="481"/>
      <c r="BE82" s="481"/>
    </row>
    <row r="83" spans="9:57" x14ac:dyDescent="0.2">
      <c r="I83" s="480"/>
      <c r="M83" s="480"/>
      <c r="Q83" s="407"/>
      <c r="U83" s="407"/>
      <c r="Y83" s="407"/>
      <c r="AK83" s="2"/>
      <c r="AL83" s="3"/>
      <c r="AM83" s="3"/>
      <c r="AN83" s="3"/>
      <c r="AO83" s="366"/>
      <c r="AP83" s="366"/>
      <c r="AQ83" s="481"/>
      <c r="AR83" s="366"/>
      <c r="AS83" s="366"/>
      <c r="AT83" s="366"/>
      <c r="AU83" s="481"/>
      <c r="AV83" s="481"/>
      <c r="AW83" s="481"/>
      <c r="AX83" s="29"/>
      <c r="AY83" s="481"/>
      <c r="AZ83" s="481"/>
      <c r="BA83" s="481"/>
      <c r="BB83" s="481"/>
      <c r="BC83" s="481"/>
      <c r="BD83" s="481"/>
      <c r="BE83" s="481"/>
    </row>
    <row r="84" spans="9:57" x14ac:dyDescent="0.2">
      <c r="AC84" s="3"/>
      <c r="AD84" s="3"/>
      <c r="AH84" s="3"/>
      <c r="AK84" s="6"/>
      <c r="AL84" s="3"/>
      <c r="AM84" s="3"/>
      <c r="AN84" s="3"/>
      <c r="AO84" s="366"/>
      <c r="AP84" s="366"/>
      <c r="AQ84" s="481"/>
      <c r="AR84" s="366"/>
      <c r="AS84" s="366"/>
      <c r="AT84" s="366"/>
      <c r="AU84" s="481"/>
      <c r="AV84" s="481"/>
      <c r="AW84" s="481"/>
      <c r="AX84" s="29"/>
      <c r="AY84" s="481"/>
      <c r="AZ84" s="481"/>
      <c r="BA84" s="481"/>
      <c r="BB84" s="481"/>
      <c r="BC84" s="481"/>
      <c r="BD84" s="481"/>
      <c r="BE84" s="481"/>
    </row>
    <row r="85" spans="9:57" x14ac:dyDescent="0.2">
      <c r="I85" s="480"/>
      <c r="M85" s="480"/>
      <c r="Q85" s="407"/>
      <c r="U85" s="407"/>
      <c r="Y85" s="407"/>
      <c r="AK85" s="29"/>
      <c r="AL85" s="3"/>
      <c r="AM85" s="3"/>
      <c r="AN85" s="3"/>
      <c r="AO85" s="366"/>
      <c r="AP85" s="366"/>
      <c r="AQ85" s="481"/>
      <c r="AR85" s="366"/>
      <c r="AS85" s="366"/>
      <c r="AT85" s="366"/>
      <c r="AU85" s="481"/>
      <c r="AV85" s="481"/>
      <c r="AW85" s="481"/>
      <c r="AX85" s="9"/>
      <c r="AY85" s="481"/>
      <c r="AZ85" s="481"/>
      <c r="BA85" s="481"/>
      <c r="BB85" s="481"/>
      <c r="BC85" s="481"/>
      <c r="BD85" s="481"/>
      <c r="BE85" s="481"/>
    </row>
    <row r="86" spans="9:57" x14ac:dyDescent="0.2">
      <c r="I86" s="480"/>
      <c r="M86" s="480"/>
      <c r="Q86" s="407"/>
      <c r="U86" s="407"/>
      <c r="Y86" s="407"/>
      <c r="AK86" s="35"/>
      <c r="AL86" s="3"/>
      <c r="AM86" s="3"/>
      <c r="AN86" s="3"/>
      <c r="AO86" s="366"/>
      <c r="AP86" s="366"/>
      <c r="AQ86" s="481"/>
      <c r="AR86" s="366"/>
      <c r="AS86" s="366"/>
      <c r="AT86" s="366"/>
      <c r="AU86" s="481"/>
      <c r="AV86" s="481"/>
      <c r="AW86" s="481"/>
      <c r="AX86" s="32"/>
      <c r="AY86" s="481"/>
      <c r="AZ86" s="481"/>
      <c r="BA86" s="481"/>
      <c r="BB86" s="481"/>
      <c r="BC86" s="481"/>
      <c r="BD86" s="481"/>
      <c r="BE86" s="481"/>
    </row>
    <row r="87" spans="9:57" x14ac:dyDescent="0.2">
      <c r="I87" s="480"/>
      <c r="M87" s="480"/>
      <c r="Q87" s="407"/>
      <c r="U87" s="407"/>
      <c r="Y87" s="407"/>
      <c r="AK87" s="35"/>
      <c r="AL87" s="3"/>
      <c r="AM87" s="3"/>
      <c r="AN87" s="3"/>
      <c r="AO87" s="366"/>
      <c r="AP87" s="366"/>
      <c r="AQ87" s="481"/>
      <c r="AR87" s="366"/>
      <c r="AS87" s="366"/>
      <c r="AT87" s="366"/>
      <c r="AU87" s="481"/>
      <c r="AV87" s="481"/>
      <c r="AW87" s="481"/>
      <c r="AX87" s="32"/>
      <c r="AY87" s="481"/>
      <c r="AZ87" s="481"/>
      <c r="BA87" s="481"/>
      <c r="BB87" s="481"/>
      <c r="BC87" s="481"/>
      <c r="BD87" s="481"/>
      <c r="BE87" s="481"/>
    </row>
    <row r="88" spans="9:57" x14ac:dyDescent="0.2">
      <c r="I88" s="480"/>
      <c r="M88" s="480"/>
      <c r="Q88" s="407"/>
      <c r="U88" s="407"/>
      <c r="Y88" s="407"/>
      <c r="AK88" s="35"/>
      <c r="AL88" s="3"/>
      <c r="AM88" s="3"/>
      <c r="AN88" s="3"/>
      <c r="AO88" s="366"/>
      <c r="AP88" s="366"/>
      <c r="AQ88" s="481"/>
      <c r="AR88" s="366"/>
      <c r="AS88" s="366"/>
      <c r="AT88" s="366"/>
      <c r="AU88" s="481"/>
      <c r="AV88" s="481"/>
      <c r="AW88" s="481"/>
      <c r="AX88" s="32"/>
      <c r="AY88" s="481"/>
      <c r="AZ88" s="481"/>
      <c r="BA88" s="481"/>
      <c r="BB88" s="481"/>
      <c r="BC88" s="481"/>
      <c r="BD88" s="481"/>
      <c r="BE88" s="481"/>
    </row>
    <row r="89" spans="9:57" x14ac:dyDescent="0.2">
      <c r="I89" s="480"/>
      <c r="M89" s="480"/>
      <c r="Q89" s="407"/>
      <c r="U89" s="407"/>
      <c r="Y89" s="407"/>
      <c r="AK89" s="32"/>
      <c r="AL89" s="3"/>
      <c r="AM89" s="3"/>
      <c r="AN89" s="3"/>
      <c r="AO89" s="366"/>
      <c r="AP89" s="366"/>
      <c r="AQ89" s="481"/>
      <c r="AR89" s="366"/>
      <c r="AS89" s="366"/>
      <c r="AT89" s="366"/>
      <c r="AU89" s="481"/>
      <c r="AV89" s="481"/>
      <c r="AW89" s="481"/>
      <c r="AX89" s="33"/>
      <c r="AY89" s="481"/>
      <c r="AZ89" s="481"/>
      <c r="BA89" s="481"/>
      <c r="BB89" s="481"/>
      <c r="BC89" s="481"/>
      <c r="BD89" s="481"/>
      <c r="BE89" s="481"/>
    </row>
    <row r="90" spans="9:57" x14ac:dyDescent="0.2">
      <c r="I90" s="480"/>
      <c r="M90" s="480"/>
      <c r="Q90" s="407"/>
      <c r="U90" s="407"/>
      <c r="Y90" s="407"/>
      <c r="AK90" s="33"/>
      <c r="AL90" s="3"/>
      <c r="AM90" s="3"/>
      <c r="AN90" s="3"/>
      <c r="AO90" s="366"/>
      <c r="AP90" s="366"/>
      <c r="AQ90" s="481"/>
      <c r="AR90" s="366"/>
      <c r="AS90" s="366"/>
      <c r="AT90" s="366"/>
      <c r="AU90" s="481"/>
      <c r="AV90" s="481"/>
      <c r="AW90" s="33"/>
      <c r="AX90" s="33"/>
      <c r="AY90" s="481"/>
      <c r="AZ90" s="481"/>
      <c r="BA90" s="481"/>
      <c r="BB90" s="481"/>
      <c r="BC90" s="481"/>
      <c r="BD90" s="481"/>
      <c r="BE90" s="481"/>
    </row>
    <row r="91" spans="9:57" x14ac:dyDescent="0.2">
      <c r="I91" s="480"/>
      <c r="M91" s="480"/>
      <c r="Q91" s="407"/>
      <c r="U91" s="407"/>
      <c r="Y91" s="407"/>
      <c r="AK91" s="33"/>
      <c r="AL91" s="3"/>
      <c r="AM91" s="3"/>
      <c r="AN91" s="3"/>
      <c r="AR91" s="366"/>
      <c r="AS91" s="366"/>
      <c r="AT91" s="366"/>
      <c r="AW91" s="3"/>
      <c r="AX91" s="3"/>
    </row>
    <row r="92" spans="9:57" x14ac:dyDescent="0.2">
      <c r="I92" s="480"/>
      <c r="M92" s="480"/>
      <c r="Q92" s="407"/>
      <c r="U92" s="407"/>
      <c r="Y92" s="407"/>
      <c r="AK92" s="3"/>
      <c r="AL92" s="3"/>
      <c r="AM92" s="3"/>
      <c r="AN92" s="3"/>
      <c r="AR92" s="366"/>
      <c r="AS92" s="366"/>
      <c r="AT92" s="366"/>
      <c r="AW92" s="3"/>
      <c r="AX92" s="3"/>
    </row>
    <row r="93" spans="9:57" x14ac:dyDescent="0.2">
      <c r="I93" s="480"/>
      <c r="M93" s="480"/>
      <c r="Q93" s="407"/>
      <c r="U93" s="407"/>
      <c r="Y93" s="407"/>
      <c r="AK93" s="3"/>
      <c r="AL93" s="3"/>
      <c r="AM93" s="3"/>
      <c r="AN93" s="3"/>
      <c r="AR93" s="366"/>
      <c r="AS93" s="366"/>
      <c r="AT93" s="366"/>
      <c r="AW93" s="3"/>
      <c r="AX93" s="3"/>
    </row>
    <row r="94" spans="9:57" x14ac:dyDescent="0.2">
      <c r="I94" s="480"/>
      <c r="M94" s="480"/>
      <c r="Q94" s="407"/>
      <c r="U94" s="407"/>
      <c r="Y94" s="407"/>
      <c r="AK94" s="3"/>
      <c r="AL94" s="3"/>
      <c r="AM94" s="3"/>
      <c r="AN94" s="3"/>
      <c r="AR94" s="366"/>
      <c r="AS94" s="366"/>
      <c r="AT94" s="366"/>
      <c r="AW94" s="3"/>
      <c r="AX94" s="3"/>
    </row>
    <row r="95" spans="9:57" x14ac:dyDescent="0.2">
      <c r="I95" s="480"/>
      <c r="M95" s="480"/>
      <c r="Q95" s="407"/>
      <c r="U95" s="407"/>
      <c r="Y95" s="407"/>
      <c r="AK95" s="3"/>
      <c r="AL95" s="3"/>
      <c r="AM95" s="3"/>
      <c r="AN95" s="3"/>
      <c r="AR95" s="366"/>
      <c r="AS95" s="366"/>
      <c r="AT95" s="366"/>
      <c r="AW95" s="3"/>
      <c r="AX95" s="3"/>
    </row>
    <row r="96" spans="9:57" x14ac:dyDescent="0.2">
      <c r="I96" s="480"/>
      <c r="M96" s="480"/>
      <c r="Q96" s="407"/>
      <c r="U96" s="407"/>
      <c r="Y96" s="407"/>
      <c r="AK96" s="3"/>
      <c r="AL96" s="3"/>
      <c r="AM96" s="3"/>
      <c r="AN96" s="3"/>
      <c r="AR96" s="366"/>
      <c r="AS96" s="366"/>
      <c r="AT96" s="366"/>
    </row>
    <row r="97" spans="9:25" x14ac:dyDescent="0.2">
      <c r="I97" s="480"/>
      <c r="M97" s="480"/>
      <c r="Q97" s="407"/>
      <c r="U97" s="407"/>
      <c r="Y97" s="407"/>
    </row>
  </sheetData>
  <mergeCells count="11">
    <mergeCell ref="C56:D56"/>
    <mergeCell ref="C10:D10"/>
    <mergeCell ref="C11:D11"/>
    <mergeCell ref="AO11:AP11"/>
    <mergeCell ref="A36:B36"/>
    <mergeCell ref="A42:B42"/>
    <mergeCell ref="C57:D57"/>
    <mergeCell ref="AO57:AP57"/>
    <mergeCell ref="C63:D63"/>
    <mergeCell ref="C64:D64"/>
    <mergeCell ref="AO64:AP64"/>
  </mergeCells>
  <conditionalFormatting sqref="AZ81 AQ46:AQ51 AU46:AX51 A46:A47 A54:A55 Z51:AB51 X51 A62 A70:A73 C51:E51 X46:AK50 AP46:AP50 D46:E50 AL46:AN51 AT48:AW48 J46:W51 AS46:AS51 AR46:AT50">
    <cfRule type="cellIs" dxfId="14" priority="5" stopIfTrue="1" operator="equal">
      <formula>0</formula>
    </cfRule>
  </conditionalFormatting>
  <conditionalFormatting sqref="A72:A73">
    <cfRule type="cellIs" dxfId="13" priority="4" stopIfTrue="1" operator="equal">
      <formula>0</formula>
    </cfRule>
  </conditionalFormatting>
  <conditionalFormatting sqref="AR51">
    <cfRule type="cellIs" dxfId="12" priority="2" stopIfTrue="1" operator="equal">
      <formula>0</formula>
    </cfRule>
  </conditionalFormatting>
  <conditionalFormatting sqref="F46:I51">
    <cfRule type="cellIs" dxfId="11" priority="1" stopIfTrue="1" operator="equal">
      <formula>0</formula>
    </cfRule>
  </conditionalFormatting>
  <printOptions horizontalCentered="1"/>
  <pageMargins left="0.3" right="0.3" top="0.4" bottom="0.6" header="0" footer="0.3"/>
  <pageSetup scale="59" orientation="landscape" r:id="rId1"/>
  <headerFooter alignWithMargins="0">
    <oddFooter>&amp;L&amp;F&amp;CPage 8</oddFooter>
  </headerFooter>
  <colBreaks count="1" manualBreakCount="1">
    <brk id="51" max="61"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I96"/>
  <sheetViews>
    <sheetView workbookViewId="0"/>
  </sheetViews>
  <sheetFormatPr defaultRowHeight="12.75" outlineLevelRow="1" x14ac:dyDescent="0.2"/>
  <cols>
    <col min="1" max="1" width="2.7109375" customWidth="1"/>
    <col min="2" max="2" width="45" customWidth="1"/>
    <col min="3" max="3" width="9.5703125" customWidth="1"/>
    <col min="4" max="4" width="9.7109375" customWidth="1"/>
    <col min="5" max="5" width="1.5703125" style="3" customWidth="1"/>
    <col min="6" max="8" width="9" style="481" hidden="1" customWidth="1"/>
    <col min="9" max="13" width="9" style="481" customWidth="1"/>
    <col min="14" max="17" width="9" style="3" customWidth="1"/>
    <col min="18" max="27" width="9" style="3" hidden="1" customWidth="1"/>
    <col min="28" max="28" width="9.7109375" style="3" hidden="1" customWidth="1"/>
    <col min="29" max="37" width="9.7109375" hidden="1" customWidth="1"/>
    <col min="38" max="38" width="1.5703125" customWidth="1"/>
    <col min="39" max="40" width="9.42578125" style="407" hidden="1" customWidth="1"/>
    <col min="41" max="42" width="9.42578125" style="64" hidden="1" customWidth="1"/>
    <col min="43" max="43" width="1.5703125" hidden="1" customWidth="1"/>
    <col min="44" max="46" width="9.7109375" style="64" customWidth="1"/>
    <col min="47" max="48" width="9.7109375" customWidth="1"/>
    <col min="49" max="53" width="9.7109375" hidden="1" customWidth="1"/>
    <col min="54" max="54" width="1.5703125" customWidth="1"/>
  </cols>
  <sheetData>
    <row r="1" spans="1:61" x14ac:dyDescent="0.2">
      <c r="AB1" s="260"/>
    </row>
    <row r="2" spans="1:61" x14ac:dyDescent="0.2">
      <c r="AB2" s="260"/>
    </row>
    <row r="3" spans="1:61" x14ac:dyDescent="0.2">
      <c r="AB3" s="260"/>
    </row>
    <row r="4" spans="1:61" x14ac:dyDescent="0.2">
      <c r="Z4" s="2"/>
      <c r="AB4" s="260"/>
    </row>
    <row r="5" spans="1:61" x14ac:dyDescent="0.2">
      <c r="A5" s="3"/>
      <c r="B5" s="3"/>
      <c r="C5" s="3"/>
      <c r="D5" s="3"/>
      <c r="Z5" s="2"/>
      <c r="AB5" s="260"/>
      <c r="AC5" s="3"/>
      <c r="AD5" s="3"/>
      <c r="AE5" s="3"/>
      <c r="AR5" s="533"/>
    </row>
    <row r="6" spans="1:61" ht="18" customHeight="1" x14ac:dyDescent="0.2">
      <c r="A6" s="81" t="s">
        <v>90</v>
      </c>
      <c r="B6" s="3"/>
      <c r="C6" s="3"/>
      <c r="D6" s="3"/>
      <c r="Z6" s="2"/>
      <c r="AB6" s="260"/>
      <c r="AC6" s="3"/>
      <c r="AD6" s="3"/>
      <c r="AE6" s="3"/>
    </row>
    <row r="7" spans="1:61" ht="18" customHeight="1" x14ac:dyDescent="0.2">
      <c r="A7" s="81" t="s">
        <v>197</v>
      </c>
      <c r="B7" s="3"/>
      <c r="C7" s="3"/>
      <c r="D7" s="3"/>
      <c r="Z7" s="2"/>
      <c r="AB7" s="260"/>
      <c r="AC7" s="3"/>
      <c r="AD7" s="3"/>
      <c r="AE7" s="3"/>
    </row>
    <row r="8" spans="1:61" s="480" customFormat="1" x14ac:dyDescent="0.2">
      <c r="A8" s="510" t="s">
        <v>237</v>
      </c>
      <c r="B8" s="481"/>
      <c r="C8" s="481"/>
      <c r="D8" s="481"/>
      <c r="E8" s="481"/>
      <c r="F8" s="481"/>
      <c r="G8" s="481"/>
      <c r="H8" s="481"/>
      <c r="I8" s="481"/>
      <c r="J8" s="481"/>
      <c r="K8" s="481"/>
      <c r="L8" s="481"/>
      <c r="M8" s="481"/>
      <c r="N8" s="534"/>
      <c r="O8" s="534"/>
      <c r="P8" s="534"/>
      <c r="Q8" s="534"/>
      <c r="R8" s="481"/>
      <c r="S8" s="481"/>
      <c r="T8" s="481"/>
      <c r="U8" s="481"/>
      <c r="V8" s="481"/>
      <c r="W8" s="481"/>
      <c r="X8" s="481"/>
      <c r="Y8" s="481"/>
      <c r="Z8" s="2"/>
      <c r="AA8" s="481"/>
      <c r="AB8" s="260"/>
      <c r="AC8" s="481"/>
      <c r="AD8" s="481"/>
      <c r="AE8" s="481"/>
      <c r="AO8" s="64"/>
      <c r="AP8" s="64"/>
      <c r="AR8" s="533"/>
      <c r="AS8" s="64"/>
      <c r="AT8" s="64"/>
    </row>
    <row r="9" spans="1:61" ht="9.75" customHeight="1" x14ac:dyDescent="0.2">
      <c r="A9" s="2"/>
      <c r="B9" s="2"/>
      <c r="C9" s="2"/>
      <c r="D9" s="2"/>
      <c r="E9" s="2"/>
      <c r="F9" s="2"/>
      <c r="G9" s="2"/>
      <c r="H9" s="2"/>
      <c r="I9" s="2"/>
      <c r="J9" s="2"/>
      <c r="K9" s="2"/>
      <c r="L9" s="2"/>
      <c r="M9" s="2"/>
      <c r="N9" s="281"/>
      <c r="O9" s="2"/>
      <c r="P9" s="2"/>
      <c r="Q9" s="2"/>
      <c r="R9" s="281"/>
      <c r="S9" s="2"/>
      <c r="T9" s="281"/>
      <c r="U9" s="2"/>
      <c r="V9" s="281"/>
      <c r="W9" s="2"/>
      <c r="X9" s="281"/>
      <c r="Y9" s="2"/>
      <c r="Z9" s="281"/>
      <c r="AA9" s="2"/>
      <c r="AB9" s="2"/>
      <c r="AC9" s="3"/>
      <c r="AD9" s="3"/>
      <c r="AE9" s="3"/>
      <c r="AO9" s="366"/>
      <c r="AP9" s="366"/>
      <c r="AR9" s="366"/>
      <c r="AS9" s="366"/>
      <c r="AT9" s="366"/>
      <c r="AY9" s="3"/>
      <c r="AZ9" s="3"/>
      <c r="BA9" s="3"/>
    </row>
    <row r="10" spans="1:61" x14ac:dyDescent="0.2">
      <c r="A10" s="5" t="s">
        <v>1</v>
      </c>
      <c r="B10" s="6"/>
      <c r="C10" s="2431" t="s">
        <v>293</v>
      </c>
      <c r="D10" s="2432"/>
      <c r="E10" s="184"/>
      <c r="F10" s="273"/>
      <c r="G10" s="273"/>
      <c r="H10" s="273"/>
      <c r="I10" s="17"/>
      <c r="J10" s="273"/>
      <c r="K10" s="273"/>
      <c r="L10" s="273"/>
      <c r="M10" s="17"/>
      <c r="N10" s="15"/>
      <c r="O10" s="16"/>
      <c r="P10" s="273"/>
      <c r="Q10" s="17"/>
      <c r="R10" s="15"/>
      <c r="S10" s="16"/>
      <c r="T10" s="273"/>
      <c r="U10" s="17"/>
      <c r="V10" s="481"/>
      <c r="W10" s="16"/>
      <c r="X10" s="2"/>
      <c r="Y10" s="17"/>
      <c r="Z10" s="16"/>
      <c r="AA10" s="481"/>
      <c r="AB10" s="273"/>
      <c r="AC10" s="17"/>
      <c r="AD10" s="16"/>
      <c r="AE10" s="16"/>
      <c r="AF10" s="16"/>
      <c r="AG10" s="16"/>
      <c r="AH10" s="20"/>
      <c r="AI10" s="17"/>
      <c r="AJ10" s="17"/>
      <c r="AK10" s="17"/>
      <c r="AL10" s="22"/>
      <c r="AM10" s="445" t="s">
        <v>281</v>
      </c>
      <c r="AN10" s="433"/>
      <c r="AO10" s="433" t="s">
        <v>266</v>
      </c>
      <c r="AP10" s="434"/>
      <c r="AQ10" s="13"/>
      <c r="AR10" s="530"/>
      <c r="AS10" s="464"/>
      <c r="AT10" s="402"/>
      <c r="AU10" s="46"/>
      <c r="AV10" s="46"/>
      <c r="AW10" s="15"/>
      <c r="AX10" s="20"/>
      <c r="AY10" s="46"/>
      <c r="AZ10" s="215"/>
      <c r="BA10" s="466"/>
      <c r="BB10" s="23"/>
    </row>
    <row r="11" spans="1:61" ht="13.5" x14ac:dyDescent="0.2">
      <c r="A11" s="5" t="s">
        <v>2</v>
      </c>
      <c r="B11" s="6"/>
      <c r="C11" s="2433" t="s">
        <v>35</v>
      </c>
      <c r="D11" s="2434"/>
      <c r="E11" s="355"/>
      <c r="F11" s="19" t="s">
        <v>296</v>
      </c>
      <c r="G11" s="19" t="s">
        <v>295</v>
      </c>
      <c r="H11" s="19" t="s">
        <v>294</v>
      </c>
      <c r="I11" s="12" t="s">
        <v>292</v>
      </c>
      <c r="J11" s="19" t="s">
        <v>252</v>
      </c>
      <c r="K11" s="19" t="s">
        <v>253</v>
      </c>
      <c r="L11" s="19" t="s">
        <v>254</v>
      </c>
      <c r="M11" s="12" t="s">
        <v>255</v>
      </c>
      <c r="N11" s="18" t="s">
        <v>202</v>
      </c>
      <c r="O11" s="19" t="s">
        <v>203</v>
      </c>
      <c r="P11" s="19" t="s">
        <v>204</v>
      </c>
      <c r="Q11" s="12" t="s">
        <v>201</v>
      </c>
      <c r="R11" s="18" t="s">
        <v>173</v>
      </c>
      <c r="S11" s="19" t="s">
        <v>174</v>
      </c>
      <c r="T11" s="19" t="s">
        <v>175</v>
      </c>
      <c r="U11" s="12" t="s">
        <v>176</v>
      </c>
      <c r="V11" s="19" t="s">
        <v>109</v>
      </c>
      <c r="W11" s="19" t="s">
        <v>108</v>
      </c>
      <c r="X11" s="19" t="s">
        <v>107</v>
      </c>
      <c r="Y11" s="12" t="s">
        <v>106</v>
      </c>
      <c r="Z11" s="19" t="s">
        <v>78</v>
      </c>
      <c r="AA11" s="19" t="s">
        <v>79</v>
      </c>
      <c r="AB11" s="19" t="s">
        <v>80</v>
      </c>
      <c r="AC11" s="12" t="s">
        <v>26</v>
      </c>
      <c r="AD11" s="19" t="s">
        <v>27</v>
      </c>
      <c r="AE11" s="19" t="s">
        <v>28</v>
      </c>
      <c r="AF11" s="19" t="s">
        <v>29</v>
      </c>
      <c r="AG11" s="19" t="s">
        <v>30</v>
      </c>
      <c r="AH11" s="21" t="s">
        <v>31</v>
      </c>
      <c r="AI11" s="12" t="s">
        <v>32</v>
      </c>
      <c r="AJ11" s="12" t="s">
        <v>33</v>
      </c>
      <c r="AK11" s="12" t="s">
        <v>34</v>
      </c>
      <c r="AL11" s="184"/>
      <c r="AM11" s="19" t="s">
        <v>253</v>
      </c>
      <c r="AN11" s="19" t="s">
        <v>203</v>
      </c>
      <c r="AO11" s="2436" t="s">
        <v>35</v>
      </c>
      <c r="AP11" s="2437"/>
      <c r="AQ11" s="401"/>
      <c r="AR11" s="18" t="s">
        <v>257</v>
      </c>
      <c r="AS11" s="18" t="s">
        <v>206</v>
      </c>
      <c r="AT11" s="18" t="s">
        <v>111</v>
      </c>
      <c r="AU11" s="18" t="s">
        <v>110</v>
      </c>
      <c r="AV11" s="18" t="s">
        <v>39</v>
      </c>
      <c r="AW11" s="18" t="s">
        <v>36</v>
      </c>
      <c r="AX11" s="21" t="s">
        <v>37</v>
      </c>
      <c r="AY11" s="21" t="s">
        <v>128</v>
      </c>
      <c r="AZ11" s="21" t="s">
        <v>129</v>
      </c>
      <c r="BA11" s="158" t="s">
        <v>130</v>
      </c>
      <c r="BB11" s="23"/>
      <c r="BC11" s="3"/>
      <c r="BD11" s="3"/>
      <c r="BG11" s="3"/>
      <c r="BH11" s="3"/>
      <c r="BI11" s="3"/>
    </row>
    <row r="12" spans="1:61" s="407" customFormat="1" x14ac:dyDescent="0.2">
      <c r="A12" s="5"/>
      <c r="B12" s="6"/>
      <c r="C12" s="417"/>
      <c r="D12" s="416"/>
      <c r="E12" s="355"/>
      <c r="F12" s="421" t="s">
        <v>220</v>
      </c>
      <c r="G12" s="421" t="s">
        <v>220</v>
      </c>
      <c r="H12" s="421" t="s">
        <v>220</v>
      </c>
      <c r="I12" s="422" t="s">
        <v>220</v>
      </c>
      <c r="J12" s="421" t="s">
        <v>220</v>
      </c>
      <c r="K12" s="421" t="s">
        <v>220</v>
      </c>
      <c r="L12" s="421" t="s">
        <v>220</v>
      </c>
      <c r="M12" s="422" t="s">
        <v>220</v>
      </c>
      <c r="N12" s="420" t="s">
        <v>220</v>
      </c>
      <c r="O12" s="421" t="s">
        <v>220</v>
      </c>
      <c r="P12" s="421" t="s">
        <v>220</v>
      </c>
      <c r="Q12" s="422" t="s">
        <v>220</v>
      </c>
      <c r="R12" s="420" t="s">
        <v>220</v>
      </c>
      <c r="S12" s="421" t="s">
        <v>220</v>
      </c>
      <c r="T12" s="421" t="s">
        <v>220</v>
      </c>
      <c r="U12" s="422" t="s">
        <v>220</v>
      </c>
      <c r="V12" s="420" t="s">
        <v>221</v>
      </c>
      <c r="W12" s="421" t="s">
        <v>221</v>
      </c>
      <c r="X12" s="421" t="s">
        <v>221</v>
      </c>
      <c r="Y12" s="422" t="s">
        <v>221</v>
      </c>
      <c r="Z12" s="13"/>
      <c r="AA12" s="13"/>
      <c r="AB12" s="13"/>
      <c r="AC12" s="159"/>
      <c r="AD12" s="13"/>
      <c r="AE12" s="13"/>
      <c r="AF12" s="13"/>
      <c r="AG12" s="13"/>
      <c r="AH12" s="184"/>
      <c r="AI12" s="159"/>
      <c r="AJ12" s="159"/>
      <c r="AK12" s="159"/>
      <c r="AL12" s="184"/>
      <c r="AM12" s="421" t="s">
        <v>220</v>
      </c>
      <c r="AN12" s="421" t="s">
        <v>220</v>
      </c>
      <c r="AO12" s="435"/>
      <c r="AP12" s="436"/>
      <c r="AQ12" s="415"/>
      <c r="AR12" s="420" t="s">
        <v>220</v>
      </c>
      <c r="AS12" s="420" t="s">
        <v>220</v>
      </c>
      <c r="AT12" s="420" t="s">
        <v>220</v>
      </c>
      <c r="AU12" s="420" t="s">
        <v>221</v>
      </c>
      <c r="AV12" s="420" t="s">
        <v>221</v>
      </c>
      <c r="AW12" s="420" t="s">
        <v>221</v>
      </c>
      <c r="AX12" s="423" t="s">
        <v>221</v>
      </c>
      <c r="AY12" s="184"/>
      <c r="AZ12" s="184"/>
      <c r="BA12" s="158"/>
      <c r="BB12" s="23"/>
      <c r="BC12" s="3"/>
      <c r="BD12" s="3"/>
      <c r="BG12" s="3"/>
      <c r="BH12" s="3"/>
      <c r="BI12" s="3"/>
    </row>
    <row r="13" spans="1:61" ht="12.75" customHeight="1" x14ac:dyDescent="0.2">
      <c r="A13" s="85" t="s">
        <v>56</v>
      </c>
      <c r="B13" s="7"/>
      <c r="C13" s="105"/>
      <c r="D13" s="107"/>
      <c r="E13" s="47"/>
      <c r="F13" s="483"/>
      <c r="G13" s="483"/>
      <c r="H13" s="483"/>
      <c r="I13" s="107"/>
      <c r="J13" s="483"/>
      <c r="K13" s="483"/>
      <c r="L13" s="483"/>
      <c r="M13" s="107"/>
      <c r="N13" s="91"/>
      <c r="O13" s="91"/>
      <c r="P13" s="91"/>
      <c r="Q13" s="107"/>
      <c r="R13" s="91"/>
      <c r="S13" s="91"/>
      <c r="T13" s="91"/>
      <c r="U13" s="107"/>
      <c r="V13" s="91"/>
      <c r="W13" s="91"/>
      <c r="X13" s="91"/>
      <c r="Y13" s="107"/>
      <c r="Z13" s="91"/>
      <c r="AA13" s="91"/>
      <c r="AB13" s="91"/>
      <c r="AC13" s="107"/>
      <c r="AD13" s="125"/>
      <c r="AE13" s="125"/>
      <c r="AF13" s="125"/>
      <c r="AG13" s="106"/>
      <c r="AH13" s="124"/>
      <c r="AI13" s="106"/>
      <c r="AJ13" s="106"/>
      <c r="AK13" s="106"/>
      <c r="AL13" s="47"/>
      <c r="AM13" s="91"/>
      <c r="AN13" s="91"/>
      <c r="AO13" s="370"/>
      <c r="AP13" s="384"/>
      <c r="AQ13" s="44"/>
      <c r="AR13" s="383"/>
      <c r="AS13" s="383"/>
      <c r="AT13" s="383"/>
      <c r="AU13" s="47"/>
      <c r="AV13" s="124"/>
      <c r="AW13" s="483"/>
      <c r="AX13" s="47"/>
      <c r="AY13" s="224"/>
      <c r="AZ13" s="224"/>
      <c r="BA13" s="312"/>
      <c r="BB13" s="23"/>
      <c r="BC13" s="3"/>
      <c r="BD13" s="3"/>
      <c r="BG13" s="3"/>
    </row>
    <row r="14" spans="1:61" ht="12.75" customHeight="1" x14ac:dyDescent="0.2">
      <c r="A14" s="85"/>
      <c r="B14" s="44" t="s">
        <v>170</v>
      </c>
      <c r="C14" s="168" t="e">
        <f>I14-M14</f>
        <v>#REF!</v>
      </c>
      <c r="D14" s="498" t="e">
        <f>IF(OR((C14/M14)&gt;3,(C14/M14)&lt;-3),"n.m.",(C14/M14))</f>
        <v>#REF!</v>
      </c>
      <c r="E14" s="47"/>
      <c r="F14" s="500" t="e">
        <f>+#REF!</f>
        <v>#REF!</v>
      </c>
      <c r="G14" s="500" t="e">
        <f>+#REF!</f>
        <v>#REF!</v>
      </c>
      <c r="H14" s="500" t="e">
        <f>+#REF!</f>
        <v>#REF!</v>
      </c>
      <c r="I14" s="501" t="e">
        <f>+#REF!</f>
        <v>#REF!</v>
      </c>
      <c r="J14" s="500" t="e">
        <f>+#REF!</f>
        <v>#REF!</v>
      </c>
      <c r="K14" s="500" t="e">
        <f>+#REF!</f>
        <v>#REF!</v>
      </c>
      <c r="L14" s="500" t="e">
        <f>+#REF!</f>
        <v>#REF!</v>
      </c>
      <c r="M14" s="501" t="e">
        <f>+#REF!</f>
        <v>#REF!</v>
      </c>
      <c r="N14" s="460">
        <v>18487</v>
      </c>
      <c r="O14" s="460" t="e">
        <f>#REF!</f>
        <v>#REF!</v>
      </c>
      <c r="P14" s="160" t="e">
        <f>#REF!</f>
        <v>#REF!</v>
      </c>
      <c r="Q14" s="164" t="e">
        <f>#REF!</f>
        <v>#REF!</v>
      </c>
      <c r="R14" s="160">
        <v>27712</v>
      </c>
      <c r="S14" s="160">
        <v>32618</v>
      </c>
      <c r="T14" s="160">
        <v>20083</v>
      </c>
      <c r="U14" s="164">
        <v>25806</v>
      </c>
      <c r="V14" s="160">
        <v>19380</v>
      </c>
      <c r="W14" s="160">
        <v>21984</v>
      </c>
      <c r="X14" s="160">
        <v>29595</v>
      </c>
      <c r="Y14" s="164">
        <v>26670</v>
      </c>
      <c r="Z14" s="160">
        <v>16696</v>
      </c>
      <c r="AA14" s="160">
        <v>16073</v>
      </c>
      <c r="AB14" s="160">
        <v>17456</v>
      </c>
      <c r="AC14" s="164">
        <v>24569</v>
      </c>
      <c r="AD14" s="160">
        <v>23292</v>
      </c>
      <c r="AE14" s="160">
        <v>22388</v>
      </c>
      <c r="AF14" s="160">
        <v>19827</v>
      </c>
      <c r="AG14" s="164">
        <v>25281</v>
      </c>
      <c r="AH14" s="129">
        <v>18686</v>
      </c>
      <c r="AI14" s="164">
        <v>17651</v>
      </c>
      <c r="AJ14" s="164">
        <v>17682</v>
      </c>
      <c r="AK14" s="164">
        <v>22625</v>
      </c>
      <c r="AL14" s="47"/>
      <c r="AM14" s="235" t="e">
        <f>SUM(K14:M14)</f>
        <v>#REF!</v>
      </c>
      <c r="AN14" s="235" t="e">
        <f>SUM(O14:Q14)</f>
        <v>#REF!</v>
      </c>
      <c r="AO14" s="180" t="e">
        <f>AR14-AS14</f>
        <v>#REF!</v>
      </c>
      <c r="AP14" s="498" t="e">
        <f>IF(OR((AO14/AS14)&gt;3,(AO14/AS14)&lt;-3),"n.m.",(AO14/AS14))</f>
        <v>#REF!</v>
      </c>
      <c r="AQ14" s="44"/>
      <c r="AR14" s="372" t="e">
        <f>SUM(J14:M14)</f>
        <v>#REF!</v>
      </c>
      <c r="AS14" s="372" t="e">
        <f>SUM(N14:Q14)</f>
        <v>#REF!</v>
      </c>
      <c r="AT14" s="372">
        <v>106219</v>
      </c>
      <c r="AU14" s="163">
        <v>97629</v>
      </c>
      <c r="AV14" s="499">
        <v>74794</v>
      </c>
      <c r="AW14" s="501">
        <v>90788</v>
      </c>
      <c r="AX14" s="164">
        <v>76644</v>
      </c>
      <c r="AY14" s="37">
        <v>18692</v>
      </c>
      <c r="AZ14" s="37">
        <v>0</v>
      </c>
      <c r="BA14" s="37">
        <v>0</v>
      </c>
      <c r="BB14" s="3"/>
      <c r="BC14" s="3"/>
      <c r="BD14" s="3"/>
      <c r="BG14" s="3"/>
    </row>
    <row r="15" spans="1:61" ht="12.75" customHeight="1" x14ac:dyDescent="0.2">
      <c r="A15" s="85"/>
      <c r="B15" s="482" t="s">
        <v>285</v>
      </c>
      <c r="C15" s="168" t="e">
        <f>I15-M15</f>
        <v>#REF!</v>
      </c>
      <c r="D15" s="27" t="e">
        <f>IF(OR((C15/M15)&gt;3,(C15/M15)&lt;-3),"n.m.",(C15/M15))</f>
        <v>#REF!</v>
      </c>
      <c r="E15" s="47"/>
      <c r="F15" s="500" t="e">
        <f>+#REF!</f>
        <v>#REF!</v>
      </c>
      <c r="G15" s="500" t="e">
        <f>+#REF!</f>
        <v>#REF!</v>
      </c>
      <c r="H15" s="500" t="e">
        <f>+#REF!</f>
        <v>#REF!</v>
      </c>
      <c r="I15" s="501" t="e">
        <f>+#REF!</f>
        <v>#REF!</v>
      </c>
      <c r="J15" s="500" t="e">
        <f>+#REF!</f>
        <v>#REF!</v>
      </c>
      <c r="K15" s="500" t="e">
        <f>+#REF!</f>
        <v>#REF!</v>
      </c>
      <c r="L15" s="500" t="e">
        <f>+#REF!</f>
        <v>#REF!</v>
      </c>
      <c r="M15" s="501" t="e">
        <f>+#REF!</f>
        <v>#REF!</v>
      </c>
      <c r="N15" s="460" t="e">
        <f>#REF!</f>
        <v>#REF!</v>
      </c>
      <c r="O15" s="460" t="e">
        <f>#REF!</f>
        <v>#REF!</v>
      </c>
      <c r="P15" s="160" t="e">
        <f>#REF!</f>
        <v>#REF!</v>
      </c>
      <c r="Q15" s="164" t="e">
        <f>#REF!</f>
        <v>#REF!</v>
      </c>
      <c r="R15" s="160">
        <v>1486</v>
      </c>
      <c r="S15" s="160">
        <v>1555</v>
      </c>
      <c r="T15" s="160">
        <v>1010</v>
      </c>
      <c r="U15" s="164">
        <v>900</v>
      </c>
      <c r="V15" s="160">
        <v>904</v>
      </c>
      <c r="W15" s="160">
        <v>833</v>
      </c>
      <c r="X15" s="160">
        <v>542</v>
      </c>
      <c r="Y15" s="164">
        <v>509</v>
      </c>
      <c r="Z15" s="160">
        <v>516</v>
      </c>
      <c r="AA15" s="160">
        <v>460</v>
      </c>
      <c r="AB15" s="160">
        <v>828</v>
      </c>
      <c r="AC15" s="164">
        <v>1052</v>
      </c>
      <c r="AD15" s="160">
        <v>777</v>
      </c>
      <c r="AE15" s="160">
        <v>719</v>
      </c>
      <c r="AF15" s="160">
        <v>827</v>
      </c>
      <c r="AG15" s="164">
        <v>1093</v>
      </c>
      <c r="AH15" s="129">
        <v>1149</v>
      </c>
      <c r="AI15" s="164">
        <v>924</v>
      </c>
      <c r="AJ15" s="164">
        <v>666</v>
      </c>
      <c r="AK15" s="164">
        <v>1290</v>
      </c>
      <c r="AL15" s="47"/>
      <c r="AM15" s="235" t="e">
        <f>SUM(K15:M15)</f>
        <v>#REF!</v>
      </c>
      <c r="AN15" s="235" t="e">
        <f>SUM(O15:Q15)</f>
        <v>#REF!</v>
      </c>
      <c r="AO15" s="180" t="e">
        <f>AR15-AS15</f>
        <v>#REF!</v>
      </c>
      <c r="AP15" s="27" t="e">
        <f>AO15/AS15</f>
        <v>#REF!</v>
      </c>
      <c r="AQ15" s="44"/>
      <c r="AR15" s="372" t="e">
        <f>SUM(J15:M15)</f>
        <v>#REF!</v>
      </c>
      <c r="AS15" s="372" t="e">
        <f>SUM(N15:Q15)</f>
        <v>#REF!</v>
      </c>
      <c r="AT15" s="372">
        <v>4951</v>
      </c>
      <c r="AU15" s="163">
        <v>2788</v>
      </c>
      <c r="AV15" s="499">
        <v>2856</v>
      </c>
      <c r="AW15" s="501">
        <v>3416</v>
      </c>
      <c r="AX15" s="164">
        <v>4029</v>
      </c>
      <c r="AY15" s="37">
        <v>1269</v>
      </c>
      <c r="AZ15" s="37">
        <v>0</v>
      </c>
      <c r="BA15" s="37">
        <v>0</v>
      </c>
      <c r="BB15" s="3"/>
      <c r="BC15" s="3"/>
      <c r="BD15" s="3"/>
      <c r="BG15" s="3"/>
    </row>
    <row r="16" spans="1:61" ht="12.75" hidden="1" customHeight="1" x14ac:dyDescent="0.2">
      <c r="A16" s="6"/>
      <c r="B16" s="44" t="s">
        <v>87</v>
      </c>
      <c r="C16" s="168">
        <f>I16-M16</f>
        <v>0</v>
      </c>
      <c r="D16" s="27" t="e">
        <f>IF(OR((C16/M16)&gt;3,(C16/M16)&lt;-3),"n.m.",(C16/M16))</f>
        <v>#DIV/0!</v>
      </c>
      <c r="E16" s="350"/>
      <c r="F16" s="500"/>
      <c r="G16" s="500"/>
      <c r="H16" s="500"/>
      <c r="I16" s="501"/>
      <c r="J16" s="500"/>
      <c r="K16" s="500"/>
      <c r="L16" s="500"/>
      <c r="M16" s="501"/>
      <c r="N16" s="460"/>
      <c r="O16" s="460"/>
      <c r="P16" s="160"/>
      <c r="Q16" s="164"/>
      <c r="R16" s="160"/>
      <c r="S16" s="160"/>
      <c r="T16" s="160"/>
      <c r="U16" s="164"/>
      <c r="V16" s="160"/>
      <c r="W16" s="160"/>
      <c r="X16" s="160"/>
      <c r="Y16" s="164"/>
      <c r="Z16" s="160">
        <v>10</v>
      </c>
      <c r="AA16" s="160">
        <v>53</v>
      </c>
      <c r="AB16" s="160">
        <v>25</v>
      </c>
      <c r="AC16" s="164">
        <v>20</v>
      </c>
      <c r="AD16" s="160">
        <v>27</v>
      </c>
      <c r="AE16" s="160">
        <v>28</v>
      </c>
      <c r="AF16" s="160">
        <v>83</v>
      </c>
      <c r="AG16" s="164">
        <v>48</v>
      </c>
      <c r="AH16" s="129">
        <v>81</v>
      </c>
      <c r="AI16" s="164">
        <v>38</v>
      </c>
      <c r="AJ16" s="164">
        <v>397</v>
      </c>
      <c r="AK16" s="164">
        <v>70</v>
      </c>
      <c r="AL16" s="131"/>
      <c r="AM16" s="169"/>
      <c r="AN16" s="169"/>
      <c r="AO16" s="180">
        <f>AR16-AS16</f>
        <v>0</v>
      </c>
      <c r="AP16" s="27" t="e">
        <f>AO16/AS16</f>
        <v>#DIV/0!</v>
      </c>
      <c r="AQ16" s="171"/>
      <c r="AR16" s="372"/>
      <c r="AS16" s="372"/>
      <c r="AT16" s="372">
        <v>0</v>
      </c>
      <c r="AU16" s="163">
        <v>0</v>
      </c>
      <c r="AV16" s="499">
        <v>108</v>
      </c>
      <c r="AW16" s="501">
        <v>186</v>
      </c>
      <c r="AX16" s="164">
        <v>586</v>
      </c>
      <c r="AY16" s="37">
        <v>75</v>
      </c>
      <c r="AZ16" s="37">
        <v>0</v>
      </c>
      <c r="BA16" s="37">
        <v>0</v>
      </c>
      <c r="BB16" s="3"/>
      <c r="BC16" s="3"/>
      <c r="BD16" s="3"/>
      <c r="BG16" s="3"/>
    </row>
    <row r="17" spans="1:59" ht="12.75" customHeight="1" x14ac:dyDescent="0.2">
      <c r="A17" s="7"/>
      <c r="B17" s="6"/>
      <c r="C17" s="172" t="e">
        <f>I17-M17</f>
        <v>#REF!</v>
      </c>
      <c r="D17" s="111" t="e">
        <f>IF(OR((C17/M17)&gt;3,(C17/M17)&lt;-3),"n.m.",(C17/M17))</f>
        <v>#REF!</v>
      </c>
      <c r="E17" s="350"/>
      <c r="F17" s="174" t="e">
        <f t="shared" ref="F17:M17" si="0">SUM(F14:F16)</f>
        <v>#REF!</v>
      </c>
      <c r="G17" s="174" t="e">
        <f t="shared" si="0"/>
        <v>#REF!</v>
      </c>
      <c r="H17" s="174" t="e">
        <f t="shared" si="0"/>
        <v>#REF!</v>
      </c>
      <c r="I17" s="175" t="e">
        <f t="shared" si="0"/>
        <v>#REF!</v>
      </c>
      <c r="J17" s="174" t="e">
        <f t="shared" si="0"/>
        <v>#REF!</v>
      </c>
      <c r="K17" s="174" t="e">
        <f t="shared" si="0"/>
        <v>#REF!</v>
      </c>
      <c r="L17" s="174" t="e">
        <f t="shared" si="0"/>
        <v>#REF!</v>
      </c>
      <c r="M17" s="175" t="e">
        <f t="shared" si="0"/>
        <v>#REF!</v>
      </c>
      <c r="N17" s="174" t="e">
        <f>SUM(N14:N15)</f>
        <v>#REF!</v>
      </c>
      <c r="O17" s="174" t="e">
        <f t="shared" ref="O17:U17" si="1">SUM(O14:O16)</f>
        <v>#REF!</v>
      </c>
      <c r="P17" s="174" t="e">
        <f t="shared" si="1"/>
        <v>#REF!</v>
      </c>
      <c r="Q17" s="175" t="e">
        <f t="shared" si="1"/>
        <v>#REF!</v>
      </c>
      <c r="R17" s="174">
        <f t="shared" si="1"/>
        <v>29198</v>
      </c>
      <c r="S17" s="174">
        <f t="shared" si="1"/>
        <v>34173</v>
      </c>
      <c r="T17" s="174">
        <f t="shared" si="1"/>
        <v>21093</v>
      </c>
      <c r="U17" s="175">
        <f t="shared" si="1"/>
        <v>26706</v>
      </c>
      <c r="V17" s="174">
        <v>20284</v>
      </c>
      <c r="W17" s="174">
        <v>22817</v>
      </c>
      <c r="X17" s="174">
        <v>30137</v>
      </c>
      <c r="Y17" s="175">
        <v>27179</v>
      </c>
      <c r="Z17" s="174">
        <v>17212</v>
      </c>
      <c r="AA17" s="174">
        <v>16533</v>
      </c>
      <c r="AB17" s="174">
        <v>18284</v>
      </c>
      <c r="AC17" s="174">
        <v>25621</v>
      </c>
      <c r="AD17" s="173">
        <v>24069</v>
      </c>
      <c r="AE17" s="174">
        <v>23107</v>
      </c>
      <c r="AF17" s="174">
        <v>20654</v>
      </c>
      <c r="AG17" s="174">
        <v>26374</v>
      </c>
      <c r="AH17" s="173">
        <v>19835</v>
      </c>
      <c r="AI17" s="175">
        <v>18613</v>
      </c>
      <c r="AJ17" s="175">
        <v>18745</v>
      </c>
      <c r="AK17" s="175">
        <v>23985</v>
      </c>
      <c r="AL17" s="131"/>
      <c r="AM17" s="174" t="e">
        <f>SUM(AM14:AM16)</f>
        <v>#REF!</v>
      </c>
      <c r="AN17" s="174" t="e">
        <f>SUM(AN14:AN16)</f>
        <v>#REF!</v>
      </c>
      <c r="AO17" s="174" t="e">
        <f>AR17-AS17</f>
        <v>#REF!</v>
      </c>
      <c r="AP17" s="111" t="e">
        <f>AO17/AS17</f>
        <v>#REF!</v>
      </c>
      <c r="AQ17" s="171"/>
      <c r="AR17" s="374" t="e">
        <f>SUM(AR14:AR15)</f>
        <v>#REF!</v>
      </c>
      <c r="AS17" s="374" t="e">
        <f>SUM(AS14:AS15)</f>
        <v>#REF!</v>
      </c>
      <c r="AT17" s="374">
        <v>111170</v>
      </c>
      <c r="AU17" s="173">
        <v>100417</v>
      </c>
      <c r="AV17" s="130">
        <v>77650</v>
      </c>
      <c r="AW17" s="174">
        <v>94204</v>
      </c>
      <c r="AX17" s="173">
        <v>80673</v>
      </c>
      <c r="AY17" s="130">
        <f>SUM(AY14:AY15)</f>
        <v>19961</v>
      </c>
      <c r="AZ17" s="219">
        <v>0</v>
      </c>
      <c r="BA17" s="219">
        <v>0</v>
      </c>
      <c r="BB17" s="23"/>
      <c r="BC17" s="3"/>
      <c r="BD17" s="3"/>
      <c r="BG17" s="3"/>
    </row>
    <row r="18" spans="1:59" ht="12.75" customHeight="1" x14ac:dyDescent="0.2">
      <c r="A18" s="85" t="s">
        <v>5</v>
      </c>
      <c r="B18" s="6"/>
      <c r="C18" s="168"/>
      <c r="D18" s="27"/>
      <c r="E18" s="350"/>
      <c r="F18" s="500"/>
      <c r="G18" s="500"/>
      <c r="H18" s="500"/>
      <c r="I18" s="501"/>
      <c r="J18" s="500"/>
      <c r="K18" s="500"/>
      <c r="L18" s="500"/>
      <c r="M18" s="501"/>
      <c r="N18" s="460"/>
      <c r="O18" s="460"/>
      <c r="P18" s="160"/>
      <c r="Q18" s="164"/>
      <c r="R18" s="160"/>
      <c r="S18" s="160"/>
      <c r="T18" s="160"/>
      <c r="U18" s="164"/>
      <c r="V18" s="160"/>
      <c r="W18" s="160"/>
      <c r="X18" s="160"/>
      <c r="Y18" s="164"/>
      <c r="Z18" s="160"/>
      <c r="AA18" s="160"/>
      <c r="AB18" s="160"/>
      <c r="AC18" s="164"/>
      <c r="AD18" s="160"/>
      <c r="AE18" s="160"/>
      <c r="AF18" s="160"/>
      <c r="AG18" s="164"/>
      <c r="AH18" s="129"/>
      <c r="AI18" s="164"/>
      <c r="AJ18" s="164"/>
      <c r="AK18" s="164"/>
      <c r="AL18" s="131"/>
      <c r="AM18" s="169"/>
      <c r="AN18" s="169"/>
      <c r="AO18" s="180"/>
      <c r="AP18" s="27"/>
      <c r="AQ18" s="171"/>
      <c r="AR18" s="372"/>
      <c r="AS18" s="372"/>
      <c r="AT18" s="372"/>
      <c r="AU18" s="163"/>
      <c r="AV18" s="499"/>
      <c r="AW18" s="501"/>
      <c r="AX18" s="164"/>
      <c r="AY18" s="37"/>
      <c r="AZ18" s="37"/>
      <c r="BA18" s="37"/>
      <c r="BB18" s="3"/>
      <c r="BC18" s="3"/>
      <c r="BD18" s="3"/>
      <c r="BG18" s="3"/>
    </row>
    <row r="19" spans="1:59" s="480" customFormat="1" ht="12.75" customHeight="1" x14ac:dyDescent="0.2">
      <c r="A19" s="408"/>
      <c r="B19" s="6" t="s">
        <v>274</v>
      </c>
      <c r="C19" s="168">
        <f t="shared" ref="C19:C39" si="2">I19-M19</f>
        <v>7177</v>
      </c>
      <c r="D19" s="498">
        <f t="shared" ref="D19:D30" si="3">IF(OR((C19/M19)&gt;3,(C19/M19)&lt;-3),"n.m.",(C19/M19))</f>
        <v>0.39081899368329343</v>
      </c>
      <c r="E19" s="497"/>
      <c r="F19" s="500"/>
      <c r="G19" s="500"/>
      <c r="H19" s="500"/>
      <c r="I19" s="501">
        <v>25541</v>
      </c>
      <c r="J19" s="500">
        <v>23698</v>
      </c>
      <c r="K19" s="500">
        <v>18976</v>
      </c>
      <c r="L19" s="500">
        <v>19839</v>
      </c>
      <c r="M19" s="501">
        <v>18364</v>
      </c>
      <c r="N19" s="500">
        <v>12319</v>
      </c>
      <c r="O19" s="500">
        <v>8587</v>
      </c>
      <c r="P19" s="500">
        <v>9084</v>
      </c>
      <c r="Q19" s="501">
        <v>13578</v>
      </c>
      <c r="R19" s="500">
        <v>15037</v>
      </c>
      <c r="S19" s="500">
        <v>18002</v>
      </c>
      <c r="T19" s="500">
        <v>10237</v>
      </c>
      <c r="U19" s="501"/>
      <c r="V19" s="500"/>
      <c r="W19" s="500"/>
      <c r="X19" s="500"/>
      <c r="Y19" s="501"/>
      <c r="Z19" s="500"/>
      <c r="AA19" s="500"/>
      <c r="AB19" s="500"/>
      <c r="AC19" s="501"/>
      <c r="AD19" s="500"/>
      <c r="AE19" s="500"/>
      <c r="AF19" s="500"/>
      <c r="AG19" s="501"/>
      <c r="AH19" s="499"/>
      <c r="AI19" s="501"/>
      <c r="AJ19" s="501"/>
      <c r="AK19" s="501"/>
      <c r="AL19" s="131"/>
      <c r="AM19" s="494">
        <f t="shared" ref="AM19:AM33" si="4">SUM(K19:M19)</f>
        <v>57179</v>
      </c>
      <c r="AN19" s="494">
        <f t="shared" ref="AN19:AN33" si="5">SUM(O19:Q19)</f>
        <v>31249</v>
      </c>
      <c r="AO19" s="180">
        <f t="shared" ref="AO19:AO35" si="6">AR19-AS19</f>
        <v>37309</v>
      </c>
      <c r="AP19" s="498">
        <f t="shared" ref="AP19:AP26" si="7">AO19/AS19</f>
        <v>0.85633951524054353</v>
      </c>
      <c r="AQ19" s="171"/>
      <c r="AR19" s="372">
        <f>SUM(J19:M19)</f>
        <v>80877</v>
      </c>
      <c r="AS19" s="372">
        <v>43568</v>
      </c>
      <c r="AT19" s="372">
        <v>56785</v>
      </c>
      <c r="AU19" s="490">
        <v>54488</v>
      </c>
      <c r="AV19" s="499">
        <v>35876</v>
      </c>
      <c r="AW19" s="501">
        <v>49543</v>
      </c>
      <c r="AX19" s="501"/>
      <c r="AY19" s="37"/>
      <c r="AZ19" s="37"/>
      <c r="BA19" s="37"/>
      <c r="BB19" s="481"/>
      <c r="BC19" s="481"/>
      <c r="BD19" s="481"/>
      <c r="BG19" s="481"/>
    </row>
    <row r="20" spans="1:59" s="480" customFormat="1" ht="12.75" customHeight="1" x14ac:dyDescent="0.2">
      <c r="A20" s="408"/>
      <c r="B20" s="6" t="s">
        <v>275</v>
      </c>
      <c r="C20" s="176">
        <f t="shared" si="2"/>
        <v>-79</v>
      </c>
      <c r="D20" s="92">
        <f t="shared" si="3"/>
        <v>-8.5405405405405407E-2</v>
      </c>
      <c r="E20" s="497"/>
      <c r="F20" s="166"/>
      <c r="G20" s="166"/>
      <c r="H20" s="166"/>
      <c r="I20" s="167">
        <v>846</v>
      </c>
      <c r="J20" s="166">
        <v>803</v>
      </c>
      <c r="K20" s="166">
        <v>207</v>
      </c>
      <c r="L20" s="166">
        <v>506</v>
      </c>
      <c r="M20" s="167">
        <v>925</v>
      </c>
      <c r="N20" s="166">
        <v>1237</v>
      </c>
      <c r="O20" s="166">
        <v>1164</v>
      </c>
      <c r="P20" s="166">
        <v>942</v>
      </c>
      <c r="Q20" s="167">
        <v>1100</v>
      </c>
      <c r="R20" s="166">
        <v>327</v>
      </c>
      <c r="S20" s="166">
        <v>390</v>
      </c>
      <c r="T20" s="166">
        <v>1291</v>
      </c>
      <c r="U20" s="501"/>
      <c r="V20" s="500"/>
      <c r="W20" s="500"/>
      <c r="X20" s="500"/>
      <c r="Y20" s="501"/>
      <c r="Z20" s="500"/>
      <c r="AA20" s="500"/>
      <c r="AB20" s="500"/>
      <c r="AC20" s="501"/>
      <c r="AD20" s="500"/>
      <c r="AE20" s="500"/>
      <c r="AF20" s="500"/>
      <c r="AG20" s="501"/>
      <c r="AH20" s="499"/>
      <c r="AI20" s="501"/>
      <c r="AJ20" s="501"/>
      <c r="AK20" s="501"/>
      <c r="AL20" s="131"/>
      <c r="AM20" s="243">
        <f t="shared" si="4"/>
        <v>1638</v>
      </c>
      <c r="AN20" s="243">
        <f t="shared" si="5"/>
        <v>3206</v>
      </c>
      <c r="AO20" s="240">
        <f t="shared" si="6"/>
        <v>-2002</v>
      </c>
      <c r="AP20" s="92">
        <f t="shared" si="7"/>
        <v>-0.45059644384424941</v>
      </c>
      <c r="AQ20" s="171"/>
      <c r="AR20" s="373">
        <f>SUM(J20:M20)</f>
        <v>2441</v>
      </c>
      <c r="AS20" s="373">
        <v>4443</v>
      </c>
      <c r="AT20" s="373">
        <v>2859</v>
      </c>
      <c r="AU20" s="165">
        <v>585</v>
      </c>
      <c r="AV20" s="134">
        <v>151</v>
      </c>
      <c r="AW20" s="167">
        <v>-803</v>
      </c>
      <c r="AX20" s="501"/>
      <c r="AY20" s="37"/>
      <c r="AZ20" s="37"/>
      <c r="BA20" s="37"/>
      <c r="BB20" s="481"/>
      <c r="BC20" s="481"/>
      <c r="BD20" s="481"/>
      <c r="BG20" s="481"/>
    </row>
    <row r="21" spans="1:59" ht="12.75" customHeight="1" x14ac:dyDescent="0.2">
      <c r="A21" s="7"/>
      <c r="B21" s="482" t="s">
        <v>190</v>
      </c>
      <c r="C21" s="168">
        <f t="shared" si="2"/>
        <v>7098</v>
      </c>
      <c r="D21" s="27">
        <f t="shared" si="3"/>
        <v>0.36798175125719323</v>
      </c>
      <c r="E21" s="350"/>
      <c r="F21" s="500">
        <f t="shared" ref="F21:K21" si="8">SUM(F19:F20)</f>
        <v>0</v>
      </c>
      <c r="G21" s="500">
        <f t="shared" si="8"/>
        <v>0</v>
      </c>
      <c r="H21" s="500">
        <f t="shared" si="8"/>
        <v>0</v>
      </c>
      <c r="I21" s="501">
        <f t="shared" si="8"/>
        <v>26387</v>
      </c>
      <c r="J21" s="500">
        <f t="shared" si="8"/>
        <v>24501</v>
      </c>
      <c r="K21" s="500">
        <f t="shared" si="8"/>
        <v>19183</v>
      </c>
      <c r="L21" s="500">
        <v>20345</v>
      </c>
      <c r="M21" s="501">
        <v>19289</v>
      </c>
      <c r="N21" s="460">
        <v>13556</v>
      </c>
      <c r="O21" s="460">
        <v>9751</v>
      </c>
      <c r="P21" s="160">
        <v>10026</v>
      </c>
      <c r="Q21" s="164">
        <v>14678</v>
      </c>
      <c r="R21" s="160">
        <v>15364</v>
      </c>
      <c r="S21" s="160">
        <v>18392</v>
      </c>
      <c r="T21" s="160">
        <v>11528</v>
      </c>
      <c r="U21" s="164">
        <v>14360</v>
      </c>
      <c r="V21" s="160">
        <v>11389</v>
      </c>
      <c r="W21" s="160">
        <v>13270</v>
      </c>
      <c r="X21" s="160">
        <v>16681</v>
      </c>
      <c r="Y21" s="164">
        <v>13733</v>
      </c>
      <c r="Z21" s="160">
        <v>8513</v>
      </c>
      <c r="AA21" s="160">
        <v>8108</v>
      </c>
      <c r="AB21" s="160">
        <v>8420</v>
      </c>
      <c r="AC21" s="164">
        <v>10986</v>
      </c>
      <c r="AD21" s="160">
        <v>14475</v>
      </c>
      <c r="AE21" s="160">
        <v>12378</v>
      </c>
      <c r="AF21" s="160">
        <v>9511</v>
      </c>
      <c r="AG21" s="164">
        <v>12376</v>
      </c>
      <c r="AH21" s="129">
        <v>10496</v>
      </c>
      <c r="AI21" s="164">
        <v>9820</v>
      </c>
      <c r="AJ21" s="164">
        <v>9342</v>
      </c>
      <c r="AK21" s="164">
        <v>12902</v>
      </c>
      <c r="AL21" s="131"/>
      <c r="AM21" s="235">
        <f t="shared" si="4"/>
        <v>58817</v>
      </c>
      <c r="AN21" s="235">
        <f t="shared" si="5"/>
        <v>34455</v>
      </c>
      <c r="AO21" s="180">
        <f t="shared" si="6"/>
        <v>35307</v>
      </c>
      <c r="AP21" s="27">
        <f t="shared" si="7"/>
        <v>0.73539397221470082</v>
      </c>
      <c r="AQ21" s="171"/>
      <c r="AR21" s="372">
        <f>SUM(AR19:AR20)</f>
        <v>83318</v>
      </c>
      <c r="AS21" s="372">
        <f t="shared" ref="AS21:AS33" si="9">SUM(N21:Q21)</f>
        <v>48011</v>
      </c>
      <c r="AT21" s="372">
        <f>SUM(R21:U21)</f>
        <v>59644</v>
      </c>
      <c r="AU21" s="163">
        <v>55073</v>
      </c>
      <c r="AV21" s="499">
        <v>36027</v>
      </c>
      <c r="AW21" s="501">
        <v>48740</v>
      </c>
      <c r="AX21" s="164">
        <v>42560</v>
      </c>
      <c r="AY21" s="37">
        <v>9134</v>
      </c>
      <c r="AZ21" s="37">
        <v>0</v>
      </c>
      <c r="BA21" s="37">
        <v>0</v>
      </c>
      <c r="BB21" s="3"/>
      <c r="BC21" s="3"/>
      <c r="BD21" s="3"/>
      <c r="BG21" s="3"/>
    </row>
    <row r="22" spans="1:59" ht="12.75" customHeight="1" x14ac:dyDescent="0.2">
      <c r="A22" s="7"/>
      <c r="B22" s="44" t="s">
        <v>61</v>
      </c>
      <c r="C22" s="168">
        <f t="shared" si="2"/>
        <v>-186</v>
      </c>
      <c r="D22" s="27">
        <f t="shared" si="3"/>
        <v>-7.2542901716068642E-2</v>
      </c>
      <c r="E22" s="350"/>
      <c r="F22" s="500"/>
      <c r="G22" s="500"/>
      <c r="H22" s="500"/>
      <c r="I22" s="501">
        <v>2378</v>
      </c>
      <c r="J22" s="500">
        <v>3061</v>
      </c>
      <c r="K22" s="500">
        <v>2093</v>
      </c>
      <c r="L22" s="500">
        <v>2346</v>
      </c>
      <c r="M22" s="501">
        <v>2564</v>
      </c>
      <c r="N22" s="460">
        <v>1303</v>
      </c>
      <c r="O22" s="460">
        <f>1457-408</f>
        <v>1049</v>
      </c>
      <c r="P22" s="160">
        <v>1128</v>
      </c>
      <c r="Q22" s="164">
        <v>1092</v>
      </c>
      <c r="R22" s="160">
        <v>1169</v>
      </c>
      <c r="S22" s="160">
        <v>1250</v>
      </c>
      <c r="T22" s="160">
        <v>1315</v>
      </c>
      <c r="U22" s="164">
        <v>1187</v>
      </c>
      <c r="V22" s="160">
        <v>952</v>
      </c>
      <c r="W22" s="160">
        <v>1190</v>
      </c>
      <c r="X22" s="160">
        <v>1119</v>
      </c>
      <c r="Y22" s="164">
        <v>1085</v>
      </c>
      <c r="Z22" s="160">
        <v>1198</v>
      </c>
      <c r="AA22" s="160">
        <v>1224</v>
      </c>
      <c r="AB22" s="160">
        <v>1226</v>
      </c>
      <c r="AC22" s="164">
        <v>1513</v>
      </c>
      <c r="AD22" s="160">
        <v>980</v>
      </c>
      <c r="AE22" s="160">
        <v>1018</v>
      </c>
      <c r="AF22" s="160">
        <v>1257</v>
      </c>
      <c r="AG22" s="164">
        <v>1228</v>
      </c>
      <c r="AH22" s="129">
        <v>1329</v>
      </c>
      <c r="AI22" s="164">
        <v>1212</v>
      </c>
      <c r="AJ22" s="164">
        <v>815</v>
      </c>
      <c r="AK22" s="164">
        <v>1754</v>
      </c>
      <c r="AL22" s="131"/>
      <c r="AM22" s="235">
        <f t="shared" si="4"/>
        <v>7003</v>
      </c>
      <c r="AN22" s="235">
        <f t="shared" si="5"/>
        <v>3269</v>
      </c>
      <c r="AO22" s="180">
        <f t="shared" si="6"/>
        <v>5492</v>
      </c>
      <c r="AP22" s="27">
        <f t="shared" si="7"/>
        <v>1.2012248468941382</v>
      </c>
      <c r="AQ22" s="169"/>
      <c r="AR22" s="372">
        <f t="shared" ref="AR22:AR33" si="10">SUM(J22:M22)</f>
        <v>10064</v>
      </c>
      <c r="AS22" s="372">
        <f t="shared" si="9"/>
        <v>4572</v>
      </c>
      <c r="AT22" s="372">
        <f t="shared" ref="AT22:AT30" si="11">SUM(R22:U22)</f>
        <v>4921</v>
      </c>
      <c r="AU22" s="163">
        <v>4346</v>
      </c>
      <c r="AV22" s="499">
        <v>5161</v>
      </c>
      <c r="AW22" s="501">
        <v>4483</v>
      </c>
      <c r="AX22" s="164">
        <v>5110</v>
      </c>
      <c r="AY22" s="37">
        <v>1613</v>
      </c>
      <c r="AZ22" s="37">
        <v>0</v>
      </c>
      <c r="BA22" s="37">
        <v>0</v>
      </c>
      <c r="BB22" s="3"/>
      <c r="BC22" s="3"/>
      <c r="BD22" s="3"/>
      <c r="BG22" s="3"/>
    </row>
    <row r="23" spans="1:59" ht="12.75" hidden="1" customHeight="1" x14ac:dyDescent="0.2">
      <c r="A23" s="7"/>
      <c r="B23" s="6" t="s">
        <v>178</v>
      </c>
      <c r="C23" s="168">
        <f t="shared" si="2"/>
        <v>0</v>
      </c>
      <c r="D23" s="27" t="e">
        <f t="shared" si="3"/>
        <v>#DIV/0!</v>
      </c>
      <c r="E23" s="350"/>
      <c r="F23" s="507"/>
      <c r="G23" s="507"/>
      <c r="H23" s="507"/>
      <c r="I23" s="26"/>
      <c r="J23" s="507"/>
      <c r="K23" s="507"/>
      <c r="L23" s="507"/>
      <c r="M23" s="26"/>
      <c r="N23" s="28"/>
      <c r="O23" s="28"/>
      <c r="P23" s="28"/>
      <c r="Q23" s="26"/>
      <c r="R23" s="28"/>
      <c r="S23" s="28"/>
      <c r="T23" s="28"/>
      <c r="U23" s="26"/>
      <c r="V23" s="28">
        <v>0</v>
      </c>
      <c r="W23" s="28">
        <v>0</v>
      </c>
      <c r="X23" s="28">
        <v>0</v>
      </c>
      <c r="Y23" s="26">
        <v>0</v>
      </c>
      <c r="Z23" s="28">
        <v>0</v>
      </c>
      <c r="AA23" s="28">
        <v>0</v>
      </c>
      <c r="AB23" s="28">
        <v>0</v>
      </c>
      <c r="AC23" s="26">
        <v>0</v>
      </c>
      <c r="AD23" s="160"/>
      <c r="AE23" s="160"/>
      <c r="AF23" s="160"/>
      <c r="AG23" s="164"/>
      <c r="AH23" s="129"/>
      <c r="AI23" s="164"/>
      <c r="AJ23" s="164"/>
      <c r="AK23" s="164"/>
      <c r="AL23" s="131"/>
      <c r="AM23" s="235">
        <f t="shared" si="4"/>
        <v>0</v>
      </c>
      <c r="AN23" s="235">
        <f t="shared" si="5"/>
        <v>0</v>
      </c>
      <c r="AO23" s="180">
        <f t="shared" si="6"/>
        <v>0</v>
      </c>
      <c r="AP23" s="27" t="e">
        <f t="shared" si="7"/>
        <v>#DIV/0!</v>
      </c>
      <c r="AQ23" s="169"/>
      <c r="AR23" s="372">
        <f t="shared" si="10"/>
        <v>0</v>
      </c>
      <c r="AS23" s="372">
        <f t="shared" si="9"/>
        <v>0</v>
      </c>
      <c r="AT23" s="372">
        <f t="shared" si="11"/>
        <v>0</v>
      </c>
      <c r="AU23" s="37">
        <v>0</v>
      </c>
      <c r="AV23" s="37">
        <v>0</v>
      </c>
      <c r="AW23" s="26">
        <v>0</v>
      </c>
      <c r="AX23" s="37">
        <v>0</v>
      </c>
      <c r="AY23" s="37">
        <v>0</v>
      </c>
      <c r="AZ23" s="37"/>
      <c r="BA23" s="37"/>
      <c r="BB23" s="3"/>
      <c r="BC23" s="3"/>
      <c r="BD23" s="3"/>
      <c r="BG23" s="3"/>
    </row>
    <row r="24" spans="1:59" ht="12.75" customHeight="1" x14ac:dyDescent="0.2">
      <c r="A24" s="7"/>
      <c r="B24" s="44" t="s">
        <v>88</v>
      </c>
      <c r="C24" s="168">
        <f t="shared" si="2"/>
        <v>159</v>
      </c>
      <c r="D24" s="498">
        <f t="shared" si="3"/>
        <v>2.7642559109874825E-2</v>
      </c>
      <c r="E24" s="350"/>
      <c r="F24" s="500"/>
      <c r="G24" s="500"/>
      <c r="H24" s="500"/>
      <c r="I24" s="501">
        <v>5911</v>
      </c>
      <c r="J24" s="500">
        <v>4004</v>
      </c>
      <c r="K24" s="500">
        <v>3742</v>
      </c>
      <c r="L24" s="500">
        <v>4472</v>
      </c>
      <c r="M24" s="501">
        <v>5752</v>
      </c>
      <c r="N24" s="460">
        <v>583</v>
      </c>
      <c r="O24" s="460">
        <v>1133</v>
      </c>
      <c r="P24" s="160">
        <v>1609</v>
      </c>
      <c r="Q24" s="164">
        <v>1135</v>
      </c>
      <c r="R24" s="160">
        <v>1024</v>
      </c>
      <c r="S24" s="160">
        <v>963</v>
      </c>
      <c r="T24" s="160">
        <v>1025</v>
      </c>
      <c r="U24" s="164">
        <v>1102</v>
      </c>
      <c r="V24" s="160">
        <v>1490</v>
      </c>
      <c r="W24" s="160">
        <v>1581</v>
      </c>
      <c r="X24" s="160">
        <v>1493</v>
      </c>
      <c r="Y24" s="164">
        <v>2002</v>
      </c>
      <c r="Z24" s="160">
        <v>1887</v>
      </c>
      <c r="AA24" s="160">
        <v>1909</v>
      </c>
      <c r="AB24" s="160">
        <v>2613</v>
      </c>
      <c r="AC24" s="164">
        <v>2363</v>
      </c>
      <c r="AD24" s="160">
        <v>1899</v>
      </c>
      <c r="AE24" s="160">
        <v>2030</v>
      </c>
      <c r="AF24" s="160">
        <v>2443</v>
      </c>
      <c r="AG24" s="164">
        <v>2277</v>
      </c>
      <c r="AH24" s="129">
        <v>2198</v>
      </c>
      <c r="AI24" s="164">
        <v>2557</v>
      </c>
      <c r="AJ24" s="164">
        <v>1957</v>
      </c>
      <c r="AK24" s="164">
        <v>2280</v>
      </c>
      <c r="AL24" s="131"/>
      <c r="AM24" s="235">
        <f t="shared" si="4"/>
        <v>13966</v>
      </c>
      <c r="AN24" s="235">
        <f t="shared" si="5"/>
        <v>3877</v>
      </c>
      <c r="AO24" s="180">
        <f t="shared" si="6"/>
        <v>13510</v>
      </c>
      <c r="AP24" s="27">
        <f t="shared" si="7"/>
        <v>3.0291479820627805</v>
      </c>
      <c r="AQ24" s="171"/>
      <c r="AR24" s="372">
        <f t="shared" si="10"/>
        <v>17970</v>
      </c>
      <c r="AS24" s="372">
        <f t="shared" si="9"/>
        <v>4460</v>
      </c>
      <c r="AT24" s="372">
        <f t="shared" si="11"/>
        <v>4114</v>
      </c>
      <c r="AU24" s="163">
        <v>6566</v>
      </c>
      <c r="AV24" s="499">
        <v>8772</v>
      </c>
      <c r="AW24" s="501">
        <v>8649</v>
      </c>
      <c r="AX24" s="164">
        <v>8992</v>
      </c>
      <c r="AY24" s="37">
        <v>2026</v>
      </c>
      <c r="AZ24" s="37">
        <v>0</v>
      </c>
      <c r="BA24" s="37">
        <v>0</v>
      </c>
      <c r="BB24" s="3"/>
      <c r="BC24" s="3"/>
      <c r="BD24" s="3"/>
      <c r="BG24" s="3"/>
    </row>
    <row r="25" spans="1:59" ht="12.75" customHeight="1" x14ac:dyDescent="0.2">
      <c r="A25" s="7"/>
      <c r="B25" s="44" t="s">
        <v>63</v>
      </c>
      <c r="C25" s="168">
        <f t="shared" si="2"/>
        <v>-294</v>
      </c>
      <c r="D25" s="27">
        <f t="shared" si="3"/>
        <v>-0.12991604065399912</v>
      </c>
      <c r="E25" s="350"/>
      <c r="F25" s="500"/>
      <c r="G25" s="500"/>
      <c r="H25" s="500"/>
      <c r="I25" s="501">
        <v>1969</v>
      </c>
      <c r="J25" s="500">
        <v>1846</v>
      </c>
      <c r="K25" s="500">
        <v>1927</v>
      </c>
      <c r="L25" s="500">
        <v>2385</v>
      </c>
      <c r="M25" s="501">
        <v>2263</v>
      </c>
      <c r="N25" s="460">
        <v>1345</v>
      </c>
      <c r="O25" s="460">
        <v>1204</v>
      </c>
      <c r="P25" s="160">
        <v>1323</v>
      </c>
      <c r="Q25" s="164">
        <v>1159</v>
      </c>
      <c r="R25" s="160">
        <v>1182</v>
      </c>
      <c r="S25" s="160">
        <v>1109</v>
      </c>
      <c r="T25" s="160">
        <v>1096</v>
      </c>
      <c r="U25" s="164">
        <v>1064</v>
      </c>
      <c r="V25" s="160">
        <v>1151</v>
      </c>
      <c r="W25" s="160">
        <v>1134</v>
      </c>
      <c r="X25" s="160">
        <v>1299</v>
      </c>
      <c r="Y25" s="164">
        <v>1228</v>
      </c>
      <c r="Z25" s="160">
        <v>1402</v>
      </c>
      <c r="AA25" s="160">
        <v>1383</v>
      </c>
      <c r="AB25" s="160">
        <v>1259</v>
      </c>
      <c r="AC25" s="164">
        <v>1097</v>
      </c>
      <c r="AD25" s="160">
        <v>1274</v>
      </c>
      <c r="AE25" s="160">
        <v>1255</v>
      </c>
      <c r="AF25" s="160">
        <v>1169</v>
      </c>
      <c r="AG25" s="164">
        <v>1269</v>
      </c>
      <c r="AH25" s="129">
        <v>1500</v>
      </c>
      <c r="AI25" s="164">
        <v>907</v>
      </c>
      <c r="AJ25" s="164">
        <v>929</v>
      </c>
      <c r="AK25" s="164">
        <v>908</v>
      </c>
      <c r="AL25" s="131"/>
      <c r="AM25" s="235">
        <f t="shared" si="4"/>
        <v>6575</v>
      </c>
      <c r="AN25" s="235">
        <f t="shared" si="5"/>
        <v>3686</v>
      </c>
      <c r="AO25" s="180">
        <f t="shared" si="6"/>
        <v>3390</v>
      </c>
      <c r="AP25" s="27">
        <f t="shared" si="7"/>
        <v>0.67382230172927848</v>
      </c>
      <c r="AQ25" s="171"/>
      <c r="AR25" s="372">
        <f t="shared" si="10"/>
        <v>8421</v>
      </c>
      <c r="AS25" s="372">
        <f t="shared" si="9"/>
        <v>5031</v>
      </c>
      <c r="AT25" s="372">
        <f t="shared" si="11"/>
        <v>4451</v>
      </c>
      <c r="AU25" s="163">
        <v>4812</v>
      </c>
      <c r="AV25" s="499">
        <v>5141</v>
      </c>
      <c r="AW25" s="501">
        <v>4967</v>
      </c>
      <c r="AX25" s="164">
        <v>4244</v>
      </c>
      <c r="AY25" s="37">
        <v>1003</v>
      </c>
      <c r="AZ25" s="37">
        <v>0</v>
      </c>
      <c r="BA25" s="37">
        <v>0</v>
      </c>
      <c r="BB25" s="3"/>
      <c r="BC25" s="3"/>
      <c r="BD25" s="3"/>
      <c r="BG25" s="3"/>
    </row>
    <row r="26" spans="1:59" ht="12.75" customHeight="1" x14ac:dyDescent="0.2">
      <c r="A26" s="7"/>
      <c r="B26" s="44" t="s">
        <v>64</v>
      </c>
      <c r="C26" s="168">
        <f t="shared" si="2"/>
        <v>-852</v>
      </c>
      <c r="D26" s="27">
        <f t="shared" si="3"/>
        <v>-0.25014679976512039</v>
      </c>
      <c r="E26" s="350"/>
      <c r="F26" s="500"/>
      <c r="G26" s="500"/>
      <c r="H26" s="500"/>
      <c r="I26" s="501">
        <v>2554</v>
      </c>
      <c r="J26" s="500">
        <v>2531</v>
      </c>
      <c r="K26" s="500">
        <v>3293</v>
      </c>
      <c r="L26" s="500">
        <v>3084</v>
      </c>
      <c r="M26" s="501">
        <v>3406</v>
      </c>
      <c r="N26" s="460">
        <v>1588</v>
      </c>
      <c r="O26" s="460">
        <v>1370</v>
      </c>
      <c r="P26" s="160">
        <v>1346</v>
      </c>
      <c r="Q26" s="164">
        <v>1266</v>
      </c>
      <c r="R26" s="160">
        <v>1248</v>
      </c>
      <c r="S26" s="160">
        <v>1372</v>
      </c>
      <c r="T26" s="160">
        <v>1428</v>
      </c>
      <c r="U26" s="164">
        <v>1425</v>
      </c>
      <c r="V26" s="160">
        <v>1242</v>
      </c>
      <c r="W26" s="160">
        <v>1344</v>
      </c>
      <c r="X26" s="160">
        <v>1220</v>
      </c>
      <c r="Y26" s="164">
        <v>1202</v>
      </c>
      <c r="Z26" s="160">
        <v>1431</v>
      </c>
      <c r="AA26" s="160">
        <v>1735</v>
      </c>
      <c r="AB26" s="160">
        <v>1172</v>
      </c>
      <c r="AC26" s="164">
        <v>723</v>
      </c>
      <c r="AD26" s="160">
        <v>771</v>
      </c>
      <c r="AE26" s="160">
        <v>615</v>
      </c>
      <c r="AF26" s="160">
        <v>571</v>
      </c>
      <c r="AG26" s="164">
        <v>619</v>
      </c>
      <c r="AH26" s="129">
        <v>605</v>
      </c>
      <c r="AI26" s="164">
        <v>585</v>
      </c>
      <c r="AJ26" s="164">
        <v>494</v>
      </c>
      <c r="AK26" s="164">
        <v>600</v>
      </c>
      <c r="AL26" s="131"/>
      <c r="AM26" s="235">
        <f t="shared" si="4"/>
        <v>9783</v>
      </c>
      <c r="AN26" s="235">
        <f t="shared" si="5"/>
        <v>3982</v>
      </c>
      <c r="AO26" s="180">
        <f t="shared" si="6"/>
        <v>6744</v>
      </c>
      <c r="AP26" s="27">
        <f t="shared" si="7"/>
        <v>1.2107719928186715</v>
      </c>
      <c r="AQ26" s="171"/>
      <c r="AR26" s="372">
        <f>SUM(J26:M26)</f>
        <v>12314</v>
      </c>
      <c r="AS26" s="372">
        <f t="shared" si="9"/>
        <v>5570</v>
      </c>
      <c r="AT26" s="372">
        <f t="shared" si="11"/>
        <v>5473</v>
      </c>
      <c r="AU26" s="163">
        <v>5008</v>
      </c>
      <c r="AV26" s="499">
        <v>5061</v>
      </c>
      <c r="AW26" s="501">
        <v>2576</v>
      </c>
      <c r="AX26" s="164">
        <v>2284</v>
      </c>
      <c r="AY26" s="37">
        <v>496</v>
      </c>
      <c r="AZ26" s="37">
        <v>0</v>
      </c>
      <c r="BA26" s="37">
        <v>0</v>
      </c>
      <c r="BB26" s="3"/>
      <c r="BC26" s="3"/>
      <c r="BD26" s="3"/>
      <c r="BG26" s="3"/>
    </row>
    <row r="27" spans="1:59" ht="12.75" customHeight="1" x14ac:dyDescent="0.2">
      <c r="A27" s="7"/>
      <c r="B27" s="44" t="s">
        <v>59</v>
      </c>
      <c r="C27" s="168">
        <f t="shared" si="2"/>
        <v>675</v>
      </c>
      <c r="D27" s="498">
        <f t="shared" si="3"/>
        <v>1.1925795053003534</v>
      </c>
      <c r="E27" s="350"/>
      <c r="F27" s="500"/>
      <c r="G27" s="500"/>
      <c r="H27" s="500"/>
      <c r="I27" s="501">
        <v>1241</v>
      </c>
      <c r="J27" s="500">
        <v>397</v>
      </c>
      <c r="K27" s="500">
        <f>448-2</f>
        <v>446</v>
      </c>
      <c r="L27" s="500">
        <v>505</v>
      </c>
      <c r="M27" s="501">
        <v>566</v>
      </c>
      <c r="N27" s="460">
        <v>98</v>
      </c>
      <c r="O27" s="460">
        <v>66</v>
      </c>
      <c r="P27" s="160">
        <v>56</v>
      </c>
      <c r="Q27" s="164">
        <v>38</v>
      </c>
      <c r="R27" s="160">
        <v>40</v>
      </c>
      <c r="S27" s="160">
        <v>51</v>
      </c>
      <c r="T27" s="160">
        <v>31</v>
      </c>
      <c r="U27" s="164">
        <v>59</v>
      </c>
      <c r="V27" s="160">
        <v>429</v>
      </c>
      <c r="W27" s="160">
        <v>179</v>
      </c>
      <c r="X27" s="160">
        <v>200</v>
      </c>
      <c r="Y27" s="164">
        <v>1080</v>
      </c>
      <c r="Z27" s="160">
        <v>1120</v>
      </c>
      <c r="AA27" s="160">
        <v>884</v>
      </c>
      <c r="AB27" s="160">
        <v>584</v>
      </c>
      <c r="AC27" s="164">
        <v>486</v>
      </c>
      <c r="AD27" s="160">
        <v>474</v>
      </c>
      <c r="AE27" s="160">
        <v>456</v>
      </c>
      <c r="AF27" s="160">
        <v>479</v>
      </c>
      <c r="AG27" s="164">
        <v>321</v>
      </c>
      <c r="AH27" s="129">
        <v>139</v>
      </c>
      <c r="AI27" s="164">
        <v>102</v>
      </c>
      <c r="AJ27" s="164">
        <v>80</v>
      </c>
      <c r="AK27" s="164">
        <v>94</v>
      </c>
      <c r="AL27" s="131"/>
      <c r="AM27" s="235">
        <f t="shared" si="4"/>
        <v>1517</v>
      </c>
      <c r="AN27" s="235">
        <f t="shared" si="5"/>
        <v>160</v>
      </c>
      <c r="AO27" s="180">
        <f t="shared" si="6"/>
        <v>1656</v>
      </c>
      <c r="AP27" s="498" t="str">
        <f>IF(OR((AO27/AS27)&gt;3,(AO27/AS27)&lt;-3),"n.m.",(AO27/AS27))</f>
        <v>n.m.</v>
      </c>
      <c r="AQ27" s="171"/>
      <c r="AR27" s="372">
        <f t="shared" si="10"/>
        <v>1914</v>
      </c>
      <c r="AS27" s="372">
        <f t="shared" si="9"/>
        <v>258</v>
      </c>
      <c r="AT27" s="372">
        <f t="shared" si="11"/>
        <v>181</v>
      </c>
      <c r="AU27" s="163">
        <v>1888</v>
      </c>
      <c r="AV27" s="499">
        <v>3074</v>
      </c>
      <c r="AW27" s="501">
        <v>1730</v>
      </c>
      <c r="AX27" s="164">
        <v>415</v>
      </c>
      <c r="AY27" s="37">
        <v>89</v>
      </c>
      <c r="AZ27" s="37">
        <v>0</v>
      </c>
      <c r="BA27" s="37">
        <v>0</v>
      </c>
      <c r="BB27" s="3"/>
      <c r="BC27" s="3"/>
      <c r="BD27" s="3"/>
      <c r="BG27" s="3"/>
    </row>
    <row r="28" spans="1:59" ht="12.75" customHeight="1" x14ac:dyDescent="0.2">
      <c r="A28" s="7"/>
      <c r="B28" s="44" t="s">
        <v>85</v>
      </c>
      <c r="C28" s="168">
        <f t="shared" si="2"/>
        <v>-369</v>
      </c>
      <c r="D28" s="27">
        <f t="shared" si="3"/>
        <v>-7.5383043922369761E-2</v>
      </c>
      <c r="E28" s="350"/>
      <c r="F28" s="500"/>
      <c r="G28" s="500"/>
      <c r="H28" s="500"/>
      <c r="I28" s="501">
        <v>4526</v>
      </c>
      <c r="J28" s="500">
        <v>4140</v>
      </c>
      <c r="K28" s="500">
        <v>4280</v>
      </c>
      <c r="L28" s="500">
        <v>4005</v>
      </c>
      <c r="M28" s="501">
        <v>4895</v>
      </c>
      <c r="N28" s="460">
        <v>3536</v>
      </c>
      <c r="O28" s="460">
        <v>3132</v>
      </c>
      <c r="P28" s="160">
        <v>3311</v>
      </c>
      <c r="Q28" s="164">
        <v>3098</v>
      </c>
      <c r="R28" s="160">
        <v>2771</v>
      </c>
      <c r="S28" s="160">
        <v>3144</v>
      </c>
      <c r="T28" s="160">
        <v>2704</v>
      </c>
      <c r="U28" s="164">
        <v>2959</v>
      </c>
      <c r="V28" s="160">
        <v>1586</v>
      </c>
      <c r="W28" s="160">
        <v>2341</v>
      </c>
      <c r="X28" s="160">
        <v>2368</v>
      </c>
      <c r="Y28" s="164">
        <v>2597</v>
      </c>
      <c r="Z28" s="160">
        <v>2329</v>
      </c>
      <c r="AA28" s="160">
        <v>2527</v>
      </c>
      <c r="AB28" s="160">
        <v>3913</v>
      </c>
      <c r="AC28" s="164">
        <v>3848</v>
      </c>
      <c r="AD28" s="160">
        <v>3196</v>
      </c>
      <c r="AE28" s="160">
        <v>2461</v>
      </c>
      <c r="AF28" s="160">
        <v>3688</v>
      </c>
      <c r="AG28" s="164">
        <v>3089</v>
      </c>
      <c r="AH28" s="129">
        <v>3359</v>
      </c>
      <c r="AI28" s="164">
        <v>2751</v>
      </c>
      <c r="AJ28" s="164">
        <v>2734</v>
      </c>
      <c r="AK28" s="164">
        <v>2277</v>
      </c>
      <c r="AL28" s="131"/>
      <c r="AM28" s="235">
        <f t="shared" si="4"/>
        <v>13180</v>
      </c>
      <c r="AN28" s="235">
        <f t="shared" si="5"/>
        <v>9541</v>
      </c>
      <c r="AO28" s="180">
        <f t="shared" si="6"/>
        <v>4243</v>
      </c>
      <c r="AP28" s="498">
        <f>IF(OR((AO28/AS28)&gt;3,(AO28/AS28)&lt;-3),"n.m.",(AO28/AS28))</f>
        <v>0.32446279727766308</v>
      </c>
      <c r="AQ28" s="171"/>
      <c r="AR28" s="372">
        <f t="shared" si="10"/>
        <v>17320</v>
      </c>
      <c r="AS28" s="372">
        <f t="shared" si="9"/>
        <v>13077</v>
      </c>
      <c r="AT28" s="372">
        <f t="shared" si="11"/>
        <v>11578</v>
      </c>
      <c r="AU28" s="163">
        <v>8892</v>
      </c>
      <c r="AV28" s="499">
        <v>12617</v>
      </c>
      <c r="AW28" s="501">
        <v>12434</v>
      </c>
      <c r="AX28" s="164">
        <v>11121</v>
      </c>
      <c r="AY28" s="37">
        <v>1787</v>
      </c>
      <c r="AZ28" s="37">
        <v>0</v>
      </c>
      <c r="BA28" s="37">
        <v>0</v>
      </c>
      <c r="BB28" s="3"/>
      <c r="BC28" s="3"/>
      <c r="BD28" s="3"/>
      <c r="BG28" s="3"/>
    </row>
    <row r="29" spans="1:59" ht="12.75" customHeight="1" x14ac:dyDescent="0.2">
      <c r="A29" s="7"/>
      <c r="B29" s="44" t="s">
        <v>66</v>
      </c>
      <c r="C29" s="168">
        <f t="shared" si="2"/>
        <v>-180</v>
      </c>
      <c r="D29" s="27">
        <f t="shared" si="3"/>
        <v>-0.40723981900452488</v>
      </c>
      <c r="E29" s="350"/>
      <c r="F29" s="500"/>
      <c r="G29" s="500"/>
      <c r="H29" s="500"/>
      <c r="I29" s="501">
        <v>262</v>
      </c>
      <c r="J29" s="500">
        <v>201</v>
      </c>
      <c r="K29" s="500">
        <v>213</v>
      </c>
      <c r="L29" s="500">
        <v>406</v>
      </c>
      <c r="M29" s="501">
        <v>442</v>
      </c>
      <c r="N29" s="460">
        <v>552</v>
      </c>
      <c r="O29" s="460">
        <v>320</v>
      </c>
      <c r="P29" s="160">
        <v>313</v>
      </c>
      <c r="Q29" s="164">
        <v>243</v>
      </c>
      <c r="R29" s="160">
        <v>201</v>
      </c>
      <c r="S29" s="160">
        <v>258</v>
      </c>
      <c r="T29" s="160">
        <v>276</v>
      </c>
      <c r="U29" s="164">
        <v>262</v>
      </c>
      <c r="V29" s="160">
        <v>279</v>
      </c>
      <c r="W29" s="160">
        <v>287</v>
      </c>
      <c r="X29" s="160">
        <v>277</v>
      </c>
      <c r="Y29" s="164">
        <v>281</v>
      </c>
      <c r="Z29" s="160">
        <v>298</v>
      </c>
      <c r="AA29" s="160">
        <v>295</v>
      </c>
      <c r="AB29" s="160">
        <v>259</v>
      </c>
      <c r="AC29" s="164">
        <v>246</v>
      </c>
      <c r="AD29" s="160">
        <v>298</v>
      </c>
      <c r="AE29" s="160">
        <v>296</v>
      </c>
      <c r="AF29" s="160">
        <v>280</v>
      </c>
      <c r="AG29" s="164">
        <v>232</v>
      </c>
      <c r="AH29" s="129">
        <v>180</v>
      </c>
      <c r="AI29" s="164">
        <v>199</v>
      </c>
      <c r="AJ29" s="164">
        <v>155</v>
      </c>
      <c r="AK29" s="164">
        <v>173</v>
      </c>
      <c r="AL29" s="131"/>
      <c r="AM29" s="235">
        <f t="shared" si="4"/>
        <v>1061</v>
      </c>
      <c r="AN29" s="235">
        <f t="shared" si="5"/>
        <v>876</v>
      </c>
      <c r="AO29" s="180">
        <f t="shared" si="6"/>
        <v>-166</v>
      </c>
      <c r="AP29" s="498">
        <f>IF(OR((AO29/AS29)&gt;3,(AO29/AS29)&lt;-3),"n.m.",(AO29/AS29))</f>
        <v>-0.11624649859943978</v>
      </c>
      <c r="AQ29" s="171"/>
      <c r="AR29" s="372">
        <f t="shared" si="10"/>
        <v>1262</v>
      </c>
      <c r="AS29" s="372">
        <f t="shared" si="9"/>
        <v>1428</v>
      </c>
      <c r="AT29" s="372">
        <f t="shared" si="11"/>
        <v>997</v>
      </c>
      <c r="AU29" s="163">
        <v>1124</v>
      </c>
      <c r="AV29" s="499">
        <v>1098</v>
      </c>
      <c r="AW29" s="501">
        <v>1106</v>
      </c>
      <c r="AX29" s="164">
        <v>707</v>
      </c>
      <c r="AY29" s="37">
        <v>178</v>
      </c>
      <c r="AZ29" s="37">
        <v>0</v>
      </c>
      <c r="BA29" s="37">
        <v>0</v>
      </c>
      <c r="BB29" s="3"/>
      <c r="BC29" s="3"/>
      <c r="BD29" s="3"/>
      <c r="BG29" s="3"/>
    </row>
    <row r="30" spans="1:59" ht="12.75" customHeight="1" x14ac:dyDescent="0.2">
      <c r="A30" s="7"/>
      <c r="B30" s="44" t="s">
        <v>67</v>
      </c>
      <c r="C30" s="168">
        <f t="shared" si="2"/>
        <v>-975</v>
      </c>
      <c r="D30" s="27">
        <f t="shared" si="3"/>
        <v>-0.5855855855855856</v>
      </c>
      <c r="E30" s="350"/>
      <c r="F30" s="500"/>
      <c r="G30" s="500"/>
      <c r="H30" s="500"/>
      <c r="I30" s="501">
        <v>690</v>
      </c>
      <c r="J30" s="500">
        <v>762</v>
      </c>
      <c r="K30" s="500">
        <v>1031</v>
      </c>
      <c r="L30" s="500">
        <v>1301</v>
      </c>
      <c r="M30" s="501">
        <v>1665</v>
      </c>
      <c r="N30" s="460">
        <v>1123</v>
      </c>
      <c r="O30" s="460">
        <v>1040</v>
      </c>
      <c r="P30" s="160">
        <v>1228</v>
      </c>
      <c r="Q30" s="164">
        <v>1193</v>
      </c>
      <c r="R30" s="160">
        <v>516</v>
      </c>
      <c r="S30" s="160">
        <v>1213</v>
      </c>
      <c r="T30" s="160">
        <v>1026</v>
      </c>
      <c r="U30" s="164">
        <v>301</v>
      </c>
      <c r="V30" s="160">
        <v>418</v>
      </c>
      <c r="W30" s="160">
        <v>899</v>
      </c>
      <c r="X30" s="160">
        <v>1030</v>
      </c>
      <c r="Y30" s="164">
        <v>1730</v>
      </c>
      <c r="Z30" s="160">
        <v>2204</v>
      </c>
      <c r="AA30" s="160">
        <v>3246</v>
      </c>
      <c r="AB30" s="160">
        <v>2719</v>
      </c>
      <c r="AC30" s="164">
        <v>3341</v>
      </c>
      <c r="AD30" s="160">
        <v>5333</v>
      </c>
      <c r="AE30" s="160">
        <v>3240</v>
      </c>
      <c r="AF30" s="160">
        <v>4438</v>
      </c>
      <c r="AG30" s="164">
        <v>3867</v>
      </c>
      <c r="AH30" s="129">
        <v>3233</v>
      </c>
      <c r="AI30" s="164">
        <v>2112</v>
      </c>
      <c r="AJ30" s="164">
        <v>2716</v>
      </c>
      <c r="AK30" s="164">
        <v>809</v>
      </c>
      <c r="AL30" s="131"/>
      <c r="AM30" s="235">
        <f t="shared" si="4"/>
        <v>3997</v>
      </c>
      <c r="AN30" s="235">
        <f t="shared" si="5"/>
        <v>3461</v>
      </c>
      <c r="AO30" s="180">
        <f t="shared" si="6"/>
        <v>175</v>
      </c>
      <c r="AP30" s="498">
        <f>IF(OR((AO30/AS30)&gt;3,(AO30/AS30)&lt;-3),"n.m.",(AO30/AS30))</f>
        <v>3.8176265270506111E-2</v>
      </c>
      <c r="AQ30" s="171"/>
      <c r="AR30" s="372">
        <f t="shared" si="10"/>
        <v>4759</v>
      </c>
      <c r="AS30" s="372">
        <f t="shared" si="9"/>
        <v>4584</v>
      </c>
      <c r="AT30" s="372">
        <f t="shared" si="11"/>
        <v>3056</v>
      </c>
      <c r="AU30" s="163">
        <v>4077</v>
      </c>
      <c r="AV30" s="499">
        <v>11510</v>
      </c>
      <c r="AW30" s="501">
        <v>16878</v>
      </c>
      <c r="AX30" s="164">
        <v>8870</v>
      </c>
      <c r="AY30" s="37">
        <v>554</v>
      </c>
      <c r="AZ30" s="37">
        <v>0</v>
      </c>
      <c r="BA30" s="37">
        <v>0</v>
      </c>
      <c r="BB30" s="3"/>
      <c r="BC30" s="3"/>
      <c r="BD30" s="3"/>
      <c r="BG30" s="3"/>
    </row>
    <row r="31" spans="1:59" ht="12.75" customHeight="1" x14ac:dyDescent="0.2">
      <c r="A31" s="7"/>
      <c r="B31" s="6" t="s">
        <v>149</v>
      </c>
      <c r="C31" s="168">
        <f t="shared" si="2"/>
        <v>0</v>
      </c>
      <c r="D31" s="26">
        <v>0</v>
      </c>
      <c r="E31" s="350"/>
      <c r="F31" s="507"/>
      <c r="G31" s="507"/>
      <c r="H31" s="507"/>
      <c r="I31" s="26">
        <v>0</v>
      </c>
      <c r="J31" s="507">
        <v>0</v>
      </c>
      <c r="K31" s="507">
        <v>2985</v>
      </c>
      <c r="L31" s="507">
        <v>3820</v>
      </c>
      <c r="M31" s="26">
        <v>0</v>
      </c>
      <c r="N31" s="28">
        <v>2758</v>
      </c>
      <c r="O31" s="28">
        <v>408</v>
      </c>
      <c r="P31" s="28">
        <v>0</v>
      </c>
      <c r="Q31" s="26">
        <v>0</v>
      </c>
      <c r="R31" s="28">
        <v>0</v>
      </c>
      <c r="S31" s="28">
        <v>0</v>
      </c>
      <c r="T31" s="28">
        <v>0</v>
      </c>
      <c r="U31" s="26">
        <v>0</v>
      </c>
      <c r="V31" s="28">
        <v>0</v>
      </c>
      <c r="W31" s="28">
        <v>0</v>
      </c>
      <c r="X31" s="28">
        <v>0</v>
      </c>
      <c r="Y31" s="26">
        <v>0</v>
      </c>
      <c r="Z31" s="100">
        <v>0</v>
      </c>
      <c r="AA31" s="160">
        <v>3623</v>
      </c>
      <c r="AB31" s="100">
        <v>0</v>
      </c>
      <c r="AC31" s="101">
        <v>0</v>
      </c>
      <c r="AD31" s="100">
        <v>0</v>
      </c>
      <c r="AE31" s="100">
        <v>0</v>
      </c>
      <c r="AF31" s="100">
        <v>0</v>
      </c>
      <c r="AG31" s="101">
        <v>0</v>
      </c>
      <c r="AH31" s="102">
        <v>0</v>
      </c>
      <c r="AI31" s="101">
        <v>0</v>
      </c>
      <c r="AJ31" s="164"/>
      <c r="AK31" s="164"/>
      <c r="AL31" s="131"/>
      <c r="AM31" s="28">
        <f t="shared" si="4"/>
        <v>6805</v>
      </c>
      <c r="AN31" s="28">
        <f t="shared" si="5"/>
        <v>408</v>
      </c>
      <c r="AO31" s="180">
        <f t="shared" si="6"/>
        <v>3639</v>
      </c>
      <c r="AP31" s="498" t="s">
        <v>38</v>
      </c>
      <c r="AQ31" s="171"/>
      <c r="AR31" s="372">
        <f t="shared" si="10"/>
        <v>6805</v>
      </c>
      <c r="AS31" s="372">
        <f t="shared" si="9"/>
        <v>3166</v>
      </c>
      <c r="AT31" s="396">
        <v>0</v>
      </c>
      <c r="AU31" s="37">
        <v>0</v>
      </c>
      <c r="AV31" s="499">
        <v>3623</v>
      </c>
      <c r="AW31" s="26">
        <v>0</v>
      </c>
      <c r="AX31" s="37">
        <v>0</v>
      </c>
      <c r="AY31" s="37">
        <v>0</v>
      </c>
      <c r="AZ31" s="37">
        <v>0</v>
      </c>
      <c r="BA31" s="37">
        <v>0</v>
      </c>
      <c r="BB31" s="3"/>
      <c r="BC31" s="3"/>
      <c r="BD31" s="3"/>
      <c r="BG31" s="3"/>
    </row>
    <row r="32" spans="1:59" s="480" customFormat="1" ht="12.75" customHeight="1" x14ac:dyDescent="0.2">
      <c r="A32" s="7"/>
      <c r="B32" s="6" t="s">
        <v>169</v>
      </c>
      <c r="C32" s="168">
        <f t="shared" si="2"/>
        <v>0</v>
      </c>
      <c r="D32" s="26">
        <v>0</v>
      </c>
      <c r="E32" s="497"/>
      <c r="F32" s="507"/>
      <c r="G32" s="507"/>
      <c r="H32" s="507"/>
      <c r="I32" s="26">
        <v>0</v>
      </c>
      <c r="J32" s="507">
        <v>0</v>
      </c>
      <c r="K32" s="507">
        <v>0</v>
      </c>
      <c r="L32" s="507">
        <v>0</v>
      </c>
      <c r="M32" s="26">
        <v>0</v>
      </c>
      <c r="N32" s="507">
        <v>437</v>
      </c>
      <c r="O32" s="507">
        <v>0</v>
      </c>
      <c r="P32" s="507">
        <v>0</v>
      </c>
      <c r="Q32" s="26">
        <v>0</v>
      </c>
      <c r="R32" s="507">
        <v>0</v>
      </c>
      <c r="S32" s="507">
        <v>0</v>
      </c>
      <c r="T32" s="507">
        <v>0</v>
      </c>
      <c r="U32" s="26">
        <v>0</v>
      </c>
      <c r="V32" s="507">
        <v>0</v>
      </c>
      <c r="W32" s="507"/>
      <c r="X32" s="507"/>
      <c r="Y32" s="26"/>
      <c r="Z32" s="507"/>
      <c r="AA32" s="500"/>
      <c r="AB32" s="507"/>
      <c r="AC32" s="26"/>
      <c r="AD32" s="507"/>
      <c r="AE32" s="507"/>
      <c r="AF32" s="507"/>
      <c r="AG32" s="507"/>
      <c r="AH32" s="37"/>
      <c r="AI32" s="26"/>
      <c r="AJ32" s="501"/>
      <c r="AK32" s="501"/>
      <c r="AL32" s="131"/>
      <c r="AM32" s="507">
        <f t="shared" si="4"/>
        <v>0</v>
      </c>
      <c r="AN32" s="507">
        <f t="shared" si="5"/>
        <v>0</v>
      </c>
      <c r="AO32" s="180">
        <f t="shared" si="6"/>
        <v>-437</v>
      </c>
      <c r="AP32" s="498">
        <v>0</v>
      </c>
      <c r="AQ32" s="171"/>
      <c r="AR32" s="396">
        <f t="shared" si="10"/>
        <v>0</v>
      </c>
      <c r="AS32" s="372">
        <f t="shared" si="9"/>
        <v>437</v>
      </c>
      <c r="AT32" s="396">
        <v>0</v>
      </c>
      <c r="AU32" s="37">
        <v>0</v>
      </c>
      <c r="AV32" s="37">
        <v>0</v>
      </c>
      <c r="AW32" s="26">
        <v>0</v>
      </c>
      <c r="AX32" s="37"/>
      <c r="AY32" s="37"/>
      <c r="AZ32" s="37"/>
      <c r="BA32" s="37"/>
      <c r="BB32" s="481"/>
      <c r="BC32" s="481"/>
      <c r="BD32" s="481"/>
      <c r="BG32" s="481"/>
    </row>
    <row r="33" spans="1:59" ht="12.75" customHeight="1" x14ac:dyDescent="0.2">
      <c r="A33" s="7"/>
      <c r="B33" s="6" t="s">
        <v>147</v>
      </c>
      <c r="C33" s="168">
        <f t="shared" si="2"/>
        <v>0</v>
      </c>
      <c r="D33" s="26">
        <v>0</v>
      </c>
      <c r="E33" s="350"/>
      <c r="F33" s="100"/>
      <c r="G33" s="100"/>
      <c r="H33" s="100"/>
      <c r="I33" s="26">
        <v>0</v>
      </c>
      <c r="J33" s="100">
        <v>0</v>
      </c>
      <c r="K33" s="100">
        <v>0</v>
      </c>
      <c r="L33" s="100">
        <v>0</v>
      </c>
      <c r="M33" s="26">
        <v>0</v>
      </c>
      <c r="N33" s="28">
        <v>0</v>
      </c>
      <c r="O33" s="100">
        <v>0</v>
      </c>
      <c r="P33" s="100">
        <v>0</v>
      </c>
      <c r="Q33" s="26">
        <v>0</v>
      </c>
      <c r="R33" s="28">
        <v>0</v>
      </c>
      <c r="S33" s="100">
        <v>0</v>
      </c>
      <c r="T33" s="28">
        <v>0</v>
      </c>
      <c r="U33" s="26">
        <v>0</v>
      </c>
      <c r="V33" s="28">
        <v>0</v>
      </c>
      <c r="W33" s="28">
        <v>0</v>
      </c>
      <c r="X33" s="28">
        <v>0</v>
      </c>
      <c r="Y33" s="26">
        <v>0</v>
      </c>
      <c r="Z33" s="28">
        <v>0</v>
      </c>
      <c r="AA33" s="160">
        <v>27566</v>
      </c>
      <c r="AB33" s="28">
        <v>0</v>
      </c>
      <c r="AC33" s="26">
        <v>0</v>
      </c>
      <c r="AD33" s="28">
        <v>0</v>
      </c>
      <c r="AE33" s="28">
        <v>0</v>
      </c>
      <c r="AF33" s="28">
        <v>0</v>
      </c>
      <c r="AG33" s="28">
        <v>0</v>
      </c>
      <c r="AH33" s="37">
        <v>0</v>
      </c>
      <c r="AI33" s="26">
        <v>0</v>
      </c>
      <c r="AJ33" s="164"/>
      <c r="AK33" s="164"/>
      <c r="AL33" s="131"/>
      <c r="AM33" s="28">
        <f t="shared" si="4"/>
        <v>0</v>
      </c>
      <c r="AN33" s="100">
        <f t="shared" si="5"/>
        <v>0</v>
      </c>
      <c r="AO33" s="180">
        <f t="shared" si="6"/>
        <v>0</v>
      </c>
      <c r="AP33" s="348" t="s">
        <v>180</v>
      </c>
      <c r="AQ33" s="171"/>
      <c r="AR33" s="396">
        <f t="shared" si="10"/>
        <v>0</v>
      </c>
      <c r="AS33" s="396">
        <f t="shared" si="9"/>
        <v>0</v>
      </c>
      <c r="AT33" s="396">
        <v>0</v>
      </c>
      <c r="AU33" s="37">
        <v>0</v>
      </c>
      <c r="AV33" s="499">
        <v>27566</v>
      </c>
      <c r="AW33" s="26">
        <v>0</v>
      </c>
      <c r="AX33" s="37">
        <v>0</v>
      </c>
      <c r="AY33" s="37">
        <v>0</v>
      </c>
      <c r="AZ33" s="37">
        <v>0</v>
      </c>
      <c r="BA33" s="37">
        <v>0</v>
      </c>
      <c r="BB33" s="3"/>
      <c r="BC33" s="3"/>
      <c r="BD33" s="3"/>
      <c r="BG33" s="3"/>
    </row>
    <row r="34" spans="1:59" ht="12.75" customHeight="1" x14ac:dyDescent="0.2">
      <c r="A34" s="7"/>
      <c r="B34" s="6"/>
      <c r="C34" s="173">
        <f t="shared" si="2"/>
        <v>5076</v>
      </c>
      <c r="D34" s="111">
        <f>IF(OR((C34/M34)&gt;3,(C34/M34)&lt;-3),"n.m.",(C34/M34))</f>
        <v>0.12428382547377699</v>
      </c>
      <c r="E34" s="350"/>
      <c r="F34" s="161">
        <f t="shared" ref="F34:N34" si="12">SUM(F21:F33)</f>
        <v>0</v>
      </c>
      <c r="G34" s="161">
        <f t="shared" si="12"/>
        <v>0</v>
      </c>
      <c r="H34" s="161">
        <f t="shared" si="12"/>
        <v>0</v>
      </c>
      <c r="I34" s="175">
        <f t="shared" si="12"/>
        <v>45918</v>
      </c>
      <c r="J34" s="161">
        <f t="shared" si="12"/>
        <v>41443</v>
      </c>
      <c r="K34" s="161">
        <f t="shared" si="12"/>
        <v>39193</v>
      </c>
      <c r="L34" s="161">
        <f t="shared" si="12"/>
        <v>42669</v>
      </c>
      <c r="M34" s="175">
        <f t="shared" si="12"/>
        <v>40842</v>
      </c>
      <c r="N34" s="161">
        <f t="shared" si="12"/>
        <v>26879</v>
      </c>
      <c r="O34" s="161">
        <f>SUM(O24:O33,O21:O22)</f>
        <v>19473</v>
      </c>
      <c r="P34" s="161">
        <f t="shared" ref="P34:U34" si="13">SUM(P21:P33)</f>
        <v>20340</v>
      </c>
      <c r="Q34" s="175">
        <f t="shared" si="13"/>
        <v>23902</v>
      </c>
      <c r="R34" s="161">
        <f t="shared" si="13"/>
        <v>23515</v>
      </c>
      <c r="S34" s="161">
        <f t="shared" si="13"/>
        <v>27752</v>
      </c>
      <c r="T34" s="174">
        <f t="shared" si="13"/>
        <v>20429</v>
      </c>
      <c r="U34" s="175">
        <f t="shared" si="13"/>
        <v>22719</v>
      </c>
      <c r="V34" s="174">
        <v>18936</v>
      </c>
      <c r="W34" s="161">
        <v>22225</v>
      </c>
      <c r="X34" s="174">
        <v>25687</v>
      </c>
      <c r="Y34" s="175">
        <v>24938</v>
      </c>
      <c r="Z34" s="174">
        <v>20382</v>
      </c>
      <c r="AA34" s="161">
        <v>52500</v>
      </c>
      <c r="AB34" s="174">
        <v>22165</v>
      </c>
      <c r="AC34" s="175">
        <v>24603</v>
      </c>
      <c r="AD34" s="174">
        <v>28700</v>
      </c>
      <c r="AE34" s="161">
        <v>23749</v>
      </c>
      <c r="AF34" s="161">
        <v>23836</v>
      </c>
      <c r="AG34" s="175">
        <v>25278</v>
      </c>
      <c r="AH34" s="130">
        <v>23039</v>
      </c>
      <c r="AI34" s="175">
        <v>20245</v>
      </c>
      <c r="AJ34" s="175">
        <v>19222</v>
      </c>
      <c r="AK34" s="175">
        <v>21797</v>
      </c>
      <c r="AL34" s="131"/>
      <c r="AM34" s="174">
        <f>SUM(AM21:AM33)</f>
        <v>122704</v>
      </c>
      <c r="AN34" s="174">
        <f>SUM(AN21:AN33)</f>
        <v>63715</v>
      </c>
      <c r="AO34" s="174">
        <f t="shared" si="6"/>
        <v>73553</v>
      </c>
      <c r="AP34" s="111">
        <f>AO34/AS34</f>
        <v>0.8118970351237389</v>
      </c>
      <c r="AQ34" s="171"/>
      <c r="AR34" s="130">
        <f>SUM(AR21:AR33)</f>
        <v>164147</v>
      </c>
      <c r="AS34" s="130">
        <f>SUM(AS21:AS33)</f>
        <v>90594</v>
      </c>
      <c r="AT34" s="130">
        <f>SUM(AT21:AT33)</f>
        <v>94415</v>
      </c>
      <c r="AU34" s="130">
        <v>91786</v>
      </c>
      <c r="AV34" s="175">
        <v>119650</v>
      </c>
      <c r="AW34" s="175">
        <v>101563</v>
      </c>
      <c r="AX34" s="175">
        <v>84303</v>
      </c>
      <c r="AY34" s="219">
        <v>16880</v>
      </c>
      <c r="AZ34" s="219">
        <v>0</v>
      </c>
      <c r="BA34" s="219">
        <v>0</v>
      </c>
      <c r="BB34" s="3"/>
      <c r="BC34" s="3"/>
      <c r="BD34" s="3"/>
      <c r="BG34" s="3"/>
    </row>
    <row r="35" spans="1:59" s="480" customFormat="1" ht="12.75" customHeight="1" thickBot="1" x14ac:dyDescent="0.25">
      <c r="A35" s="2429" t="s">
        <v>307</v>
      </c>
      <c r="B35" s="2430"/>
      <c r="C35" s="177" t="e">
        <f t="shared" si="2"/>
        <v>#REF!</v>
      </c>
      <c r="D35" s="120" t="e">
        <f>-IF(OR((C35/M35)&gt;3,(C35/M35)&lt;-3),"n.m.",(C35/M35))</f>
        <v>#REF!</v>
      </c>
      <c r="E35" s="497"/>
      <c r="F35" s="178" t="e">
        <f t="shared" ref="F35:M35" si="14">+F17-F34</f>
        <v>#REF!</v>
      </c>
      <c r="G35" s="178" t="e">
        <f t="shared" si="14"/>
        <v>#REF!</v>
      </c>
      <c r="H35" s="178" t="e">
        <f t="shared" si="14"/>
        <v>#REF!</v>
      </c>
      <c r="I35" s="179" t="e">
        <f t="shared" si="14"/>
        <v>#REF!</v>
      </c>
      <c r="J35" s="178" t="e">
        <f t="shared" si="14"/>
        <v>#REF!</v>
      </c>
      <c r="K35" s="178" t="e">
        <f t="shared" si="14"/>
        <v>#REF!</v>
      </c>
      <c r="L35" s="178" t="e">
        <f t="shared" si="14"/>
        <v>#REF!</v>
      </c>
      <c r="M35" s="179" t="e">
        <f t="shared" si="14"/>
        <v>#REF!</v>
      </c>
      <c r="N35" s="178" t="e">
        <f>N17-N34</f>
        <v>#REF!</v>
      </c>
      <c r="O35" s="178" t="e">
        <f t="shared" ref="O35:U35" si="15">O17-O34</f>
        <v>#REF!</v>
      </c>
      <c r="P35" s="178" t="e">
        <f t="shared" si="15"/>
        <v>#REF!</v>
      </c>
      <c r="Q35" s="179" t="e">
        <f t="shared" si="15"/>
        <v>#REF!</v>
      </c>
      <c r="R35" s="178">
        <f t="shared" si="15"/>
        <v>5683</v>
      </c>
      <c r="S35" s="178">
        <f t="shared" si="15"/>
        <v>6421</v>
      </c>
      <c r="T35" s="178">
        <f t="shared" si="15"/>
        <v>664</v>
      </c>
      <c r="U35" s="179">
        <f t="shared" si="15"/>
        <v>3987</v>
      </c>
      <c r="V35" s="178">
        <v>1348</v>
      </c>
      <c r="W35" s="178">
        <v>592</v>
      </c>
      <c r="X35" s="178">
        <v>4450</v>
      </c>
      <c r="Y35" s="179">
        <v>2241</v>
      </c>
      <c r="Z35" s="178">
        <v>-3170</v>
      </c>
      <c r="AA35" s="178">
        <v>-35967</v>
      </c>
      <c r="AB35" s="178">
        <v>-3881</v>
      </c>
      <c r="AC35" s="179">
        <v>1018</v>
      </c>
      <c r="AD35" s="178">
        <v>-4631</v>
      </c>
      <c r="AE35" s="161"/>
      <c r="AF35" s="161"/>
      <c r="AG35" s="162"/>
      <c r="AH35" s="499"/>
      <c r="AI35" s="162"/>
      <c r="AJ35" s="162"/>
      <c r="AK35" s="162"/>
      <c r="AL35" s="131"/>
      <c r="AM35" s="453" t="e">
        <f>AM17-AM34</f>
        <v>#REF!</v>
      </c>
      <c r="AN35" s="239" t="e">
        <f>AN17-AN34</f>
        <v>#REF!</v>
      </c>
      <c r="AO35" s="239" t="e">
        <f t="shared" si="6"/>
        <v>#REF!</v>
      </c>
      <c r="AP35" s="120" t="e">
        <f>-IF(OR((AO35/AS35)&gt;3,(AO35/AS35)&lt;-3),"n.m.",(AO35/AS35))</f>
        <v>#REF!</v>
      </c>
      <c r="AQ35" s="171"/>
      <c r="AR35" s="242" t="e">
        <f>AR17-AR34</f>
        <v>#REF!</v>
      </c>
      <c r="AS35" s="242" t="e">
        <f>AS17-AS34</f>
        <v>#REF!</v>
      </c>
      <c r="AT35" s="242">
        <f>AT17-AT34</f>
        <v>16755</v>
      </c>
      <c r="AU35" s="136">
        <v>8631</v>
      </c>
      <c r="AV35" s="136">
        <v>-42000</v>
      </c>
      <c r="AW35" s="136">
        <v>-7359</v>
      </c>
      <c r="AX35" s="136">
        <v>-3630</v>
      </c>
      <c r="AY35" s="220">
        <f>AY17-AY34</f>
        <v>3081</v>
      </c>
      <c r="AZ35" s="220">
        <f>AZ17-AZ34</f>
        <v>0</v>
      </c>
      <c r="BA35" s="312"/>
      <c r="BB35" s="23"/>
      <c r="BC35" s="481"/>
      <c r="BD35" s="481"/>
      <c r="BG35" s="481"/>
    </row>
    <row r="36" spans="1:59" s="480" customFormat="1" ht="12.75" customHeight="1" thickTop="1" x14ac:dyDescent="0.2">
      <c r="A36" s="7"/>
      <c r="B36" s="275"/>
      <c r="C36" s="500"/>
      <c r="D36" s="498"/>
      <c r="E36" s="498"/>
      <c r="F36" s="500"/>
      <c r="G36" s="500"/>
      <c r="H36" s="500"/>
      <c r="I36" s="501"/>
      <c r="J36" s="500"/>
      <c r="K36" s="500"/>
      <c r="L36" s="500"/>
      <c r="M36" s="501"/>
      <c r="N36" s="500"/>
      <c r="O36" s="500"/>
      <c r="P36" s="500"/>
      <c r="Q36" s="501"/>
      <c r="R36" s="500"/>
      <c r="S36" s="500"/>
      <c r="T36" s="500"/>
      <c r="U36" s="501"/>
      <c r="V36" s="500"/>
      <c r="W36" s="500"/>
      <c r="X36" s="500"/>
      <c r="Y36" s="501"/>
      <c r="Z36" s="500"/>
      <c r="AA36" s="500"/>
      <c r="AB36" s="500"/>
      <c r="AC36" s="501"/>
      <c r="AD36" s="501"/>
      <c r="AE36" s="500"/>
      <c r="AF36" s="500"/>
      <c r="AG36" s="500"/>
      <c r="AH36" s="500"/>
      <c r="AI36" s="500"/>
      <c r="AJ36" s="500"/>
      <c r="AK36" s="500"/>
      <c r="AL36" s="329"/>
      <c r="AM36" s="169"/>
      <c r="AN36" s="169"/>
      <c r="AO36" s="180"/>
      <c r="AP36" s="498"/>
      <c r="AQ36" s="329"/>
      <c r="AR36" s="562"/>
      <c r="AS36" s="562"/>
      <c r="AT36" s="562"/>
      <c r="AU36" s="552"/>
      <c r="AV36" s="552"/>
      <c r="AW36" s="501"/>
      <c r="AX36" s="501"/>
      <c r="AY36" s="26"/>
      <c r="AZ36" s="26"/>
      <c r="BA36" s="99"/>
      <c r="BB36" s="481"/>
      <c r="BC36" s="481"/>
      <c r="BD36" s="481"/>
      <c r="BG36" s="481"/>
    </row>
    <row r="37" spans="1:59" s="480" customFormat="1" ht="12.75" hidden="1" customHeight="1" outlineLevel="1" x14ac:dyDescent="0.2">
      <c r="A37" s="7"/>
      <c r="B37" s="275" t="s">
        <v>310</v>
      </c>
      <c r="C37" s="168">
        <f t="shared" si="2"/>
        <v>831</v>
      </c>
      <c r="D37" s="498" t="s">
        <v>38</v>
      </c>
      <c r="E37" s="498"/>
      <c r="F37" s="500"/>
      <c r="G37" s="500"/>
      <c r="H37" s="500"/>
      <c r="I37" s="501">
        <f>+-'7 Canada'!I39</f>
        <v>831</v>
      </c>
      <c r="J37" s="525">
        <v>0</v>
      </c>
      <c r="K37" s="525">
        <v>0</v>
      </c>
      <c r="L37" s="525">
        <v>0</v>
      </c>
      <c r="M37" s="542">
        <v>0</v>
      </c>
      <c r="N37" s="525">
        <v>0</v>
      </c>
      <c r="O37" s="525">
        <v>0</v>
      </c>
      <c r="P37" s="525">
        <v>0</v>
      </c>
      <c r="Q37" s="542">
        <v>0</v>
      </c>
      <c r="R37" s="139"/>
      <c r="S37" s="139"/>
      <c r="T37" s="139"/>
      <c r="U37" s="143"/>
      <c r="V37" s="139"/>
      <c r="W37" s="139"/>
      <c r="X37" s="139"/>
      <c r="Y37" s="143"/>
      <c r="Z37" s="139"/>
      <c r="AA37" s="139"/>
      <c r="AB37" s="139"/>
      <c r="AC37" s="143"/>
      <c r="AD37" s="143"/>
      <c r="AE37" s="249"/>
      <c r="AF37" s="249"/>
      <c r="AG37" s="147"/>
      <c r="AH37" s="147"/>
      <c r="AI37" s="147"/>
      <c r="AJ37" s="147"/>
      <c r="AK37" s="147"/>
      <c r="AL37" s="107"/>
      <c r="AM37" s="483"/>
      <c r="AN37" s="483"/>
      <c r="AO37" s="507"/>
      <c r="AP37" s="498"/>
      <c r="AQ37" s="107"/>
      <c r="AR37" s="549">
        <v>0</v>
      </c>
      <c r="AS37" s="549">
        <v>0</v>
      </c>
      <c r="AT37" s="549">
        <v>0</v>
      </c>
      <c r="AU37" s="549">
        <v>0</v>
      </c>
      <c r="AV37" s="549">
        <v>0</v>
      </c>
      <c r="AW37" s="501">
        <v>960</v>
      </c>
      <c r="AX37" s="501">
        <v>-1614</v>
      </c>
      <c r="AY37" s="26">
        <v>1728</v>
      </c>
      <c r="AZ37" s="26">
        <v>0</v>
      </c>
      <c r="BA37" s="99"/>
      <c r="BB37" s="481"/>
      <c r="BC37" s="481"/>
      <c r="BD37" s="481"/>
      <c r="BG37" s="481"/>
    </row>
    <row r="38" spans="1:59" s="480" customFormat="1" ht="12.75" hidden="1" customHeight="1" outlineLevel="1" x14ac:dyDescent="0.2">
      <c r="A38" s="7"/>
      <c r="B38" s="275" t="s">
        <v>308</v>
      </c>
      <c r="C38" s="176">
        <f t="shared" si="2"/>
        <v>-98</v>
      </c>
      <c r="D38" s="92" t="s">
        <v>38</v>
      </c>
      <c r="E38" s="498"/>
      <c r="F38" s="500"/>
      <c r="G38" s="500"/>
      <c r="H38" s="500"/>
      <c r="I38" s="167">
        <v>-98</v>
      </c>
      <c r="J38" s="564">
        <v>0</v>
      </c>
      <c r="K38" s="564">
        <v>0</v>
      </c>
      <c r="L38" s="564">
        <v>0</v>
      </c>
      <c r="M38" s="565">
        <v>0</v>
      </c>
      <c r="N38" s="564">
        <v>0</v>
      </c>
      <c r="O38" s="564">
        <v>0</v>
      </c>
      <c r="P38" s="564">
        <v>0</v>
      </c>
      <c r="Q38" s="565">
        <v>0</v>
      </c>
      <c r="R38" s="139"/>
      <c r="S38" s="139"/>
      <c r="T38" s="139"/>
      <c r="U38" s="143"/>
      <c r="V38" s="139"/>
      <c r="W38" s="139"/>
      <c r="X38" s="139"/>
      <c r="Y38" s="143"/>
      <c r="Z38" s="139"/>
      <c r="AA38" s="139"/>
      <c r="AB38" s="139"/>
      <c r="AC38" s="143"/>
      <c r="AD38" s="139"/>
      <c r="AE38" s="139"/>
      <c r="AF38" s="139"/>
      <c r="AG38" s="139"/>
      <c r="AH38" s="139"/>
      <c r="AI38" s="139"/>
      <c r="AJ38" s="139"/>
      <c r="AK38" s="139"/>
      <c r="AL38" s="107"/>
      <c r="AM38" s="483"/>
      <c r="AN38" s="483"/>
      <c r="AO38" s="507"/>
      <c r="AP38" s="498"/>
      <c r="AQ38" s="483"/>
      <c r="AR38" s="566">
        <v>0</v>
      </c>
      <c r="AS38" s="566">
        <v>0</v>
      </c>
      <c r="AT38" s="566">
        <v>0</v>
      </c>
      <c r="AU38" s="566">
        <v>0</v>
      </c>
      <c r="AV38" s="566">
        <v>0</v>
      </c>
      <c r="AW38" s="501"/>
      <c r="AX38" s="501"/>
      <c r="AY38" s="26"/>
      <c r="AZ38" s="26"/>
      <c r="BA38" s="99"/>
      <c r="BB38" s="481"/>
      <c r="BC38" s="481"/>
      <c r="BD38" s="481"/>
      <c r="BG38" s="481"/>
    </row>
    <row r="39" spans="1:59" s="480" customFormat="1" ht="12.75" customHeight="1" collapsed="1" x14ac:dyDescent="0.2">
      <c r="A39" s="7"/>
      <c r="B39" s="6" t="s">
        <v>313</v>
      </c>
      <c r="C39" s="168">
        <f t="shared" si="2"/>
        <v>733</v>
      </c>
      <c r="D39" s="498" t="s">
        <v>38</v>
      </c>
      <c r="E39" s="498"/>
      <c r="F39" s="139"/>
      <c r="G39" s="139"/>
      <c r="H39" s="139"/>
      <c r="I39" s="143">
        <f>+I37+I38</f>
        <v>733</v>
      </c>
      <c r="J39" s="525">
        <v>0</v>
      </c>
      <c r="K39" s="525">
        <v>0</v>
      </c>
      <c r="L39" s="525">
        <v>0</v>
      </c>
      <c r="M39" s="542">
        <v>0</v>
      </c>
      <c r="N39" s="525">
        <v>0</v>
      </c>
      <c r="O39" s="525">
        <v>0</v>
      </c>
      <c r="P39" s="525">
        <v>0</v>
      </c>
      <c r="Q39" s="542">
        <v>0</v>
      </c>
      <c r="R39" s="139"/>
      <c r="S39" s="139"/>
      <c r="T39" s="139"/>
      <c r="U39" s="143"/>
      <c r="V39" s="139"/>
      <c r="W39" s="139"/>
      <c r="X39" s="139"/>
      <c r="Y39" s="143"/>
      <c r="Z39" s="139"/>
      <c r="AA39" s="139"/>
      <c r="AB39" s="139"/>
      <c r="AC39" s="143"/>
      <c r="AD39" s="143"/>
      <c r="AE39" s="249"/>
      <c r="AF39" s="249"/>
      <c r="AG39" s="147"/>
      <c r="AH39" s="147"/>
      <c r="AI39" s="147"/>
      <c r="AJ39" s="147"/>
      <c r="AK39" s="147"/>
      <c r="AL39" s="107"/>
      <c r="AM39" s="483"/>
      <c r="AN39" s="483"/>
      <c r="AO39" s="507"/>
      <c r="AP39" s="498"/>
      <c r="AQ39" s="107"/>
      <c r="AR39" s="549">
        <v>0</v>
      </c>
      <c r="AS39" s="549">
        <v>0</v>
      </c>
      <c r="AT39" s="549">
        <v>0</v>
      </c>
      <c r="AU39" s="549">
        <v>0</v>
      </c>
      <c r="AV39" s="549">
        <v>0</v>
      </c>
      <c r="AW39" s="501"/>
      <c r="AX39" s="501"/>
      <c r="AY39" s="507"/>
      <c r="AZ39" s="26"/>
      <c r="BA39" s="99"/>
      <c r="BB39" s="483"/>
      <c r="BC39" s="483"/>
      <c r="BG39" s="481"/>
    </row>
    <row r="40" spans="1:59" s="480" customFormat="1" ht="12.75" customHeight="1" x14ac:dyDescent="0.2">
      <c r="A40" s="7"/>
      <c r="B40" s="6"/>
      <c r="C40" s="490"/>
      <c r="D40" s="498"/>
      <c r="E40" s="497"/>
      <c r="F40" s="500"/>
      <c r="G40" s="500"/>
      <c r="H40" s="500"/>
      <c r="I40" s="501"/>
      <c r="J40" s="500"/>
      <c r="K40" s="500"/>
      <c r="L40" s="500"/>
      <c r="M40" s="501"/>
      <c r="N40" s="500"/>
      <c r="O40" s="500"/>
      <c r="P40" s="500"/>
      <c r="Q40" s="501"/>
      <c r="R40" s="500"/>
      <c r="S40" s="500"/>
      <c r="T40" s="500"/>
      <c r="U40" s="501"/>
      <c r="V40" s="500"/>
      <c r="W40" s="500"/>
      <c r="X40" s="500"/>
      <c r="Y40" s="501"/>
      <c r="Z40" s="500"/>
      <c r="AA40" s="166"/>
      <c r="AB40" s="166"/>
      <c r="AC40" s="167"/>
      <c r="AD40" s="500"/>
      <c r="AE40" s="500"/>
      <c r="AF40" s="500"/>
      <c r="AG40" s="501"/>
      <c r="AH40" s="499"/>
      <c r="AI40" s="501"/>
      <c r="AJ40" s="501"/>
      <c r="AK40" s="501"/>
      <c r="AL40" s="131"/>
      <c r="AM40" s="169"/>
      <c r="AN40" s="169"/>
      <c r="AO40" s="180"/>
      <c r="AP40" s="498"/>
      <c r="AQ40" s="171"/>
      <c r="AR40" s="190"/>
      <c r="AS40" s="190"/>
      <c r="AT40" s="190"/>
      <c r="AU40" s="134"/>
      <c r="AV40" s="134"/>
      <c r="AW40" s="499"/>
      <c r="AX40" s="499"/>
      <c r="AY40" s="37"/>
      <c r="AZ40" s="37"/>
      <c r="BA40" s="224"/>
      <c r="BB40" s="481"/>
      <c r="BC40" s="481"/>
      <c r="BD40" s="481"/>
      <c r="BG40" s="481"/>
    </row>
    <row r="41" spans="1:59" s="53" customFormat="1" ht="12.75" customHeight="1" thickBot="1" x14ac:dyDescent="0.25">
      <c r="A41" s="2429" t="s">
        <v>69</v>
      </c>
      <c r="B41" s="2430"/>
      <c r="C41" s="268" t="e">
        <f>I41-M41</f>
        <v>#REF!</v>
      </c>
      <c r="D41" s="120" t="e">
        <f>IF(OR((C41/M41)&gt;3,(C41/M41)&lt;-3),"n.m.",(C41/M41))</f>
        <v>#REF!</v>
      </c>
      <c r="E41" s="497"/>
      <c r="F41" s="178"/>
      <c r="G41" s="178"/>
      <c r="H41" s="178"/>
      <c r="I41" s="179" t="e">
        <f>+I35-I37-I38</f>
        <v>#REF!</v>
      </c>
      <c r="J41" s="178" t="e">
        <f t="shared" ref="J41:Q41" si="16">+J35-J37-J38</f>
        <v>#REF!</v>
      </c>
      <c r="K41" s="178" t="e">
        <f t="shared" si="16"/>
        <v>#REF!</v>
      </c>
      <c r="L41" s="178" t="e">
        <f t="shared" si="16"/>
        <v>#REF!</v>
      </c>
      <c r="M41" s="179" t="e">
        <f t="shared" si="16"/>
        <v>#REF!</v>
      </c>
      <c r="N41" s="178" t="e">
        <f t="shared" si="16"/>
        <v>#REF!</v>
      </c>
      <c r="O41" s="178" t="e">
        <f t="shared" si="16"/>
        <v>#REF!</v>
      </c>
      <c r="P41" s="178" t="e">
        <f t="shared" si="16"/>
        <v>#REF!</v>
      </c>
      <c r="Q41" s="179" t="e">
        <f t="shared" si="16"/>
        <v>#REF!</v>
      </c>
      <c r="R41" s="178"/>
      <c r="S41" s="178"/>
      <c r="T41" s="178"/>
      <c r="U41" s="179"/>
      <c r="V41" s="178">
        <v>1348</v>
      </c>
      <c r="W41" s="178">
        <v>592</v>
      </c>
      <c r="X41" s="178">
        <v>4517</v>
      </c>
      <c r="Y41" s="179">
        <v>2142</v>
      </c>
      <c r="Z41" s="178">
        <v>-3222</v>
      </c>
      <c r="AA41" s="274">
        <v>-35967</v>
      </c>
      <c r="AB41" s="274">
        <v>-3881</v>
      </c>
      <c r="AC41" s="276">
        <v>756</v>
      </c>
      <c r="AD41" s="178">
        <v>-4551</v>
      </c>
      <c r="AE41" s="178">
        <v>-642</v>
      </c>
      <c r="AF41" s="178">
        <v>-3182</v>
      </c>
      <c r="AG41" s="179">
        <v>1096</v>
      </c>
      <c r="AH41" s="136">
        <v>-3204</v>
      </c>
      <c r="AI41" s="179">
        <v>-1632</v>
      </c>
      <c r="AJ41" s="179">
        <v>-477</v>
      </c>
      <c r="AK41" s="179">
        <v>2188</v>
      </c>
      <c r="AL41" s="131"/>
      <c r="AM41" s="169"/>
      <c r="AN41" s="169"/>
      <c r="AO41" s="239">
        <v>8599</v>
      </c>
      <c r="AP41" s="120" t="e">
        <v>#DIV/0!</v>
      </c>
      <c r="AQ41" s="171"/>
      <c r="AR41" s="242" t="e">
        <f>+AR35-AR37-AR38</f>
        <v>#REF!</v>
      </c>
      <c r="AS41" s="242" t="e">
        <f>+AS35-AS37-AS38</f>
        <v>#REF!</v>
      </c>
      <c r="AT41" s="242">
        <f>+AT35-AT37-AT38</f>
        <v>16755</v>
      </c>
      <c r="AU41" s="136">
        <f>+AU35-AU37-AU38</f>
        <v>8631</v>
      </c>
      <c r="AV41" s="136">
        <f>+AV35-AV37-AV38</f>
        <v>-42000</v>
      </c>
      <c r="AW41" s="136">
        <v>-8319</v>
      </c>
      <c r="AX41" s="136">
        <v>-2016</v>
      </c>
      <c r="AY41" s="220">
        <f>AY35-AY37</f>
        <v>1353</v>
      </c>
      <c r="AZ41" s="220">
        <f>AZ35-AZ37</f>
        <v>0</v>
      </c>
      <c r="BA41" s="220">
        <v>0</v>
      </c>
      <c r="BB41" s="481"/>
      <c r="BC41" s="137"/>
      <c r="BD41" s="137"/>
      <c r="BG41" s="137"/>
    </row>
    <row r="42" spans="1:59" s="53" customFormat="1" ht="12.75" customHeight="1" thickTop="1" x14ac:dyDescent="0.2">
      <c r="A42" s="86"/>
      <c r="B42" s="85"/>
      <c r="C42" s="160"/>
      <c r="D42" s="35"/>
      <c r="E42" s="35"/>
      <c r="F42" s="500"/>
      <c r="G42" s="500"/>
      <c r="H42" s="500"/>
      <c r="I42" s="500"/>
      <c r="J42" s="500"/>
      <c r="K42" s="500"/>
      <c r="L42" s="500"/>
      <c r="M42" s="500"/>
      <c r="N42" s="460"/>
      <c r="O42" s="4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71"/>
      <c r="AM42" s="171"/>
      <c r="AN42" s="171"/>
      <c r="AO42" s="160"/>
      <c r="AP42" s="35"/>
      <c r="AQ42" s="171"/>
      <c r="AR42" s="169"/>
      <c r="AS42" s="169"/>
      <c r="AT42" s="169"/>
      <c r="AU42" s="160"/>
      <c r="AV42" s="532"/>
      <c r="AW42" s="531"/>
      <c r="AX42" s="160"/>
      <c r="AY42" s="28"/>
      <c r="AZ42" s="28"/>
      <c r="BA42" s="28"/>
      <c r="BB42" s="481"/>
      <c r="BC42" s="137"/>
      <c r="BD42" s="137"/>
      <c r="BG42" s="137"/>
    </row>
    <row r="43" spans="1:59" s="53" customFormat="1" ht="12.75" customHeight="1" x14ac:dyDescent="0.2">
      <c r="A43" s="6" t="s">
        <v>276</v>
      </c>
      <c r="B43" s="408"/>
      <c r="C43" s="154" t="e">
        <f t="shared" ref="C43:C49" si="17">((I43-M43)*100)</f>
        <v>#REF!</v>
      </c>
      <c r="D43" s="508"/>
      <c r="E43" s="508"/>
      <c r="F43" s="259" t="e">
        <f t="shared" ref="F43:I44" si="18">+F19/F$17</f>
        <v>#REF!</v>
      </c>
      <c r="G43" s="259" t="e">
        <f t="shared" si="18"/>
        <v>#REF!</v>
      </c>
      <c r="H43" s="259" t="e">
        <f t="shared" si="18"/>
        <v>#REF!</v>
      </c>
      <c r="I43" s="259" t="e">
        <f t="shared" si="18"/>
        <v>#REF!</v>
      </c>
      <c r="J43" s="259" t="e">
        <f t="shared" ref="J43:L44" si="19">+J19/J$17</f>
        <v>#REF!</v>
      </c>
      <c r="K43" s="259" t="e">
        <f t="shared" si="19"/>
        <v>#REF!</v>
      </c>
      <c r="L43" s="259" t="e">
        <f t="shared" si="19"/>
        <v>#REF!</v>
      </c>
      <c r="M43" s="259" t="e">
        <f t="shared" ref="M43:T43" si="20">+M19/M$17</f>
        <v>#REF!</v>
      </c>
      <c r="N43" s="259" t="e">
        <f t="shared" si="20"/>
        <v>#REF!</v>
      </c>
      <c r="O43" s="259" t="e">
        <f t="shared" si="20"/>
        <v>#REF!</v>
      </c>
      <c r="P43" s="259" t="e">
        <f t="shared" si="20"/>
        <v>#REF!</v>
      </c>
      <c r="Q43" s="259" t="e">
        <f t="shared" si="20"/>
        <v>#REF!</v>
      </c>
      <c r="R43" s="259">
        <f t="shared" si="20"/>
        <v>0.51500102746763476</v>
      </c>
      <c r="S43" s="259">
        <f t="shared" si="20"/>
        <v>0.52679015597108825</v>
      </c>
      <c r="T43" s="259">
        <f t="shared" si="20"/>
        <v>0.48532688569667665</v>
      </c>
      <c r="U43" s="500"/>
      <c r="V43" s="500"/>
      <c r="W43" s="500"/>
      <c r="X43" s="500"/>
      <c r="Y43" s="500"/>
      <c r="Z43" s="500"/>
      <c r="AA43" s="500"/>
      <c r="AB43" s="500"/>
      <c r="AC43" s="500"/>
      <c r="AD43" s="500"/>
      <c r="AE43" s="500"/>
      <c r="AF43" s="500"/>
      <c r="AG43" s="500"/>
      <c r="AH43" s="500"/>
      <c r="AI43" s="500"/>
      <c r="AJ43" s="500"/>
      <c r="AK43" s="500"/>
      <c r="AL43" s="171"/>
      <c r="AM43" s="259" t="e">
        <f>+AM19/AM$17</f>
        <v>#REF!</v>
      </c>
      <c r="AN43" s="259" t="e">
        <f>+AN19/AN$17</f>
        <v>#REF!</v>
      </c>
      <c r="AO43" s="385" t="e">
        <f t="shared" ref="AO43:AO49" si="21">(AR43-AS43)*100</f>
        <v>#REF!</v>
      </c>
      <c r="AP43" s="508"/>
      <c r="AQ43" s="171"/>
      <c r="AR43" s="259" t="e">
        <f t="shared" ref="AR43:AW44" si="22">+AR19/AR$17</f>
        <v>#REF!</v>
      </c>
      <c r="AS43" s="259" t="e">
        <f t="shared" si="22"/>
        <v>#REF!</v>
      </c>
      <c r="AT43" s="259">
        <f t="shared" si="22"/>
        <v>0.51079427903211294</v>
      </c>
      <c r="AU43" s="259">
        <f t="shared" si="22"/>
        <v>0.54261728591772307</v>
      </c>
      <c r="AV43" s="259">
        <f t="shared" si="22"/>
        <v>0.46202189311010944</v>
      </c>
      <c r="AW43" s="259">
        <f t="shared" si="22"/>
        <v>0.52591185087682046</v>
      </c>
      <c r="AX43" s="500"/>
      <c r="AY43" s="507"/>
      <c r="AZ43" s="507"/>
      <c r="BA43" s="507"/>
      <c r="BB43" s="481"/>
      <c r="BC43" s="137"/>
      <c r="BD43" s="137"/>
      <c r="BG43" s="137"/>
    </row>
    <row r="44" spans="1:59" s="53" customFormat="1" ht="12.75" customHeight="1" x14ac:dyDescent="0.2">
      <c r="A44" s="6" t="s">
        <v>277</v>
      </c>
      <c r="B44" s="408"/>
      <c r="C44" s="154" t="e">
        <f t="shared" si="17"/>
        <v>#REF!</v>
      </c>
      <c r="D44" s="508"/>
      <c r="E44" s="508"/>
      <c r="F44" s="259" t="e">
        <f t="shared" si="18"/>
        <v>#REF!</v>
      </c>
      <c r="G44" s="259" t="e">
        <f t="shared" si="18"/>
        <v>#REF!</v>
      </c>
      <c r="H44" s="259" t="e">
        <f t="shared" si="18"/>
        <v>#REF!</v>
      </c>
      <c r="I44" s="259" t="e">
        <f t="shared" si="18"/>
        <v>#REF!</v>
      </c>
      <c r="J44" s="259" t="e">
        <f t="shared" si="19"/>
        <v>#REF!</v>
      </c>
      <c r="K44" s="259" t="e">
        <f t="shared" si="19"/>
        <v>#REF!</v>
      </c>
      <c r="L44" s="259" t="e">
        <f t="shared" si="19"/>
        <v>#REF!</v>
      </c>
      <c r="M44" s="259" t="e">
        <f t="shared" ref="M44:T44" si="23">+M20/M$17</f>
        <v>#REF!</v>
      </c>
      <c r="N44" s="259" t="e">
        <f t="shared" si="23"/>
        <v>#REF!</v>
      </c>
      <c r="O44" s="259" t="e">
        <f t="shared" si="23"/>
        <v>#REF!</v>
      </c>
      <c r="P44" s="259" t="e">
        <f t="shared" si="23"/>
        <v>#REF!</v>
      </c>
      <c r="Q44" s="259" t="e">
        <f t="shared" si="23"/>
        <v>#REF!</v>
      </c>
      <c r="R44" s="259">
        <f t="shared" si="23"/>
        <v>1.1199397218987602E-2</v>
      </c>
      <c r="S44" s="259">
        <f t="shared" si="23"/>
        <v>1.1412518655078571E-2</v>
      </c>
      <c r="T44" s="259">
        <f t="shared" si="23"/>
        <v>6.1205139145688141E-2</v>
      </c>
      <c r="U44" s="500"/>
      <c r="V44" s="500"/>
      <c r="W44" s="500"/>
      <c r="X44" s="500"/>
      <c r="Y44" s="500"/>
      <c r="Z44" s="500"/>
      <c r="AA44" s="500"/>
      <c r="AB44" s="500"/>
      <c r="AC44" s="500"/>
      <c r="AD44" s="500"/>
      <c r="AE44" s="500"/>
      <c r="AF44" s="500"/>
      <c r="AG44" s="500"/>
      <c r="AH44" s="500"/>
      <c r="AI44" s="500"/>
      <c r="AJ44" s="500"/>
      <c r="AK44" s="500"/>
      <c r="AL44" s="171"/>
      <c r="AM44" s="259" t="e">
        <f>+AM20/AM$17</f>
        <v>#REF!</v>
      </c>
      <c r="AN44" s="259" t="e">
        <f>+AN20/AN$17</f>
        <v>#REF!</v>
      </c>
      <c r="AO44" s="385" t="e">
        <f t="shared" si="21"/>
        <v>#REF!</v>
      </c>
      <c r="AP44" s="508"/>
      <c r="AQ44" s="171"/>
      <c r="AR44" s="259" t="e">
        <f t="shared" si="22"/>
        <v>#REF!</v>
      </c>
      <c r="AS44" s="259" t="e">
        <f t="shared" si="22"/>
        <v>#REF!</v>
      </c>
      <c r="AT44" s="259">
        <f t="shared" si="22"/>
        <v>2.5717369794009175E-2</v>
      </c>
      <c r="AU44" s="259">
        <f t="shared" si="22"/>
        <v>5.8257068026330199E-3</v>
      </c>
      <c r="AV44" s="259">
        <f t="shared" si="22"/>
        <v>1.9446233097231167E-3</v>
      </c>
      <c r="AW44" s="32">
        <f t="shared" si="22"/>
        <v>-8.524054180289585E-3</v>
      </c>
      <c r="AX44" s="500"/>
      <c r="AY44" s="507"/>
      <c r="AZ44" s="507"/>
      <c r="BA44" s="507"/>
      <c r="BB44" s="481"/>
      <c r="BC44" s="137"/>
      <c r="BD44" s="137"/>
      <c r="BG44" s="137"/>
    </row>
    <row r="45" spans="1:59" s="53" customFormat="1" ht="12.75" customHeight="1" x14ac:dyDescent="0.2">
      <c r="A45" s="88" t="s">
        <v>71</v>
      </c>
      <c r="B45" s="85"/>
      <c r="C45" s="154" t="e">
        <f t="shared" si="17"/>
        <v>#REF!</v>
      </c>
      <c r="D45" s="32"/>
      <c r="E45" s="32"/>
      <c r="F45" s="32" t="e">
        <f t="shared" ref="F45:K45" si="24">F21/F17</f>
        <v>#REF!</v>
      </c>
      <c r="G45" s="32" t="e">
        <f t="shared" si="24"/>
        <v>#REF!</v>
      </c>
      <c r="H45" s="32" t="e">
        <f t="shared" si="24"/>
        <v>#REF!</v>
      </c>
      <c r="I45" s="32" t="e">
        <f t="shared" si="24"/>
        <v>#REF!</v>
      </c>
      <c r="J45" s="32" t="e">
        <f t="shared" si="24"/>
        <v>#REF!</v>
      </c>
      <c r="K45" s="32" t="e">
        <f t="shared" si="24"/>
        <v>#REF!</v>
      </c>
      <c r="L45" s="32" t="e">
        <f t="shared" ref="L45:Q45" si="25">L21/L17</f>
        <v>#REF!</v>
      </c>
      <c r="M45" s="32" t="e">
        <f t="shared" si="25"/>
        <v>#REF!</v>
      </c>
      <c r="N45" s="32" t="e">
        <f t="shared" si="25"/>
        <v>#REF!</v>
      </c>
      <c r="O45" s="32" t="e">
        <f t="shared" si="25"/>
        <v>#REF!</v>
      </c>
      <c r="P45" s="32" t="e">
        <f t="shared" si="25"/>
        <v>#REF!</v>
      </c>
      <c r="Q45" s="32" t="e">
        <f t="shared" si="25"/>
        <v>#REF!</v>
      </c>
      <c r="R45" s="32">
        <f>R21/R17</f>
        <v>0.52620042468662243</v>
      </c>
      <c r="S45" s="32">
        <f>S21/S17</f>
        <v>0.53820267462616689</v>
      </c>
      <c r="T45" s="32">
        <f>T21/T17</f>
        <v>0.54653202484236474</v>
      </c>
      <c r="U45" s="32">
        <f>U21/U17</f>
        <v>0.53770688234853592</v>
      </c>
      <c r="V45" s="32">
        <v>0.56147702622756857</v>
      </c>
      <c r="W45" s="32">
        <v>0.58158390673620541</v>
      </c>
      <c r="X45" s="32">
        <v>0.55350565749742842</v>
      </c>
      <c r="Y45" s="32">
        <v>0.50527981161926483</v>
      </c>
      <c r="Z45" s="32">
        <v>0.49459679293516151</v>
      </c>
      <c r="AA45" s="32">
        <v>0.49041311316760416</v>
      </c>
      <c r="AB45" s="32">
        <v>0.45988311759244088</v>
      </c>
      <c r="AC45" s="32">
        <v>0.42878888411849653</v>
      </c>
      <c r="AD45" s="32">
        <v>0.60099999999999998</v>
      </c>
      <c r="AE45" s="32">
        <v>0.53500000000000003</v>
      </c>
      <c r="AF45" s="32">
        <v>0.45900000000000002</v>
      </c>
      <c r="AG45" s="32">
        <v>0.46800000000000003</v>
      </c>
      <c r="AH45" s="32">
        <v>0.52700000000000002</v>
      </c>
      <c r="AI45" s="32">
        <v>0.52800000000000002</v>
      </c>
      <c r="AJ45" s="32">
        <v>0.498</v>
      </c>
      <c r="AK45" s="32">
        <v>0.53800000000000003</v>
      </c>
      <c r="AL45" s="32"/>
      <c r="AM45" s="32" t="e">
        <f>AM21/AM17</f>
        <v>#REF!</v>
      </c>
      <c r="AN45" s="32" t="e">
        <f>AN21/AN17</f>
        <v>#REF!</v>
      </c>
      <c r="AO45" s="385" t="e">
        <f t="shared" si="21"/>
        <v>#REF!</v>
      </c>
      <c r="AP45" s="362"/>
      <c r="AQ45" s="32"/>
      <c r="AR45" s="32" t="e">
        <f>AR21/AR17</f>
        <v>#REF!</v>
      </c>
      <c r="AS45" s="32" t="e">
        <f>AS21/AS17</f>
        <v>#REF!</v>
      </c>
      <c r="AT45" s="32">
        <f>AT21/AT17</f>
        <v>0.53651164882612212</v>
      </c>
      <c r="AU45" s="32">
        <v>0.54844299272035613</v>
      </c>
      <c r="AV45" s="32">
        <v>0.46396651641983261</v>
      </c>
      <c r="AW45" s="32">
        <v>0.51636825934950736</v>
      </c>
      <c r="AX45" s="32">
        <v>0.52400000000000002</v>
      </c>
      <c r="AY45" s="222">
        <v>0.45600000000000002</v>
      </c>
      <c r="AZ45" s="222">
        <v>0</v>
      </c>
      <c r="BA45" s="222">
        <v>0</v>
      </c>
      <c r="BB45" s="3"/>
      <c r="BC45" s="137"/>
      <c r="BD45" s="137"/>
      <c r="BG45" s="137"/>
    </row>
    <row r="46" spans="1:59" s="53" customFormat="1" ht="12.75" customHeight="1" x14ac:dyDescent="0.2">
      <c r="A46" s="485" t="s">
        <v>269</v>
      </c>
      <c r="B46" s="85"/>
      <c r="C46" s="154" t="e">
        <f t="shared" si="17"/>
        <v>#REF!</v>
      </c>
      <c r="D46" s="32"/>
      <c r="E46" s="32"/>
      <c r="F46" s="32" t="e">
        <f t="shared" ref="F46:K46" si="26">(F21+F22)/F17</f>
        <v>#REF!</v>
      </c>
      <c r="G46" s="32" t="e">
        <f t="shared" si="26"/>
        <v>#REF!</v>
      </c>
      <c r="H46" s="32" t="e">
        <f t="shared" si="26"/>
        <v>#REF!</v>
      </c>
      <c r="I46" s="32" t="e">
        <f t="shared" si="26"/>
        <v>#REF!</v>
      </c>
      <c r="J46" s="32" t="e">
        <f t="shared" si="26"/>
        <v>#REF!</v>
      </c>
      <c r="K46" s="32" t="e">
        <f t="shared" si="26"/>
        <v>#REF!</v>
      </c>
      <c r="L46" s="32" t="e">
        <f t="shared" ref="L46:Q46" si="27">(L21+L22)/L17</f>
        <v>#REF!</v>
      </c>
      <c r="M46" s="32" t="e">
        <f t="shared" si="27"/>
        <v>#REF!</v>
      </c>
      <c r="N46" s="32" t="e">
        <f t="shared" si="27"/>
        <v>#REF!</v>
      </c>
      <c r="O46" s="32" t="e">
        <f t="shared" si="27"/>
        <v>#REF!</v>
      </c>
      <c r="P46" s="32" t="e">
        <f t="shared" si="27"/>
        <v>#REF!</v>
      </c>
      <c r="Q46" s="32" t="e">
        <f t="shared" si="27"/>
        <v>#REF!</v>
      </c>
      <c r="R46" s="32">
        <f>(R21+R22)/R17</f>
        <v>0.56623741352147405</v>
      </c>
      <c r="S46" s="32">
        <f>(S21+S22)/S17</f>
        <v>0.57478126005911101</v>
      </c>
      <c r="T46" s="32">
        <f>(T21+T22)/T17</f>
        <v>0.60887498222159009</v>
      </c>
      <c r="U46" s="32">
        <f>(U21+U22)/U17</f>
        <v>0.58215382311091135</v>
      </c>
      <c r="V46" s="32">
        <v>0.60841056990731612</v>
      </c>
      <c r="W46" s="32">
        <v>0.63373800236665645</v>
      </c>
      <c r="X46" s="32">
        <v>0.59063609516541127</v>
      </c>
      <c r="Y46" s="32">
        <v>0.54520033849663341</v>
      </c>
      <c r="Z46" s="32">
        <v>0.5641993957703928</v>
      </c>
      <c r="AA46" s="32">
        <v>0.56444686384806142</v>
      </c>
      <c r="AB46" s="32">
        <v>0.52684472117537828</v>
      </c>
      <c r="AC46" s="32">
        <v>0.48784200460559696</v>
      </c>
      <c r="AD46" s="32">
        <v>0.64100000000000001</v>
      </c>
      <c r="AE46" s="32">
        <v>0.57899999999999996</v>
      </c>
      <c r="AF46" s="32">
        <v>0.51900000000000002</v>
      </c>
      <c r="AG46" s="32">
        <v>0.51500000000000001</v>
      </c>
      <c r="AH46" s="32">
        <v>0.59399999999999997</v>
      </c>
      <c r="AI46" s="32">
        <v>0.59299999999999997</v>
      </c>
      <c r="AJ46" s="32">
        <v>0.54200000000000004</v>
      </c>
      <c r="AK46" s="32">
        <v>0.61099999999999999</v>
      </c>
      <c r="AL46" s="32"/>
      <c r="AM46" s="32" t="e">
        <f>(AM21+AM22)/AM17</f>
        <v>#REF!</v>
      </c>
      <c r="AN46" s="32" t="e">
        <f>(AN21+AN22)/AN17</f>
        <v>#REF!</v>
      </c>
      <c r="AO46" s="385" t="e">
        <f t="shared" si="21"/>
        <v>#REF!</v>
      </c>
      <c r="AP46" s="362"/>
      <c r="AQ46" s="32"/>
      <c r="AR46" s="32" t="e">
        <f>(AR21+AR22)/AR17</f>
        <v>#REF!</v>
      </c>
      <c r="AS46" s="32" t="e">
        <f>(AS21+AS22)/AS17</f>
        <v>#REF!</v>
      </c>
      <c r="AT46" s="32">
        <f>(AT21+AT22)/AT17</f>
        <v>0.58077718809031209</v>
      </c>
      <c r="AU46" s="32">
        <v>0.59172251710367763</v>
      </c>
      <c r="AV46" s="32">
        <v>0.53043142305215707</v>
      </c>
      <c r="AW46" s="32">
        <v>0.56386269731963135</v>
      </c>
      <c r="AX46" s="32">
        <v>0.58699999999999997</v>
      </c>
      <c r="AY46" s="222">
        <v>0.53600000000000003</v>
      </c>
      <c r="AZ46" s="222">
        <v>0</v>
      </c>
      <c r="BA46" s="222">
        <v>0</v>
      </c>
      <c r="BB46" s="3"/>
      <c r="BC46" s="137"/>
      <c r="BD46" s="137"/>
      <c r="BG46" s="137"/>
    </row>
    <row r="47" spans="1:59" s="53" customFormat="1" ht="12.75" customHeight="1" x14ac:dyDescent="0.2">
      <c r="A47" s="88" t="s">
        <v>72</v>
      </c>
      <c r="B47" s="85"/>
      <c r="C47" s="154" t="e">
        <f t="shared" si="17"/>
        <v>#REF!</v>
      </c>
      <c r="D47" s="32"/>
      <c r="E47" s="32"/>
      <c r="F47" s="32" t="e">
        <f t="shared" ref="F47:S47" si="28">(F34-F21-F22)/F17</f>
        <v>#REF!</v>
      </c>
      <c r="G47" s="32" t="e">
        <f t="shared" si="28"/>
        <v>#REF!</v>
      </c>
      <c r="H47" s="32" t="e">
        <f t="shared" si="28"/>
        <v>#REF!</v>
      </c>
      <c r="I47" s="32" t="e">
        <f t="shared" si="28"/>
        <v>#REF!</v>
      </c>
      <c r="J47" s="32" t="e">
        <f t="shared" si="28"/>
        <v>#REF!</v>
      </c>
      <c r="K47" s="32" t="e">
        <f t="shared" si="28"/>
        <v>#REF!</v>
      </c>
      <c r="L47" s="32" t="e">
        <f t="shared" si="28"/>
        <v>#REF!</v>
      </c>
      <c r="M47" s="32" t="e">
        <f t="shared" si="28"/>
        <v>#REF!</v>
      </c>
      <c r="N47" s="32" t="e">
        <f t="shared" si="28"/>
        <v>#REF!</v>
      </c>
      <c r="O47" s="32" t="e">
        <f t="shared" si="28"/>
        <v>#REF!</v>
      </c>
      <c r="P47" s="32" t="e">
        <f t="shared" si="28"/>
        <v>#REF!</v>
      </c>
      <c r="Q47" s="32" t="e">
        <f t="shared" si="28"/>
        <v>#REF!</v>
      </c>
      <c r="R47" s="32">
        <f t="shared" si="28"/>
        <v>0.23912596753202275</v>
      </c>
      <c r="S47" s="32">
        <f t="shared" si="28"/>
        <v>0.23732186228894156</v>
      </c>
      <c r="T47" s="32">
        <f>(T24+T25+T26+T27+T28+T29+T30+T31+T33)/T17</f>
        <v>0.35964537998388091</v>
      </c>
      <c r="U47" s="32">
        <f>(U24+U25+U26+U27+U28+U29+U30+U31+U33)/U17</f>
        <v>0.26855388302254174</v>
      </c>
      <c r="V47" s="32">
        <v>0.32513310984026816</v>
      </c>
      <c r="W47" s="32">
        <v>0.34031643073147216</v>
      </c>
      <c r="X47" s="32">
        <v>0.26170488104323592</v>
      </c>
      <c r="Y47" s="32">
        <v>0.37234629677324405</v>
      </c>
      <c r="Z47" s="32">
        <v>0.61997443643969319</v>
      </c>
      <c r="AA47" s="32">
        <v>2.6110203834754735</v>
      </c>
      <c r="AB47" s="32">
        <v>0.68376208422087503</v>
      </c>
      <c r="AC47" s="32">
        <v>0.47242496389680338</v>
      </c>
      <c r="AD47" s="32">
        <v>0.55000000000000004</v>
      </c>
      <c r="AE47" s="32">
        <v>0.44799999999999995</v>
      </c>
      <c r="AF47" s="32">
        <v>0.63</v>
      </c>
      <c r="AG47" s="32">
        <v>0.44199999999999995</v>
      </c>
      <c r="AH47" s="32">
        <v>0.56300000000000006</v>
      </c>
      <c r="AI47" s="32">
        <v>0.495</v>
      </c>
      <c r="AJ47" s="32">
        <v>0.48299999999999987</v>
      </c>
      <c r="AK47" s="32">
        <v>0.29800000000000004</v>
      </c>
      <c r="AL47" s="32"/>
      <c r="AM47" s="32" t="e">
        <f>(AM34-AM21-AM22)/AM17</f>
        <v>#REF!</v>
      </c>
      <c r="AN47" s="32" t="e">
        <f>(AN34-AN21-AN22)/AN17</f>
        <v>#REF!</v>
      </c>
      <c r="AO47" s="385" t="e">
        <f t="shared" si="21"/>
        <v>#REF!</v>
      </c>
      <c r="AP47" s="362"/>
      <c r="AQ47" s="32"/>
      <c r="AR47" s="32" t="e">
        <f>(AR24+AR25+AR26+AR27+AR28+AR29+AR30+AR31+AR33)/AR17</f>
        <v>#REF!</v>
      </c>
      <c r="AS47" s="32" t="e">
        <f>(AS24+AS25+AS26+AS27+AS28+AS29+AS30+AS31+AS33)/AS17</f>
        <v>#REF!</v>
      </c>
      <c r="AT47" s="32">
        <f>(AT24+AT25+AT26+AT27+AT28+AT29+AT30+AT31+AT33)/AT17</f>
        <v>0.26850769092381038</v>
      </c>
      <c r="AU47" s="32">
        <v>0.32232590099285979</v>
      </c>
      <c r="AV47" s="32">
        <v>1.0104571796522859</v>
      </c>
      <c r="AW47" s="32">
        <v>0.51213052230109124</v>
      </c>
      <c r="AX47" s="32">
        <v>0.45</v>
      </c>
      <c r="AY47" s="222">
        <v>0.30599999999999994</v>
      </c>
      <c r="AZ47" s="222">
        <v>0</v>
      </c>
      <c r="BA47" s="222">
        <v>0</v>
      </c>
      <c r="BB47" s="3"/>
      <c r="BC47" s="137"/>
      <c r="BD47" s="137"/>
      <c r="BG47" s="137"/>
    </row>
    <row r="48" spans="1:59" s="53" customFormat="1" ht="12.75" customHeight="1" x14ac:dyDescent="0.2">
      <c r="A48" s="88" t="s">
        <v>73</v>
      </c>
      <c r="B48" s="85"/>
      <c r="C48" s="154" t="e">
        <f t="shared" si="17"/>
        <v>#REF!</v>
      </c>
      <c r="D48" s="32"/>
      <c r="E48" s="32"/>
      <c r="F48" s="32" t="e">
        <f t="shared" ref="F48:N48" si="29">F34/F17</f>
        <v>#REF!</v>
      </c>
      <c r="G48" s="32" t="e">
        <f t="shared" si="29"/>
        <v>#REF!</v>
      </c>
      <c r="H48" s="32" t="e">
        <f t="shared" si="29"/>
        <v>#REF!</v>
      </c>
      <c r="I48" s="32" t="e">
        <f t="shared" si="29"/>
        <v>#REF!</v>
      </c>
      <c r="J48" s="32" t="e">
        <f t="shared" si="29"/>
        <v>#REF!</v>
      </c>
      <c r="K48" s="32" t="e">
        <f t="shared" si="29"/>
        <v>#REF!</v>
      </c>
      <c r="L48" s="32" t="e">
        <f t="shared" si="29"/>
        <v>#REF!</v>
      </c>
      <c r="M48" s="32" t="e">
        <f t="shared" si="29"/>
        <v>#REF!</v>
      </c>
      <c r="N48" s="32" t="e">
        <f t="shared" si="29"/>
        <v>#REF!</v>
      </c>
      <c r="O48" s="32" t="e">
        <f t="shared" ref="O48:U48" si="30">O34/O17</f>
        <v>#REF!</v>
      </c>
      <c r="P48" s="32" t="e">
        <f t="shared" si="30"/>
        <v>#REF!</v>
      </c>
      <c r="Q48" s="32" t="e">
        <f t="shared" si="30"/>
        <v>#REF!</v>
      </c>
      <c r="R48" s="32">
        <f t="shared" si="30"/>
        <v>0.80536338105349681</v>
      </c>
      <c r="S48" s="32">
        <f t="shared" si="30"/>
        <v>0.8121031223480526</v>
      </c>
      <c r="T48" s="32">
        <f t="shared" si="30"/>
        <v>0.968520362205471</v>
      </c>
      <c r="U48" s="32">
        <f t="shared" si="30"/>
        <v>0.85070770613345315</v>
      </c>
      <c r="V48" s="32">
        <v>0.93354367974758434</v>
      </c>
      <c r="W48" s="32">
        <v>0.97405443309812856</v>
      </c>
      <c r="X48" s="32">
        <v>0.85234097620864713</v>
      </c>
      <c r="Y48" s="32">
        <v>0.91654663526987745</v>
      </c>
      <c r="Z48" s="32">
        <v>1.1841738322100861</v>
      </c>
      <c r="AA48" s="32">
        <v>3.1754672473235348</v>
      </c>
      <c r="AB48" s="32">
        <v>1.2106068053962533</v>
      </c>
      <c r="AC48" s="32">
        <v>0.96026696850240034</v>
      </c>
      <c r="AD48" s="32">
        <v>1.1910000000000001</v>
      </c>
      <c r="AE48" s="32">
        <v>1.0269999999999999</v>
      </c>
      <c r="AF48" s="32">
        <v>1.149</v>
      </c>
      <c r="AG48" s="32">
        <v>0.95699999999999996</v>
      </c>
      <c r="AH48" s="32">
        <v>1.157</v>
      </c>
      <c r="AI48" s="32">
        <v>1.0880000000000001</v>
      </c>
      <c r="AJ48" s="32">
        <v>1.0249999999999999</v>
      </c>
      <c r="AK48" s="32">
        <v>0.90900000000000003</v>
      </c>
      <c r="AL48" s="32"/>
      <c r="AM48" s="32" t="e">
        <f>AM34/AM17</f>
        <v>#REF!</v>
      </c>
      <c r="AN48" s="32" t="e">
        <f>AN34/AN17</f>
        <v>#REF!</v>
      </c>
      <c r="AO48" s="385" t="e">
        <f t="shared" si="21"/>
        <v>#REF!</v>
      </c>
      <c r="AP48" s="362"/>
      <c r="AQ48" s="32"/>
      <c r="AR48" s="32" t="e">
        <f>AR34/AR17</f>
        <v>#REF!</v>
      </c>
      <c r="AS48" s="32" t="e">
        <f>AS34/AS17</f>
        <v>#REF!</v>
      </c>
      <c r="AT48" s="32">
        <f>AT34/AT17</f>
        <v>0.84928487901412253</v>
      </c>
      <c r="AU48" s="32">
        <v>0.91404841809653747</v>
      </c>
      <c r="AV48" s="32">
        <v>1.5408886027044431</v>
      </c>
      <c r="AW48" s="32">
        <v>1.0759932196207225</v>
      </c>
      <c r="AX48" s="32">
        <v>1.0369999999999999</v>
      </c>
      <c r="AY48" s="222">
        <v>0.84199999999999997</v>
      </c>
      <c r="AZ48" s="222">
        <v>0</v>
      </c>
      <c r="BA48" s="222">
        <v>0</v>
      </c>
      <c r="BB48" s="3"/>
      <c r="BC48" s="137"/>
      <c r="BD48" s="137"/>
      <c r="BG48" s="137"/>
    </row>
    <row r="49" spans="1:59" s="53" customFormat="1" ht="12.75" customHeight="1" x14ac:dyDescent="0.2">
      <c r="A49" s="88" t="s">
        <v>74</v>
      </c>
      <c r="B49" s="85"/>
      <c r="C49" s="154" t="e">
        <f t="shared" si="17"/>
        <v>#REF!</v>
      </c>
      <c r="D49" s="32"/>
      <c r="E49" s="32"/>
      <c r="F49" s="32" t="e">
        <f t="shared" ref="F49:N49" si="31">F35/F17</f>
        <v>#REF!</v>
      </c>
      <c r="G49" s="32" t="e">
        <f t="shared" si="31"/>
        <v>#REF!</v>
      </c>
      <c r="H49" s="32" t="e">
        <f t="shared" si="31"/>
        <v>#REF!</v>
      </c>
      <c r="I49" s="32" t="e">
        <f t="shared" si="31"/>
        <v>#REF!</v>
      </c>
      <c r="J49" s="32" t="e">
        <f t="shared" si="31"/>
        <v>#REF!</v>
      </c>
      <c r="K49" s="32" t="e">
        <f t="shared" si="31"/>
        <v>#REF!</v>
      </c>
      <c r="L49" s="32" t="e">
        <f t="shared" si="31"/>
        <v>#REF!</v>
      </c>
      <c r="M49" s="32" t="e">
        <f t="shared" si="31"/>
        <v>#REF!</v>
      </c>
      <c r="N49" s="32" t="e">
        <f t="shared" si="31"/>
        <v>#REF!</v>
      </c>
      <c r="O49" s="32" t="e">
        <f t="shared" ref="O49:U49" si="32">O35/O17</f>
        <v>#REF!</v>
      </c>
      <c r="P49" s="32" t="e">
        <f t="shared" si="32"/>
        <v>#REF!</v>
      </c>
      <c r="Q49" s="32" t="e">
        <f t="shared" si="32"/>
        <v>#REF!</v>
      </c>
      <c r="R49" s="32">
        <f t="shared" si="32"/>
        <v>0.19463661894650319</v>
      </c>
      <c r="S49" s="32">
        <f t="shared" si="32"/>
        <v>0.18789687765194743</v>
      </c>
      <c r="T49" s="32">
        <f t="shared" si="32"/>
        <v>3.1479637794528989E-2</v>
      </c>
      <c r="U49" s="32">
        <f t="shared" si="32"/>
        <v>0.14929229386654685</v>
      </c>
      <c r="V49" s="32">
        <v>6.6456320252415699E-2</v>
      </c>
      <c r="W49" s="32">
        <v>2.5945566901871411E-2</v>
      </c>
      <c r="X49" s="32">
        <v>0.14765902379135282</v>
      </c>
      <c r="Y49" s="32">
        <v>8.2453364730122519E-2</v>
      </c>
      <c r="Z49" s="32">
        <v>-0.18417383221008599</v>
      </c>
      <c r="AA49" s="32">
        <v>-2.1754672473235348</v>
      </c>
      <c r="AB49" s="32">
        <v>-0.21226208707066288</v>
      </c>
      <c r="AC49" s="32">
        <v>3.9733031497599623E-2</v>
      </c>
      <c r="AD49" s="32">
        <v>-0.19240516847397066</v>
      </c>
      <c r="AE49" s="32">
        <v>-2.6999999999999913E-2</v>
      </c>
      <c r="AF49" s="32">
        <v>-0.14900000000000002</v>
      </c>
      <c r="AG49" s="32">
        <v>4.3000000000000038E-2</v>
      </c>
      <c r="AH49" s="32">
        <v>-0.15700000000000003</v>
      </c>
      <c r="AI49" s="32">
        <v>-8.8000000000000078E-2</v>
      </c>
      <c r="AJ49" s="32">
        <v>-2.4999999999999911E-2</v>
      </c>
      <c r="AK49" s="32">
        <v>9.099999999999997E-2</v>
      </c>
      <c r="AL49" s="32"/>
      <c r="AM49" s="32" t="e">
        <f>AM35/AM17</f>
        <v>#REF!</v>
      </c>
      <c r="AN49" s="32" t="e">
        <f>AN35/AN17</f>
        <v>#REF!</v>
      </c>
      <c r="AO49" s="385" t="e">
        <f t="shared" si="21"/>
        <v>#REF!</v>
      </c>
      <c r="AP49" s="362"/>
      <c r="AQ49" s="32"/>
      <c r="AR49" s="32" t="e">
        <f>AR35/AR17</f>
        <v>#REF!</v>
      </c>
      <c r="AS49" s="32" t="e">
        <f>AS35/AS17</f>
        <v>#REF!</v>
      </c>
      <c r="AT49" s="32">
        <f>AT35/AT17</f>
        <v>0.1507151209858775</v>
      </c>
      <c r="AU49" s="32">
        <v>8.5951581903462568E-2</v>
      </c>
      <c r="AV49" s="32">
        <v>-0.54088860270444306</v>
      </c>
      <c r="AW49" s="32">
        <v>-7.8117702008407286E-2</v>
      </c>
      <c r="AX49" s="32">
        <v>-4.4996467219515821E-2</v>
      </c>
      <c r="AY49" s="222">
        <f>AY35/AY17</f>
        <v>0.15435098441961825</v>
      </c>
      <c r="AZ49" s="222">
        <v>0</v>
      </c>
      <c r="BA49" s="222">
        <v>0</v>
      </c>
      <c r="BB49" s="3"/>
      <c r="BC49" s="137"/>
      <c r="BD49" s="137"/>
      <c r="BG49" s="137"/>
    </row>
    <row r="50" spans="1:59" s="53" customFormat="1" ht="12.75" customHeight="1" x14ac:dyDescent="0.2">
      <c r="A50" s="86"/>
      <c r="B50" s="85"/>
      <c r="C50" s="32"/>
      <c r="D50" s="32"/>
      <c r="E50" s="32"/>
      <c r="F50" s="32"/>
      <c r="G50" s="32"/>
      <c r="H50" s="32"/>
      <c r="I50" s="482"/>
      <c r="J50" s="32"/>
      <c r="K50" s="32"/>
      <c r="L50" s="32"/>
      <c r="M50" s="482"/>
      <c r="N50" s="32"/>
      <c r="O50" s="32"/>
      <c r="P50" s="32"/>
      <c r="Q50" s="44"/>
      <c r="R50" s="32"/>
      <c r="S50" s="32"/>
      <c r="T50" s="32"/>
      <c r="U50" s="44"/>
      <c r="V50" s="32"/>
      <c r="W50" s="32"/>
      <c r="X50" s="32"/>
      <c r="Y50" s="44"/>
      <c r="Z50" s="32"/>
      <c r="AA50" s="32"/>
      <c r="AB50" s="32"/>
      <c r="AC50" s="44"/>
      <c r="AD50" s="44"/>
      <c r="AE50" s="44"/>
      <c r="AF50" s="44"/>
      <c r="AG50" s="44"/>
      <c r="AH50" s="44"/>
      <c r="AI50" s="44"/>
      <c r="AJ50" s="44"/>
      <c r="AK50" s="44"/>
      <c r="AL50" s="32"/>
      <c r="AM50" s="32"/>
      <c r="AN50" s="32"/>
      <c r="AO50" s="362">
        <f>AR50-AS50</f>
        <v>0</v>
      </c>
      <c r="AP50" s="362"/>
      <c r="AQ50" s="32"/>
      <c r="AR50" s="362"/>
      <c r="AS50" s="362"/>
      <c r="AT50" s="362"/>
      <c r="AU50" s="32"/>
      <c r="AV50" s="32"/>
      <c r="AW50" s="44"/>
      <c r="AX50" s="44"/>
      <c r="AY50" s="222"/>
      <c r="AZ50" s="222"/>
      <c r="BA50" s="222"/>
      <c r="BB50" s="3"/>
      <c r="BC50" s="137"/>
      <c r="BD50" s="137"/>
      <c r="BG50" s="137"/>
    </row>
    <row r="51" spans="1:59" s="53" customFormat="1" ht="12.75" customHeight="1" x14ac:dyDescent="0.2">
      <c r="A51" s="44" t="s">
        <v>84</v>
      </c>
      <c r="B51" s="85"/>
      <c r="C51" s="108" t="e">
        <f>I51-M51</f>
        <v>#REF!</v>
      </c>
      <c r="D51" s="508" t="e">
        <f>IF(OR((C51/M51)&gt;3,(C51/M51)&lt;-3),"n.m.",(C51/M51))</f>
        <v>#REF!</v>
      </c>
      <c r="E51" s="35"/>
      <c r="F51" s="119"/>
      <c r="G51" s="119"/>
      <c r="H51" s="119"/>
      <c r="I51" s="119" t="e">
        <f>+'14 Misc Operating Stats'!#REF!</f>
        <v>#REF!</v>
      </c>
      <c r="J51" s="119" t="e">
        <f>+'14 Misc Operating Stats'!#REF!</f>
        <v>#REF!</v>
      </c>
      <c r="K51" s="119" t="e">
        <f>+'14 Misc Operating Stats'!#REF!</f>
        <v>#REF!</v>
      </c>
      <c r="L51" s="119" t="e">
        <f>+'14 Misc Operating Stats'!#REF!</f>
        <v>#REF!</v>
      </c>
      <c r="M51" s="119" t="e">
        <f>+'14 Misc Operating Stats'!#REF!</f>
        <v>#REF!</v>
      </c>
      <c r="N51" s="119" t="e">
        <f>'14 Misc Operating Stats'!#REF!</f>
        <v>#REF!</v>
      </c>
      <c r="O51" s="119" t="e">
        <f>'14 Misc Operating Stats'!#REF!</f>
        <v>#REF!</v>
      </c>
      <c r="P51" s="119" t="e">
        <f>'14 Misc Operating Stats'!#REF!</f>
        <v>#REF!</v>
      </c>
      <c r="Q51" s="119" t="e">
        <f>'14 Misc Operating Stats'!#REF!</f>
        <v>#REF!</v>
      </c>
      <c r="R51" s="119">
        <v>175</v>
      </c>
      <c r="S51" s="119">
        <v>175</v>
      </c>
      <c r="T51" s="119">
        <v>178</v>
      </c>
      <c r="U51" s="119">
        <v>169</v>
      </c>
      <c r="V51" s="119">
        <v>163</v>
      </c>
      <c r="W51" s="119">
        <v>162</v>
      </c>
      <c r="X51" s="119">
        <v>157</v>
      </c>
      <c r="Y51" s="119">
        <v>152</v>
      </c>
      <c r="Z51" s="91">
        <v>151</v>
      </c>
      <c r="AA51" s="44">
        <v>152</v>
      </c>
      <c r="AB51" s="44">
        <v>176</v>
      </c>
      <c r="AC51" s="44">
        <v>169</v>
      </c>
      <c r="AD51" s="44">
        <v>163</v>
      </c>
      <c r="AE51" s="44">
        <v>161</v>
      </c>
      <c r="AF51" s="44">
        <v>162</v>
      </c>
      <c r="AG51" s="44">
        <v>170</v>
      </c>
      <c r="AH51" s="44">
        <v>163</v>
      </c>
      <c r="AI51" s="44">
        <v>170</v>
      </c>
      <c r="AJ51" s="44">
        <v>164</v>
      </c>
      <c r="AK51" s="44">
        <v>154</v>
      </c>
      <c r="AL51" s="171"/>
      <c r="AM51" s="443" t="e">
        <f>K51</f>
        <v>#REF!</v>
      </c>
      <c r="AN51" s="443" t="e">
        <f>O51</f>
        <v>#REF!</v>
      </c>
      <c r="AO51" s="397" t="e">
        <f>AR51-AS51</f>
        <v>#REF!</v>
      </c>
      <c r="AP51" s="35" t="e">
        <f>AO51/AS51</f>
        <v>#REF!</v>
      </c>
      <c r="AQ51" s="171"/>
      <c r="AR51" s="382" t="e">
        <f>J51</f>
        <v>#REF!</v>
      </c>
      <c r="AS51" s="382" t="e">
        <f>N51</f>
        <v>#REF!</v>
      </c>
      <c r="AT51" s="382">
        <v>175</v>
      </c>
      <c r="AU51" s="119">
        <v>163</v>
      </c>
      <c r="AV51" s="119">
        <v>151</v>
      </c>
      <c r="AW51" s="119">
        <v>163</v>
      </c>
      <c r="AX51" s="119">
        <v>163</v>
      </c>
      <c r="AY51" s="216">
        <v>150</v>
      </c>
      <c r="AZ51" s="216">
        <v>0</v>
      </c>
      <c r="BA51" s="216">
        <v>0</v>
      </c>
      <c r="BB51" s="3"/>
      <c r="BC51" s="137"/>
      <c r="BD51" s="137"/>
      <c r="BG51" s="137"/>
    </row>
    <row r="52" spans="1:59" s="53" customFormat="1" ht="12.75" customHeight="1" x14ac:dyDescent="0.2">
      <c r="A52" s="44"/>
      <c r="B52" s="85"/>
      <c r="C52" s="108"/>
      <c r="D52" s="35"/>
      <c r="E52" s="35"/>
      <c r="F52" s="482"/>
      <c r="G52" s="482"/>
      <c r="H52" s="482"/>
      <c r="I52" s="482"/>
      <c r="J52" s="482"/>
      <c r="K52" s="482"/>
      <c r="L52" s="482"/>
      <c r="M52" s="482"/>
      <c r="N52" s="91"/>
      <c r="O52" s="44"/>
      <c r="P52" s="44"/>
      <c r="Q52" s="44"/>
      <c r="R52" s="91"/>
      <c r="S52" s="44"/>
      <c r="T52" s="44"/>
      <c r="U52" s="44"/>
      <c r="V52" s="91"/>
      <c r="W52" s="44"/>
      <c r="X52" s="44"/>
      <c r="Y52" s="44"/>
      <c r="Z52" s="91"/>
      <c r="AA52" s="44"/>
      <c r="AB52" s="44"/>
      <c r="AC52" s="44"/>
      <c r="AD52" s="44"/>
      <c r="AE52" s="44"/>
      <c r="AF52" s="44"/>
      <c r="AG52" s="44"/>
      <c r="AH52" s="44"/>
      <c r="AI52" s="44"/>
      <c r="AJ52" s="44"/>
      <c r="AK52" s="44"/>
      <c r="AL52" s="171"/>
      <c r="AM52" s="171"/>
      <c r="AN52" s="171"/>
      <c r="AO52" s="63"/>
      <c r="AP52" s="35"/>
      <c r="AQ52" s="171"/>
      <c r="AR52" s="63"/>
      <c r="AS52" s="63"/>
      <c r="AT52" s="63"/>
      <c r="AU52" s="30"/>
      <c r="AV52" s="30"/>
      <c r="AW52" s="44"/>
      <c r="AX52" s="44"/>
      <c r="AY52" s="216"/>
      <c r="AZ52" s="216"/>
      <c r="BA52" s="216"/>
      <c r="BB52" s="3"/>
      <c r="BC52" s="137"/>
      <c r="BD52" s="137"/>
      <c r="BG52" s="137"/>
    </row>
    <row r="53" spans="1:59" ht="18" customHeight="1" x14ac:dyDescent="0.2">
      <c r="A53" s="10" t="s">
        <v>231</v>
      </c>
      <c r="B53" s="414"/>
      <c r="C53" s="44"/>
      <c r="D53" s="44"/>
      <c r="E53" s="91"/>
      <c r="F53" s="483"/>
      <c r="G53" s="483"/>
      <c r="H53" s="483"/>
      <c r="I53" s="483"/>
      <c r="J53" s="483"/>
      <c r="K53" s="483"/>
      <c r="L53" s="483"/>
      <c r="M53" s="483"/>
      <c r="N53" s="91"/>
      <c r="O53" s="91"/>
      <c r="P53" s="91"/>
      <c r="Q53" s="91"/>
      <c r="R53" s="91"/>
      <c r="S53" s="91"/>
      <c r="T53" s="91"/>
      <c r="U53" s="91"/>
      <c r="V53" s="91"/>
      <c r="W53" s="91"/>
      <c r="X53" s="91"/>
      <c r="Y53" s="91"/>
      <c r="Z53" s="91"/>
      <c r="AA53" s="91"/>
      <c r="AB53" s="91"/>
      <c r="AC53" s="91"/>
      <c r="AD53" s="91"/>
      <c r="AE53" s="91"/>
      <c r="AF53" s="44"/>
      <c r="AG53" s="44"/>
      <c r="AH53" s="44"/>
      <c r="AI53" s="44"/>
      <c r="AJ53" s="44"/>
      <c r="AK53" s="44"/>
      <c r="AL53" s="44"/>
      <c r="AM53" s="44"/>
      <c r="AN53" s="44"/>
      <c r="AO53" s="370"/>
      <c r="AP53" s="370"/>
      <c r="AQ53" s="44"/>
      <c r="AR53" s="370"/>
      <c r="AS53" s="370"/>
      <c r="AT53" s="370"/>
      <c r="AU53" s="44"/>
      <c r="AV53" s="44"/>
      <c r="AW53" s="44"/>
      <c r="AX53" s="44"/>
      <c r="AY53" s="221"/>
      <c r="AZ53" s="221"/>
      <c r="BA53" s="221"/>
      <c r="BB53" s="3"/>
      <c r="BC53" s="3"/>
      <c r="BD53" s="3"/>
      <c r="BG53" s="3"/>
    </row>
    <row r="54" spans="1:59" ht="12.75" customHeight="1" x14ac:dyDescent="0.2">
      <c r="A54" s="123"/>
      <c r="B54" s="6"/>
      <c r="C54" s="44"/>
      <c r="D54" s="44"/>
      <c r="E54" s="91"/>
      <c r="F54" s="483"/>
      <c r="G54" s="483"/>
      <c r="H54" s="483"/>
      <c r="I54" s="483"/>
      <c r="J54" s="483"/>
      <c r="K54" s="483"/>
      <c r="L54" s="483"/>
      <c r="M54" s="483"/>
      <c r="N54" s="265"/>
      <c r="O54" s="91"/>
      <c r="P54" s="91"/>
      <c r="Q54" s="91"/>
      <c r="R54" s="265"/>
      <c r="S54" s="91"/>
      <c r="T54" s="265"/>
      <c r="U54" s="91"/>
      <c r="V54" s="265"/>
      <c r="W54" s="91"/>
      <c r="X54" s="265"/>
      <c r="Y54" s="91"/>
      <c r="Z54" s="265"/>
      <c r="AA54" s="91"/>
      <c r="AB54" s="91"/>
      <c r="AC54" s="91"/>
      <c r="AD54" s="91"/>
      <c r="AE54" s="91"/>
      <c r="AF54" s="44"/>
      <c r="AG54" s="44"/>
      <c r="AH54" s="44"/>
      <c r="AI54" s="44"/>
      <c r="AJ54" s="44"/>
      <c r="AK54" s="44"/>
      <c r="AL54" s="44"/>
      <c r="AM54" s="44"/>
      <c r="AN54" s="44"/>
      <c r="AO54" s="370"/>
      <c r="AP54" s="370"/>
      <c r="AQ54" s="44"/>
      <c r="AR54" s="370"/>
      <c r="AS54" s="370"/>
      <c r="AT54" s="370"/>
      <c r="AU54" s="44"/>
      <c r="AV54" s="44"/>
      <c r="AW54" s="44"/>
      <c r="AX54" s="44"/>
      <c r="AY54" s="221"/>
      <c r="AZ54" s="221"/>
      <c r="BA54" s="221"/>
      <c r="BB54" s="3"/>
      <c r="BC54" s="3"/>
      <c r="BD54" s="3"/>
      <c r="BG54" s="3"/>
    </row>
    <row r="55" spans="1:59" ht="12.75" customHeight="1" x14ac:dyDescent="0.2">
      <c r="A55" s="5"/>
      <c r="B55" s="6"/>
      <c r="C55" s="2431" t="s">
        <v>293</v>
      </c>
      <c r="D55" s="2432"/>
      <c r="E55" s="184"/>
      <c r="F55" s="273"/>
      <c r="G55" s="273"/>
      <c r="H55" s="273"/>
      <c r="I55" s="17"/>
      <c r="J55" s="273"/>
      <c r="K55" s="273"/>
      <c r="L55" s="273"/>
      <c r="M55" s="17"/>
      <c r="N55" s="15"/>
      <c r="O55" s="16"/>
      <c r="P55" s="273"/>
      <c r="Q55" s="17"/>
      <c r="R55" s="15"/>
      <c r="S55" s="16"/>
      <c r="T55" s="273"/>
      <c r="U55" s="17"/>
      <c r="V55" s="481"/>
      <c r="W55" s="16"/>
      <c r="X55" s="2"/>
      <c r="Y55" s="17"/>
      <c r="Z55" s="16"/>
      <c r="AA55" s="481"/>
      <c r="AB55" s="273"/>
      <c r="AC55" s="17"/>
      <c r="AD55" s="16"/>
      <c r="AE55" s="16"/>
      <c r="AF55" s="16"/>
      <c r="AG55" s="16"/>
      <c r="AH55" s="20"/>
      <c r="AI55" s="17"/>
      <c r="AJ55" s="17"/>
      <c r="AK55" s="17"/>
      <c r="AL55" s="22"/>
      <c r="AM55" s="445" t="s">
        <v>281</v>
      </c>
      <c r="AN55" s="433"/>
      <c r="AO55" s="433" t="s">
        <v>266</v>
      </c>
      <c r="AP55" s="434"/>
      <c r="AQ55" s="13"/>
      <c r="AR55" s="530"/>
      <c r="AS55" s="464"/>
      <c r="AT55" s="402"/>
      <c r="AU55" s="46"/>
      <c r="AV55" s="46"/>
      <c r="AW55" s="126"/>
      <c r="AX55" s="124"/>
      <c r="AY55" s="46"/>
      <c r="AZ55" s="46"/>
      <c r="BA55" s="464"/>
      <c r="BB55" s="23"/>
      <c r="BC55" s="3"/>
      <c r="BD55" s="3"/>
      <c r="BG55" s="3"/>
    </row>
    <row r="56" spans="1:59" ht="12.75" customHeight="1" x14ac:dyDescent="0.2">
      <c r="A56" s="5" t="s">
        <v>91</v>
      </c>
      <c r="B56" s="6"/>
      <c r="C56" s="2433" t="s">
        <v>35</v>
      </c>
      <c r="D56" s="2434"/>
      <c r="E56" s="355"/>
      <c r="F56" s="19" t="s">
        <v>296</v>
      </c>
      <c r="G56" s="19" t="s">
        <v>295</v>
      </c>
      <c r="H56" s="19" t="s">
        <v>294</v>
      </c>
      <c r="I56" s="12" t="s">
        <v>292</v>
      </c>
      <c r="J56" s="19" t="s">
        <v>252</v>
      </c>
      <c r="K56" s="19" t="s">
        <v>253</v>
      </c>
      <c r="L56" s="19" t="s">
        <v>254</v>
      </c>
      <c r="M56" s="12" t="s">
        <v>255</v>
      </c>
      <c r="N56" s="18" t="s">
        <v>202</v>
      </c>
      <c r="O56" s="19" t="s">
        <v>203</v>
      </c>
      <c r="P56" s="19" t="s">
        <v>204</v>
      </c>
      <c r="Q56" s="12" t="s">
        <v>201</v>
      </c>
      <c r="R56" s="18" t="s">
        <v>173</v>
      </c>
      <c r="S56" s="19" t="s">
        <v>174</v>
      </c>
      <c r="T56" s="19" t="s">
        <v>175</v>
      </c>
      <c r="U56" s="12" t="s">
        <v>176</v>
      </c>
      <c r="V56" s="19" t="s">
        <v>109</v>
      </c>
      <c r="W56" s="19" t="s">
        <v>108</v>
      </c>
      <c r="X56" s="19" t="s">
        <v>107</v>
      </c>
      <c r="Y56" s="12" t="s">
        <v>106</v>
      </c>
      <c r="Z56" s="19" t="s">
        <v>78</v>
      </c>
      <c r="AA56" s="19" t="s">
        <v>79</v>
      </c>
      <c r="AB56" s="19" t="s">
        <v>80</v>
      </c>
      <c r="AC56" s="12" t="s">
        <v>26</v>
      </c>
      <c r="AD56" s="19" t="s">
        <v>27</v>
      </c>
      <c r="AE56" s="19" t="s">
        <v>28</v>
      </c>
      <c r="AF56" s="19" t="s">
        <v>29</v>
      </c>
      <c r="AG56" s="19" t="s">
        <v>30</v>
      </c>
      <c r="AH56" s="21" t="s">
        <v>31</v>
      </c>
      <c r="AI56" s="12" t="s">
        <v>32</v>
      </c>
      <c r="AJ56" s="12" t="s">
        <v>33</v>
      </c>
      <c r="AK56" s="12" t="s">
        <v>34</v>
      </c>
      <c r="AL56" s="184"/>
      <c r="AM56" s="19" t="s">
        <v>253</v>
      </c>
      <c r="AN56" s="19" t="s">
        <v>203</v>
      </c>
      <c r="AO56" s="2436" t="s">
        <v>35</v>
      </c>
      <c r="AP56" s="2437"/>
      <c r="AQ56" s="127"/>
      <c r="AR56" s="21" t="s">
        <v>257</v>
      </c>
      <c r="AS56" s="158" t="s">
        <v>206</v>
      </c>
      <c r="AT56" s="158" t="s">
        <v>111</v>
      </c>
      <c r="AU56" s="18" t="s">
        <v>110</v>
      </c>
      <c r="AV56" s="18" t="s">
        <v>39</v>
      </c>
      <c r="AW56" s="18" t="s">
        <v>36</v>
      </c>
      <c r="AX56" s="21" t="s">
        <v>37</v>
      </c>
      <c r="AY56" s="21" t="s">
        <v>128</v>
      </c>
      <c r="AZ56" s="21" t="s">
        <v>129</v>
      </c>
      <c r="BA56" s="18" t="s">
        <v>130</v>
      </c>
      <c r="BB56" s="23"/>
      <c r="BC56" s="3"/>
      <c r="BD56" s="3"/>
      <c r="BG56" s="3"/>
    </row>
    <row r="57" spans="1:59" ht="12.75" customHeight="1" x14ac:dyDescent="0.2">
      <c r="A57" s="90"/>
      <c r="B57" s="91" t="s">
        <v>4</v>
      </c>
      <c r="C57" s="262" t="e">
        <f>I57-M57</f>
        <v>#REF!</v>
      </c>
      <c r="D57" s="498" t="e">
        <f>IF(OR((C57/M57)&gt;3,(C57/M57)&lt;-3),"n.m.",(C57/M57))</f>
        <v>#REF!</v>
      </c>
      <c r="E57" s="47"/>
      <c r="F57" s="494" t="e">
        <f t="shared" ref="F57:M57" si="33">+F17</f>
        <v>#REF!</v>
      </c>
      <c r="G57" s="494" t="e">
        <f t="shared" si="33"/>
        <v>#REF!</v>
      </c>
      <c r="H57" s="494" t="e">
        <f t="shared" si="33"/>
        <v>#REF!</v>
      </c>
      <c r="I57" s="495" t="e">
        <f t="shared" si="33"/>
        <v>#REF!</v>
      </c>
      <c r="J57" s="494" t="e">
        <f t="shared" si="33"/>
        <v>#REF!</v>
      </c>
      <c r="K57" s="494" t="e">
        <f t="shared" si="33"/>
        <v>#REF!</v>
      </c>
      <c r="L57" s="494" t="e">
        <f t="shared" si="33"/>
        <v>#REF!</v>
      </c>
      <c r="M57" s="495" t="e">
        <f t="shared" si="33"/>
        <v>#REF!</v>
      </c>
      <c r="N57" s="235" t="e">
        <f t="shared" ref="N57:U57" si="34">N17</f>
        <v>#REF!</v>
      </c>
      <c r="O57" s="235" t="e">
        <f t="shared" si="34"/>
        <v>#REF!</v>
      </c>
      <c r="P57" s="235" t="e">
        <f t="shared" si="34"/>
        <v>#REF!</v>
      </c>
      <c r="Q57" s="252" t="e">
        <f t="shared" si="34"/>
        <v>#REF!</v>
      </c>
      <c r="R57" s="235">
        <f t="shared" si="34"/>
        <v>29198</v>
      </c>
      <c r="S57" s="235">
        <f t="shared" si="34"/>
        <v>34173</v>
      </c>
      <c r="T57" s="235">
        <f t="shared" si="34"/>
        <v>21093</v>
      </c>
      <c r="U57" s="252">
        <f t="shared" si="34"/>
        <v>26706</v>
      </c>
      <c r="V57" s="235">
        <v>20284</v>
      </c>
      <c r="W57" s="235">
        <v>22817</v>
      </c>
      <c r="X57" s="235">
        <v>30137</v>
      </c>
      <c r="Y57" s="252">
        <v>27179</v>
      </c>
      <c r="Z57" s="245">
        <v>17212</v>
      </c>
      <c r="AA57" s="235">
        <v>16533</v>
      </c>
      <c r="AB57" s="235">
        <v>18284</v>
      </c>
      <c r="AC57" s="252">
        <v>25621</v>
      </c>
      <c r="AD57" s="161">
        <v>24069</v>
      </c>
      <c r="AE57" s="161">
        <v>23107</v>
      </c>
      <c r="AF57" s="161">
        <v>20654</v>
      </c>
      <c r="AG57" s="162">
        <v>26374</v>
      </c>
      <c r="AH57" s="183">
        <v>19835</v>
      </c>
      <c r="AI57" s="162">
        <v>18613</v>
      </c>
      <c r="AJ57" s="162">
        <v>7372</v>
      </c>
      <c r="AK57" s="162">
        <v>8735</v>
      </c>
      <c r="AL57" s="47"/>
      <c r="AM57" s="235" t="e">
        <f>SUM(K57:M57)</f>
        <v>#REF!</v>
      </c>
      <c r="AN57" s="235" t="e">
        <f>SUM(O57:Q57)</f>
        <v>#REF!</v>
      </c>
      <c r="AO57" s="386" t="e">
        <f>AR57-AS57</f>
        <v>#REF!</v>
      </c>
      <c r="AP57" s="387" t="e">
        <f>AO57/AS57</f>
        <v>#REF!</v>
      </c>
      <c r="AQ57" s="44"/>
      <c r="AR57" s="372" t="e">
        <f>SUM(J57:M57)</f>
        <v>#REF!</v>
      </c>
      <c r="AS57" s="380" t="e">
        <f>SUM(N57:Q57)</f>
        <v>#REF!</v>
      </c>
      <c r="AT57" s="380">
        <f>SUM(R57:U57)</f>
        <v>111170</v>
      </c>
      <c r="AU57" s="118">
        <v>100417</v>
      </c>
      <c r="AV57" s="118">
        <v>77650</v>
      </c>
      <c r="AW57" s="129">
        <v>94204</v>
      </c>
      <c r="AX57" s="129">
        <v>80673</v>
      </c>
      <c r="AY57" s="230">
        <f>AY17</f>
        <v>19961</v>
      </c>
      <c r="AZ57" s="230">
        <f>AZ17</f>
        <v>0</v>
      </c>
      <c r="BA57" s="230">
        <f>BA17</f>
        <v>0</v>
      </c>
      <c r="BB57" s="3"/>
      <c r="BC57" s="3"/>
      <c r="BD57" s="3"/>
      <c r="BG57" s="3"/>
    </row>
    <row r="58" spans="1:59" ht="12.75" customHeight="1" x14ac:dyDescent="0.2">
      <c r="A58" s="44"/>
      <c r="B58" s="91" t="s">
        <v>77</v>
      </c>
      <c r="C58" s="45">
        <f>I58-M58</f>
        <v>5076</v>
      </c>
      <c r="D58" s="39">
        <f>IF(OR((C58/M58)&gt;3,(C58/M58)&lt;-3),"n.m.",(C58/M58))</f>
        <v>0.1242868685879386</v>
      </c>
      <c r="E58" s="356"/>
      <c r="F58" s="264">
        <f>+F34-F31-1</f>
        <v>-1</v>
      </c>
      <c r="G58" s="264">
        <f>+G34-G31-1</f>
        <v>-1</v>
      </c>
      <c r="H58" s="264">
        <f>+H34-H31-1</f>
        <v>-1</v>
      </c>
      <c r="I58" s="495">
        <f>+I34-I31-1</f>
        <v>45917</v>
      </c>
      <c r="J58" s="264">
        <f>+J34-J31-1</f>
        <v>41442</v>
      </c>
      <c r="K58" s="264">
        <f>+K34-K31-3</f>
        <v>36205</v>
      </c>
      <c r="L58" s="264">
        <f>+L34-L31-3</f>
        <v>38846</v>
      </c>
      <c r="M58" s="495">
        <f>+M34-1</f>
        <v>40841</v>
      </c>
      <c r="N58" s="264">
        <f>N34-N31-N32</f>
        <v>23684</v>
      </c>
      <c r="O58" s="264">
        <f>O34-O31</f>
        <v>19065</v>
      </c>
      <c r="P58" s="264">
        <f t="shared" ref="P58:U58" si="35">P34</f>
        <v>20340</v>
      </c>
      <c r="Q58" s="252">
        <f t="shared" si="35"/>
        <v>23902</v>
      </c>
      <c r="R58" s="264">
        <f t="shared" si="35"/>
        <v>23515</v>
      </c>
      <c r="S58" s="264">
        <f t="shared" si="35"/>
        <v>27752</v>
      </c>
      <c r="T58" s="264">
        <f t="shared" si="35"/>
        <v>20429</v>
      </c>
      <c r="U58" s="252">
        <f t="shared" si="35"/>
        <v>22719</v>
      </c>
      <c r="V58" s="264">
        <v>18936</v>
      </c>
      <c r="W58" s="264">
        <v>22225</v>
      </c>
      <c r="X58" s="264">
        <v>25687</v>
      </c>
      <c r="Y58" s="252">
        <v>24938</v>
      </c>
      <c r="Z58" s="264">
        <v>20382</v>
      </c>
      <c r="AA58" s="264">
        <v>21311</v>
      </c>
      <c r="AB58" s="264">
        <v>22165</v>
      </c>
      <c r="AC58" s="252">
        <v>24603</v>
      </c>
      <c r="AD58" s="160">
        <v>28700</v>
      </c>
      <c r="AE58" s="160">
        <v>23749</v>
      </c>
      <c r="AF58" s="160">
        <v>23836</v>
      </c>
      <c r="AG58" s="164">
        <v>25278</v>
      </c>
      <c r="AH58" s="129">
        <v>23039</v>
      </c>
      <c r="AI58" s="164">
        <v>20245</v>
      </c>
      <c r="AJ58" s="164">
        <v>18732</v>
      </c>
      <c r="AK58" s="164">
        <v>20213</v>
      </c>
      <c r="AL58" s="47"/>
      <c r="AM58" s="235">
        <f>SUM(K58:M58)</f>
        <v>115892</v>
      </c>
      <c r="AN58" s="235">
        <f>SUM(O58:Q58)</f>
        <v>63307</v>
      </c>
      <c r="AO58" s="388">
        <f>AR58-AS58</f>
        <v>70343</v>
      </c>
      <c r="AP58" s="389">
        <f>AO58/AS58</f>
        <v>0.80862388063132973</v>
      </c>
      <c r="AQ58" s="44"/>
      <c r="AR58" s="372">
        <f>SUM(J58:M58)</f>
        <v>157334</v>
      </c>
      <c r="AS58" s="372">
        <f>SUM(N58:Q58)</f>
        <v>86991</v>
      </c>
      <c r="AT58" s="372">
        <f>SUM(R58:U58)</f>
        <v>94415</v>
      </c>
      <c r="AU58" s="118">
        <v>91786</v>
      </c>
      <c r="AV58" s="118">
        <v>88461</v>
      </c>
      <c r="AW58" s="129">
        <v>101563</v>
      </c>
      <c r="AX58" s="129">
        <v>84303</v>
      </c>
      <c r="AY58" s="37">
        <f>AY34</f>
        <v>16880</v>
      </c>
      <c r="AZ58" s="37">
        <f>AZ34</f>
        <v>0</v>
      </c>
      <c r="BA58" s="37">
        <f>BA34</f>
        <v>0</v>
      </c>
      <c r="BB58" s="3"/>
      <c r="BC58" s="3"/>
      <c r="BD58" s="3"/>
      <c r="BG58" s="3"/>
    </row>
    <row r="59" spans="1:59" ht="12.75" customHeight="1" x14ac:dyDescent="0.2">
      <c r="A59" s="44"/>
      <c r="B59" s="91" t="s">
        <v>69</v>
      </c>
      <c r="C59" s="97" t="e">
        <f>I59-M59</f>
        <v>#REF!</v>
      </c>
      <c r="D59" s="98" t="e">
        <f>-IF(OR((C59/M59)&gt;3,(C59/M59)&lt;-3),"n.m.",(C59/M59))</f>
        <v>#REF!</v>
      </c>
      <c r="E59" s="356"/>
      <c r="F59" s="270" t="e">
        <f t="shared" ref="F59:M59" si="36">+F57-F58</f>
        <v>#REF!</v>
      </c>
      <c r="G59" s="270" t="e">
        <f t="shared" si="36"/>
        <v>#REF!</v>
      </c>
      <c r="H59" s="270" t="e">
        <f t="shared" si="36"/>
        <v>#REF!</v>
      </c>
      <c r="I59" s="253" t="e">
        <f t="shared" si="36"/>
        <v>#REF!</v>
      </c>
      <c r="J59" s="270" t="e">
        <f t="shared" si="36"/>
        <v>#REF!</v>
      </c>
      <c r="K59" s="270" t="e">
        <f t="shared" si="36"/>
        <v>#REF!</v>
      </c>
      <c r="L59" s="270" t="e">
        <f t="shared" si="36"/>
        <v>#REF!</v>
      </c>
      <c r="M59" s="253" t="e">
        <f t="shared" si="36"/>
        <v>#REF!</v>
      </c>
      <c r="N59" s="270" t="e">
        <f t="shared" ref="N59:U59" si="37">N57-N58</f>
        <v>#REF!</v>
      </c>
      <c r="O59" s="270" t="e">
        <f t="shared" si="37"/>
        <v>#REF!</v>
      </c>
      <c r="P59" s="270" t="e">
        <f t="shared" si="37"/>
        <v>#REF!</v>
      </c>
      <c r="Q59" s="253" t="e">
        <f t="shared" si="37"/>
        <v>#REF!</v>
      </c>
      <c r="R59" s="270">
        <f t="shared" si="37"/>
        <v>5683</v>
      </c>
      <c r="S59" s="270">
        <f t="shared" si="37"/>
        <v>6421</v>
      </c>
      <c r="T59" s="270">
        <f t="shared" si="37"/>
        <v>664</v>
      </c>
      <c r="U59" s="253">
        <f t="shared" si="37"/>
        <v>3987</v>
      </c>
      <c r="V59" s="270">
        <v>1348</v>
      </c>
      <c r="W59" s="270">
        <v>592</v>
      </c>
      <c r="X59" s="270">
        <v>4450</v>
      </c>
      <c r="Y59" s="253">
        <v>2241</v>
      </c>
      <c r="Z59" s="270">
        <v>-3170</v>
      </c>
      <c r="AA59" s="270">
        <v>-4778</v>
      </c>
      <c r="AB59" s="270">
        <v>-3881</v>
      </c>
      <c r="AC59" s="253">
        <v>1018</v>
      </c>
      <c r="AD59" s="166">
        <v>-4631</v>
      </c>
      <c r="AE59" s="166">
        <v>-642</v>
      </c>
      <c r="AF59" s="166">
        <v>-3182</v>
      </c>
      <c r="AG59" s="167">
        <v>1096</v>
      </c>
      <c r="AH59" s="134">
        <v>-3204</v>
      </c>
      <c r="AI59" s="167">
        <v>-1632</v>
      </c>
      <c r="AJ59" s="167">
        <v>-11360</v>
      </c>
      <c r="AK59" s="167">
        <v>-11478</v>
      </c>
      <c r="AL59" s="47"/>
      <c r="AM59" s="243" t="e">
        <f>AM57-AM58</f>
        <v>#REF!</v>
      </c>
      <c r="AN59" s="243" t="e">
        <f>AN57-AN58</f>
        <v>#REF!</v>
      </c>
      <c r="AO59" s="390" t="e">
        <f>AR59-AS59</f>
        <v>#REF!</v>
      </c>
      <c r="AP59" s="322" t="e">
        <f>-IF(OR((AO59/AS59)&gt;3,(AO59/AS59)&lt;-3),"n.m.",(AO59/AS59))</f>
        <v>#REF!</v>
      </c>
      <c r="AQ59" s="44"/>
      <c r="AR59" s="373" t="e">
        <f>AR57-AR58</f>
        <v>#REF!</v>
      </c>
      <c r="AS59" s="373" t="e">
        <f>AS57-AS58</f>
        <v>#REF!</v>
      </c>
      <c r="AT59" s="373">
        <f>SUM(R59:U59)</f>
        <v>16755</v>
      </c>
      <c r="AU59" s="128">
        <v>8631</v>
      </c>
      <c r="AV59" s="128">
        <v>-10811</v>
      </c>
      <c r="AW59" s="134">
        <v>-7359</v>
      </c>
      <c r="AX59" s="134">
        <v>-3630</v>
      </c>
      <c r="AY59" s="102">
        <f>AY57-AY58</f>
        <v>3081</v>
      </c>
      <c r="AZ59" s="102">
        <f>AZ57-AZ58</f>
        <v>0</v>
      </c>
      <c r="BA59" s="102">
        <f>BA57-BA58</f>
        <v>0</v>
      </c>
      <c r="BB59" s="3"/>
      <c r="BC59" s="3"/>
      <c r="BD59" s="3"/>
      <c r="BG59" s="3"/>
    </row>
    <row r="60" spans="1:59" ht="12.75" customHeight="1" x14ac:dyDescent="0.2">
      <c r="A60" s="44"/>
      <c r="B60" s="91"/>
      <c r="C60" s="96"/>
      <c r="D60" s="342"/>
      <c r="E60" s="9"/>
      <c r="F60" s="264"/>
      <c r="G60" s="264"/>
      <c r="H60" s="264"/>
      <c r="I60" s="494"/>
      <c r="J60" s="264"/>
      <c r="K60" s="264"/>
      <c r="L60" s="264"/>
      <c r="M60" s="494"/>
      <c r="N60" s="264"/>
      <c r="O60" s="264"/>
      <c r="P60" s="264"/>
      <c r="Q60" s="235"/>
      <c r="R60" s="264"/>
      <c r="S60" s="264"/>
      <c r="T60" s="264"/>
      <c r="U60" s="235"/>
      <c r="V60" s="264"/>
      <c r="W60" s="264"/>
      <c r="X60" s="264"/>
      <c r="Y60" s="235"/>
      <c r="Z60" s="264"/>
      <c r="AA60" s="264"/>
      <c r="AB60" s="264"/>
      <c r="AC60" s="235"/>
      <c r="AD60" s="160"/>
      <c r="AE60" s="160"/>
      <c r="AF60" s="160"/>
      <c r="AG60" s="160"/>
      <c r="AH60" s="160"/>
      <c r="AI60" s="160"/>
      <c r="AJ60" s="160"/>
      <c r="AK60" s="160"/>
      <c r="AL60" s="91"/>
      <c r="AM60" s="91"/>
      <c r="AN60" s="91"/>
      <c r="AO60" s="388"/>
      <c r="AP60" s="342"/>
      <c r="AQ60" s="44"/>
      <c r="AR60" s="368"/>
      <c r="AS60" s="368"/>
      <c r="AT60" s="368"/>
      <c r="AU60" s="235"/>
      <c r="AV60" s="235"/>
      <c r="AW60" s="160"/>
      <c r="AX60" s="160"/>
      <c r="AY60" s="28"/>
      <c r="AZ60" s="28"/>
      <c r="BA60" s="28"/>
      <c r="BB60" s="3"/>
      <c r="BC60" s="3"/>
      <c r="BD60" s="3"/>
      <c r="BG60" s="3"/>
    </row>
    <row r="61" spans="1:59" ht="12.75" customHeight="1" x14ac:dyDescent="0.2">
      <c r="A61" s="10" t="s">
        <v>177</v>
      </c>
      <c r="B61" s="88"/>
      <c r="C61" s="91"/>
      <c r="D61" s="91"/>
      <c r="E61" s="91"/>
      <c r="F61" s="483"/>
      <c r="G61" s="483"/>
      <c r="H61" s="483"/>
      <c r="I61" s="483"/>
      <c r="J61" s="483"/>
      <c r="K61" s="483"/>
      <c r="L61" s="483"/>
      <c r="M61" s="483"/>
      <c r="N61" s="91"/>
      <c r="O61" s="91"/>
      <c r="P61" s="91"/>
      <c r="Q61" s="91"/>
      <c r="R61" s="91"/>
      <c r="S61" s="91"/>
      <c r="T61" s="91"/>
      <c r="U61" s="91"/>
      <c r="V61" s="91"/>
      <c r="W61" s="91"/>
      <c r="X61" s="91"/>
      <c r="Y61" s="91"/>
      <c r="Z61" s="91"/>
      <c r="AA61" s="265"/>
      <c r="AB61" s="91"/>
      <c r="AC61" s="91"/>
      <c r="AD61" s="91"/>
      <c r="AE61" s="91"/>
      <c r="AF61" s="91"/>
      <c r="AG61" s="6"/>
      <c r="AH61" s="91"/>
      <c r="AI61" s="6"/>
      <c r="AJ61" s="6"/>
      <c r="AK61" s="91"/>
      <c r="AL61" s="91"/>
      <c r="AM61" s="91"/>
      <c r="AN61" s="91"/>
      <c r="AO61" s="370"/>
      <c r="AP61" s="370"/>
      <c r="AQ61" s="91"/>
      <c r="AR61" s="370"/>
      <c r="AS61" s="370"/>
      <c r="AT61" s="370"/>
      <c r="AU61" s="91"/>
      <c r="AV61" s="91"/>
      <c r="AW61" s="91"/>
      <c r="AX61" s="91"/>
      <c r="AY61" s="28"/>
      <c r="AZ61" s="28"/>
      <c r="BA61" s="28"/>
      <c r="BB61" s="3"/>
      <c r="BC61" s="3"/>
      <c r="BD61" s="3"/>
      <c r="BG61" s="3"/>
    </row>
    <row r="62" spans="1:59" ht="12.75" customHeight="1" x14ac:dyDescent="0.2">
      <c r="C62" s="2431" t="s">
        <v>293</v>
      </c>
      <c r="D62" s="2432"/>
      <c r="E62" s="184"/>
      <c r="F62" s="273"/>
      <c r="G62" s="273"/>
      <c r="H62" s="273"/>
      <c r="I62" s="17"/>
      <c r="J62" s="273"/>
      <c r="K62" s="273"/>
      <c r="L62" s="273"/>
      <c r="M62" s="17"/>
      <c r="N62" s="15"/>
      <c r="O62" s="16"/>
      <c r="P62" s="273"/>
      <c r="Q62" s="17"/>
      <c r="R62" s="15"/>
      <c r="S62" s="16"/>
      <c r="T62" s="273"/>
      <c r="U62" s="17"/>
      <c r="V62" s="481"/>
      <c r="W62" s="16"/>
      <c r="X62" s="2"/>
      <c r="Y62" s="17"/>
      <c r="Z62" s="16"/>
      <c r="AA62" s="481"/>
      <c r="AB62" s="273"/>
      <c r="AC62" s="17"/>
      <c r="AD62" s="16"/>
      <c r="AE62" s="16"/>
      <c r="AF62" s="16"/>
      <c r="AG62" s="16"/>
      <c r="AH62" s="20"/>
      <c r="AI62" s="17"/>
      <c r="AJ62" s="17"/>
      <c r="AK62" s="17"/>
      <c r="AL62" s="22"/>
      <c r="AM62" s="445" t="s">
        <v>281</v>
      </c>
      <c r="AN62" s="433"/>
      <c r="AO62" s="433" t="s">
        <v>266</v>
      </c>
      <c r="AP62" s="434"/>
      <c r="AQ62" s="91"/>
      <c r="AR62" s="530"/>
      <c r="AS62" s="464"/>
      <c r="AT62" s="402"/>
      <c r="AU62" s="46"/>
      <c r="AV62" s="46"/>
      <c r="AW62" s="126"/>
      <c r="AX62" s="124"/>
      <c r="AY62" s="46"/>
      <c r="AZ62" s="28"/>
      <c r="BA62" s="28"/>
      <c r="BB62" s="23"/>
      <c r="BC62" s="3"/>
      <c r="BD62" s="3"/>
      <c r="BG62" s="3"/>
    </row>
    <row r="63" spans="1:59" ht="12.75" customHeight="1" x14ac:dyDescent="0.2">
      <c r="C63" s="2433" t="s">
        <v>35</v>
      </c>
      <c r="D63" s="2434"/>
      <c r="E63" s="355"/>
      <c r="F63" s="19" t="s">
        <v>296</v>
      </c>
      <c r="G63" s="19" t="s">
        <v>295</v>
      </c>
      <c r="H63" s="19" t="s">
        <v>294</v>
      </c>
      <c r="I63" s="12" t="s">
        <v>292</v>
      </c>
      <c r="J63" s="19" t="s">
        <v>252</v>
      </c>
      <c r="K63" s="19" t="s">
        <v>253</v>
      </c>
      <c r="L63" s="19" t="s">
        <v>254</v>
      </c>
      <c r="M63" s="12" t="s">
        <v>255</v>
      </c>
      <c r="N63" s="18" t="s">
        <v>202</v>
      </c>
      <c r="O63" s="19" t="s">
        <v>203</v>
      </c>
      <c r="P63" s="19" t="s">
        <v>204</v>
      </c>
      <c r="Q63" s="12" t="s">
        <v>201</v>
      </c>
      <c r="R63" s="18" t="s">
        <v>173</v>
      </c>
      <c r="S63" s="19" t="s">
        <v>174</v>
      </c>
      <c r="T63" s="19" t="s">
        <v>175</v>
      </c>
      <c r="U63" s="12" t="s">
        <v>176</v>
      </c>
      <c r="V63" s="19" t="s">
        <v>109</v>
      </c>
      <c r="W63" s="19" t="s">
        <v>108</v>
      </c>
      <c r="X63" s="19" t="s">
        <v>107</v>
      </c>
      <c r="Y63" s="12" t="s">
        <v>106</v>
      </c>
      <c r="Z63" s="19" t="s">
        <v>78</v>
      </c>
      <c r="AA63" s="19" t="s">
        <v>79</v>
      </c>
      <c r="AB63" s="19" t="s">
        <v>80</v>
      </c>
      <c r="AC63" s="12" t="s">
        <v>26</v>
      </c>
      <c r="AD63" s="19" t="s">
        <v>27</v>
      </c>
      <c r="AE63" s="19" t="s">
        <v>28</v>
      </c>
      <c r="AF63" s="19" t="s">
        <v>29</v>
      </c>
      <c r="AG63" s="19" t="s">
        <v>30</v>
      </c>
      <c r="AH63" s="21" t="s">
        <v>31</v>
      </c>
      <c r="AI63" s="12" t="s">
        <v>32</v>
      </c>
      <c r="AJ63" s="12" t="s">
        <v>33</v>
      </c>
      <c r="AK63" s="12" t="s">
        <v>34</v>
      </c>
      <c r="AL63" s="184"/>
      <c r="AM63" s="19" t="s">
        <v>253</v>
      </c>
      <c r="AN63" s="19" t="s">
        <v>203</v>
      </c>
      <c r="AO63" s="2435" t="s">
        <v>35</v>
      </c>
      <c r="AP63" s="2434"/>
      <c r="AQ63" s="91"/>
      <c r="AR63" s="18" t="s">
        <v>257</v>
      </c>
      <c r="AS63" s="18" t="s">
        <v>206</v>
      </c>
      <c r="AT63" s="18" t="s">
        <v>111</v>
      </c>
      <c r="AU63" s="18" t="s">
        <v>110</v>
      </c>
      <c r="AV63" s="18" t="s">
        <v>39</v>
      </c>
      <c r="AW63" s="18" t="s">
        <v>36</v>
      </c>
      <c r="AX63" s="21" t="s">
        <v>37</v>
      </c>
      <c r="AY63" s="21" t="s">
        <v>128</v>
      </c>
      <c r="AZ63" s="28"/>
      <c r="BA63" s="28"/>
      <c r="BB63" s="23"/>
      <c r="BC63" s="3"/>
      <c r="BD63" s="3"/>
      <c r="BG63" s="3"/>
    </row>
    <row r="64" spans="1:59" ht="12.75" customHeight="1" x14ac:dyDescent="0.2">
      <c r="A64" s="44"/>
      <c r="B64" s="6" t="s">
        <v>282</v>
      </c>
      <c r="C64" s="45">
        <f t="shared" ref="C64:C70" si="38">I64-M64</f>
        <v>-205</v>
      </c>
      <c r="D64" s="498">
        <f t="shared" ref="D64:D70" si="39">IF(OR((C64/M64)&gt;3,(C64/M64)&lt;-3),"n.m.",(C64/M64))</f>
        <v>-1.1314090181577349E-2</v>
      </c>
      <c r="E64" s="47"/>
      <c r="F64" s="500"/>
      <c r="G64" s="500"/>
      <c r="H64" s="500"/>
      <c r="I64" s="26">
        <v>17914</v>
      </c>
      <c r="J64" s="500">
        <v>15889</v>
      </c>
      <c r="K64" s="500">
        <v>16583</v>
      </c>
      <c r="L64" s="500">
        <v>17058</v>
      </c>
      <c r="M64" s="26">
        <v>18119</v>
      </c>
      <c r="N64" s="28">
        <v>11991</v>
      </c>
      <c r="O64" s="460">
        <v>11693</v>
      </c>
      <c r="P64" s="160">
        <v>11987</v>
      </c>
      <c r="Q64" s="26">
        <v>12758</v>
      </c>
      <c r="R64" s="28">
        <v>15209</v>
      </c>
      <c r="S64" s="160">
        <v>15284</v>
      </c>
      <c r="T64" s="28">
        <v>13899</v>
      </c>
      <c r="U64" s="26">
        <v>13805</v>
      </c>
      <c r="V64" s="28">
        <v>10539</v>
      </c>
      <c r="W64" s="160">
        <v>10095</v>
      </c>
      <c r="X64" s="28">
        <v>10597</v>
      </c>
      <c r="Y64" s="26">
        <v>11230</v>
      </c>
      <c r="Z64" s="28">
        <v>11862</v>
      </c>
      <c r="AA64" s="160">
        <v>10791</v>
      </c>
      <c r="AB64" s="26">
        <v>13600</v>
      </c>
      <c r="AC64" s="26">
        <v>12602</v>
      </c>
      <c r="AD64" s="252">
        <v>29584</v>
      </c>
      <c r="AE64" s="91"/>
      <c r="AF64" s="91"/>
      <c r="AG64" s="6"/>
      <c r="AH64" s="91"/>
      <c r="AI64" s="6"/>
      <c r="AJ64" s="6"/>
      <c r="AK64" s="91"/>
      <c r="AL64" s="47"/>
      <c r="AM64" s="235">
        <f t="shared" ref="AM64:AM69" si="40">SUM(K64:M64)</f>
        <v>51760</v>
      </c>
      <c r="AN64" s="235">
        <f t="shared" ref="AN64:AN69" si="41">SUM(O64:Q64)</f>
        <v>36438</v>
      </c>
      <c r="AO64" s="398">
        <f t="shared" ref="AO64:AO70" si="42">AR64-AS64</f>
        <v>19220</v>
      </c>
      <c r="AP64" s="389">
        <f>IF(OR((AO64/AS64)&gt;3,(AO64/AS64)&lt;-3),"n.m.",(AO64/AS64))</f>
        <v>0.39686964422143756</v>
      </c>
      <c r="AQ64" s="91"/>
      <c r="AR64" s="372">
        <f t="shared" ref="AR64:AR69" si="43">SUM(J64:M64)</f>
        <v>67649</v>
      </c>
      <c r="AS64" s="372">
        <f t="shared" ref="AS64:AS69" si="44">SUM(N64:Q64)</f>
        <v>48429</v>
      </c>
      <c r="AT64" s="376">
        <v>58197</v>
      </c>
      <c r="AU64" s="37">
        <v>42461</v>
      </c>
      <c r="AV64" s="37">
        <v>48855</v>
      </c>
      <c r="AW64" s="37">
        <v>47101</v>
      </c>
      <c r="AX64" s="37">
        <v>46312</v>
      </c>
      <c r="AY64" s="37">
        <v>20817</v>
      </c>
      <c r="AZ64" s="28"/>
      <c r="BA64" s="28"/>
      <c r="BB64" s="23"/>
      <c r="BC64" s="3"/>
      <c r="BD64" s="3"/>
      <c r="BG64" s="3"/>
    </row>
    <row r="65" spans="1:59" ht="12.75" customHeight="1" x14ac:dyDescent="0.2">
      <c r="A65" s="44"/>
      <c r="B65" s="6" t="s">
        <v>57</v>
      </c>
      <c r="C65" s="45">
        <f t="shared" si="38"/>
        <v>9051</v>
      </c>
      <c r="D65" s="498">
        <f t="shared" si="39"/>
        <v>2.2919726513041274</v>
      </c>
      <c r="E65" s="47"/>
      <c r="F65" s="500"/>
      <c r="G65" s="500"/>
      <c r="H65" s="500"/>
      <c r="I65" s="26">
        <v>13000</v>
      </c>
      <c r="J65" s="500">
        <v>9784</v>
      </c>
      <c r="K65" s="500">
        <v>3629</v>
      </c>
      <c r="L65" s="500">
        <v>6842</v>
      </c>
      <c r="M65" s="26">
        <v>3949</v>
      </c>
      <c r="N65" s="28">
        <v>3942</v>
      </c>
      <c r="O65" s="460">
        <v>5342</v>
      </c>
      <c r="P65" s="160">
        <v>4651</v>
      </c>
      <c r="Q65" s="26">
        <v>11486</v>
      </c>
      <c r="R65" s="28">
        <v>11091</v>
      </c>
      <c r="S65" s="160">
        <v>15764</v>
      </c>
      <c r="T65" s="28">
        <v>6218</v>
      </c>
      <c r="U65" s="26">
        <v>9888</v>
      </c>
      <c r="V65" s="28">
        <v>4688</v>
      </c>
      <c r="W65" s="160">
        <v>11947</v>
      </c>
      <c r="X65" s="28">
        <v>8461</v>
      </c>
      <c r="Y65" s="26">
        <v>12184</v>
      </c>
      <c r="Z65" s="28">
        <v>2110</v>
      </c>
      <c r="AA65" s="160">
        <v>74</v>
      </c>
      <c r="AB65" s="26">
        <v>2233</v>
      </c>
      <c r="AC65" s="26">
        <v>8627</v>
      </c>
      <c r="AD65" s="252">
        <v>68274</v>
      </c>
      <c r="AE65" s="91">
        <v>0</v>
      </c>
      <c r="AF65" s="91">
        <v>0</v>
      </c>
      <c r="AG65" s="6">
        <v>0</v>
      </c>
      <c r="AH65" s="91">
        <v>0</v>
      </c>
      <c r="AI65" s="6">
        <v>0</v>
      </c>
      <c r="AJ65" s="6">
        <v>0</v>
      </c>
      <c r="AK65" s="91">
        <v>0</v>
      </c>
      <c r="AL65" s="47"/>
      <c r="AM65" s="235">
        <f t="shared" si="40"/>
        <v>14420</v>
      </c>
      <c r="AN65" s="235">
        <f t="shared" si="41"/>
        <v>21479</v>
      </c>
      <c r="AO65" s="392">
        <f t="shared" si="42"/>
        <v>-1217</v>
      </c>
      <c r="AP65" s="389">
        <f>IF(OR((AO65/AS65)&gt;3,(AO65/AS65)&lt;-3),"n.m.",(AO65/AS65))</f>
        <v>-4.7873805121749734E-2</v>
      </c>
      <c r="AQ65" s="91"/>
      <c r="AR65" s="372">
        <f t="shared" si="43"/>
        <v>24204</v>
      </c>
      <c r="AS65" s="372">
        <f t="shared" si="44"/>
        <v>25421</v>
      </c>
      <c r="AT65" s="376">
        <v>42961</v>
      </c>
      <c r="AU65" s="37">
        <v>37280</v>
      </c>
      <c r="AV65" s="37">
        <v>13044</v>
      </c>
      <c r="AW65" s="37">
        <v>34077</v>
      </c>
      <c r="AX65" s="37">
        <v>20909</v>
      </c>
      <c r="AY65" s="37">
        <f>7416-4509</f>
        <v>2907</v>
      </c>
      <c r="AZ65" s="28"/>
      <c r="BA65" s="28"/>
      <c r="BB65" s="23"/>
      <c r="BC65" s="3"/>
      <c r="BD65" s="3"/>
      <c r="BG65" s="3"/>
    </row>
    <row r="66" spans="1:59" ht="12.75" customHeight="1" x14ac:dyDescent="0.2">
      <c r="A66" s="44"/>
      <c r="B66" s="6" t="s">
        <v>188</v>
      </c>
      <c r="C66" s="45">
        <f t="shared" si="38"/>
        <v>3005</v>
      </c>
      <c r="D66" s="498">
        <f t="shared" si="39"/>
        <v>0.8351862145636465</v>
      </c>
      <c r="E66" s="47"/>
      <c r="F66" s="507"/>
      <c r="G66" s="507"/>
      <c r="H66" s="507"/>
      <c r="I66" s="26">
        <v>6603</v>
      </c>
      <c r="J66" s="507">
        <v>6074</v>
      </c>
      <c r="K66" s="507">
        <v>5988</v>
      </c>
      <c r="L66" s="507">
        <v>5624</v>
      </c>
      <c r="M66" s="26">
        <v>3598</v>
      </c>
      <c r="N66" s="28">
        <v>1320</v>
      </c>
      <c r="O66" s="28">
        <v>838</v>
      </c>
      <c r="P66" s="28">
        <v>1962</v>
      </c>
      <c r="Q66" s="26">
        <v>2960</v>
      </c>
      <c r="R66" s="28">
        <v>2860</v>
      </c>
      <c r="S66" s="28">
        <v>2926</v>
      </c>
      <c r="T66" s="28">
        <v>740</v>
      </c>
      <c r="U66" s="26">
        <v>3062</v>
      </c>
      <c r="V66" s="28">
        <v>4933</v>
      </c>
      <c r="W66" s="28">
        <v>1525</v>
      </c>
      <c r="X66" s="28">
        <v>11768</v>
      </c>
      <c r="Y66" s="26">
        <v>3665</v>
      </c>
      <c r="Z66" s="28">
        <v>3141</v>
      </c>
      <c r="AA66" s="28">
        <v>5516</v>
      </c>
      <c r="AB66" s="26">
        <v>2314</v>
      </c>
      <c r="AC66" s="26">
        <v>4200</v>
      </c>
      <c r="AD66" s="252"/>
      <c r="AE66" s="91"/>
      <c r="AF66" s="91"/>
      <c r="AG66" s="6"/>
      <c r="AH66" s="91"/>
      <c r="AI66" s="6"/>
      <c r="AJ66" s="6"/>
      <c r="AK66" s="91"/>
      <c r="AL66" s="47"/>
      <c r="AM66" s="235">
        <f t="shared" si="40"/>
        <v>15210</v>
      </c>
      <c r="AN66" s="235">
        <f t="shared" si="41"/>
        <v>5760</v>
      </c>
      <c r="AO66" s="392">
        <f t="shared" si="42"/>
        <v>14204</v>
      </c>
      <c r="AP66" s="389">
        <f>IF(OR((AO66/AS66)&gt;3,(AO66/AS66)&lt;-3),"n.m.",(AO66/AS66))</f>
        <v>2.0062146892655366</v>
      </c>
      <c r="AQ66" s="91"/>
      <c r="AR66" s="372">
        <f t="shared" si="43"/>
        <v>21284</v>
      </c>
      <c r="AS66" s="372">
        <f t="shared" si="44"/>
        <v>7080</v>
      </c>
      <c r="AT66" s="376">
        <v>9588</v>
      </c>
      <c r="AU66" s="37">
        <v>21891</v>
      </c>
      <c r="AV66" s="37">
        <v>15171</v>
      </c>
      <c r="AW66" s="37">
        <v>11589</v>
      </c>
      <c r="AX66" s="37">
        <v>12740</v>
      </c>
      <c r="AY66" s="37">
        <v>4509</v>
      </c>
      <c r="AZ66" s="28"/>
      <c r="BA66" s="28"/>
      <c r="BB66" s="23"/>
      <c r="BC66" s="3"/>
      <c r="BD66" s="3"/>
      <c r="BG66" s="3"/>
    </row>
    <row r="67" spans="1:59" ht="12.75" customHeight="1" x14ac:dyDescent="0.2">
      <c r="A67" s="44"/>
      <c r="B67" s="6" t="s">
        <v>58</v>
      </c>
      <c r="C67" s="45">
        <f t="shared" si="38"/>
        <v>9066</v>
      </c>
      <c r="D67" s="498">
        <f t="shared" si="39"/>
        <v>1.6677704194260485</v>
      </c>
      <c r="E67" s="47"/>
      <c r="F67" s="507"/>
      <c r="G67" s="507"/>
      <c r="H67" s="507"/>
      <c r="I67" s="26">
        <v>14502</v>
      </c>
      <c r="J67" s="507">
        <v>13382</v>
      </c>
      <c r="K67" s="507">
        <v>11455</v>
      </c>
      <c r="L67" s="507">
        <v>9853</v>
      </c>
      <c r="M67" s="26">
        <v>5436</v>
      </c>
      <c r="N67" s="28">
        <v>1678</v>
      </c>
      <c r="O67" s="28">
        <v>0</v>
      </c>
      <c r="P67" s="28">
        <v>0</v>
      </c>
      <c r="Q67" s="26">
        <v>0</v>
      </c>
      <c r="R67" s="28">
        <v>0</v>
      </c>
      <c r="S67" s="28">
        <v>0</v>
      </c>
      <c r="T67" s="28">
        <v>0</v>
      </c>
      <c r="U67" s="26">
        <v>0</v>
      </c>
      <c r="V67" s="28">
        <v>0</v>
      </c>
      <c r="W67" s="28">
        <v>0</v>
      </c>
      <c r="X67" s="28">
        <v>0</v>
      </c>
      <c r="Y67" s="26">
        <v>0</v>
      </c>
      <c r="Z67" s="28">
        <v>1</v>
      </c>
      <c r="AA67" s="160">
        <v>-1</v>
      </c>
      <c r="AB67" s="26">
        <v>0</v>
      </c>
      <c r="AC67" s="26">
        <v>0</v>
      </c>
      <c r="AD67" s="252">
        <v>5363</v>
      </c>
      <c r="AE67" s="91"/>
      <c r="AF67" s="91"/>
      <c r="AG67" s="6"/>
      <c r="AH67" s="91"/>
      <c r="AI67" s="6"/>
      <c r="AJ67" s="6"/>
      <c r="AK67" s="91"/>
      <c r="AL67" s="47"/>
      <c r="AM67" s="28">
        <f t="shared" si="40"/>
        <v>26744</v>
      </c>
      <c r="AN67" s="28">
        <f t="shared" si="41"/>
        <v>0</v>
      </c>
      <c r="AO67" s="392">
        <f t="shared" si="42"/>
        <v>38448</v>
      </c>
      <c r="AP67" s="324" t="s">
        <v>38</v>
      </c>
      <c r="AQ67" s="91"/>
      <c r="AR67" s="372">
        <f t="shared" si="43"/>
        <v>40126</v>
      </c>
      <c r="AS67" s="372">
        <f t="shared" si="44"/>
        <v>1678</v>
      </c>
      <c r="AT67" s="376">
        <v>0</v>
      </c>
      <c r="AU67" s="37">
        <v>0</v>
      </c>
      <c r="AV67" s="37">
        <v>0</v>
      </c>
      <c r="AW67" s="37">
        <v>0</v>
      </c>
      <c r="AX67" s="37">
        <v>-1634</v>
      </c>
      <c r="AY67" s="37">
        <v>-1266</v>
      </c>
      <c r="AZ67" s="28"/>
      <c r="BA67" s="28"/>
      <c r="BB67" s="23"/>
      <c r="BC67" s="3"/>
      <c r="BD67" s="3"/>
      <c r="BG67" s="3"/>
    </row>
    <row r="68" spans="1:59" ht="12.75" customHeight="1" x14ac:dyDescent="0.2">
      <c r="A68" s="44"/>
      <c r="B68" s="6" t="s">
        <v>59</v>
      </c>
      <c r="C68" s="45">
        <f t="shared" si="38"/>
        <v>137</v>
      </c>
      <c r="D68" s="498">
        <f t="shared" si="39"/>
        <v>0.40412979351032446</v>
      </c>
      <c r="E68" s="47"/>
      <c r="F68" s="500"/>
      <c r="G68" s="500"/>
      <c r="H68" s="500"/>
      <c r="I68" s="26">
        <v>476</v>
      </c>
      <c r="J68" s="500">
        <v>420</v>
      </c>
      <c r="K68" s="500">
        <v>461</v>
      </c>
      <c r="L68" s="500">
        <v>399</v>
      </c>
      <c r="M68" s="26">
        <v>339</v>
      </c>
      <c r="N68" s="28">
        <v>25</v>
      </c>
      <c r="O68" s="460">
        <v>13</v>
      </c>
      <c r="P68" s="160">
        <v>16</v>
      </c>
      <c r="Q68" s="26">
        <v>19</v>
      </c>
      <c r="R68" s="28">
        <v>29</v>
      </c>
      <c r="S68" s="160">
        <v>18</v>
      </c>
      <c r="T68" s="28">
        <v>17</v>
      </c>
      <c r="U68" s="26">
        <v>17</v>
      </c>
      <c r="V68" s="28">
        <v>-66</v>
      </c>
      <c r="W68" s="160">
        <v>-778</v>
      </c>
      <c r="X68" s="28">
        <v>-794</v>
      </c>
      <c r="Y68" s="26">
        <v>-17</v>
      </c>
      <c r="Z68" s="28">
        <v>29</v>
      </c>
      <c r="AA68" s="160">
        <v>67</v>
      </c>
      <c r="AB68" s="26">
        <v>101</v>
      </c>
      <c r="AC68" s="26">
        <v>145</v>
      </c>
      <c r="AD68" s="252">
        <v>1512</v>
      </c>
      <c r="AE68" s="91"/>
      <c r="AF68" s="91"/>
      <c r="AG68" s="6"/>
      <c r="AH68" s="91"/>
      <c r="AI68" s="6"/>
      <c r="AJ68" s="6"/>
      <c r="AK68" s="91"/>
      <c r="AL68" s="47"/>
      <c r="AM68" s="235">
        <f t="shared" si="40"/>
        <v>1199</v>
      </c>
      <c r="AN68" s="235">
        <f t="shared" si="41"/>
        <v>48</v>
      </c>
      <c r="AO68" s="392">
        <f t="shared" si="42"/>
        <v>1546</v>
      </c>
      <c r="AP68" s="324" t="str">
        <f>IF(OR((AO68/AS68)&gt;3,(AO68/AS68)&lt;-3),"n.m.",(AO68/AS68))</f>
        <v>n.m.</v>
      </c>
      <c r="AQ68" s="91"/>
      <c r="AR68" s="372">
        <f t="shared" si="43"/>
        <v>1619</v>
      </c>
      <c r="AS68" s="372">
        <f t="shared" si="44"/>
        <v>73</v>
      </c>
      <c r="AT68" s="376">
        <v>81</v>
      </c>
      <c r="AU68" s="37">
        <v>-1655</v>
      </c>
      <c r="AV68" s="37">
        <v>342</v>
      </c>
      <c r="AW68" s="37">
        <v>1092</v>
      </c>
      <c r="AX68" s="37">
        <v>1750</v>
      </c>
      <c r="AY68" s="37">
        <f>1146-8255</f>
        <v>-7109</v>
      </c>
      <c r="AZ68" s="28"/>
      <c r="BA68" s="28"/>
      <c r="BB68" s="23"/>
      <c r="BC68" s="3"/>
      <c r="BD68" s="3"/>
      <c r="BG68" s="3"/>
    </row>
    <row r="69" spans="1:59" ht="12.75" customHeight="1" x14ac:dyDescent="0.2">
      <c r="A69" s="123"/>
      <c r="B69" s="6" t="s">
        <v>60</v>
      </c>
      <c r="C69" s="45">
        <f t="shared" si="38"/>
        <v>653</v>
      </c>
      <c r="D69" s="498">
        <f t="shared" si="39"/>
        <v>2.5810276679841899</v>
      </c>
      <c r="E69" s="357"/>
      <c r="F69" s="500"/>
      <c r="G69" s="500"/>
      <c r="H69" s="500"/>
      <c r="I69" s="26">
        <v>906</v>
      </c>
      <c r="J69" s="500">
        <v>139</v>
      </c>
      <c r="K69" s="500">
        <v>79</v>
      </c>
      <c r="L69" s="500">
        <v>232</v>
      </c>
      <c r="M69" s="26">
        <v>253</v>
      </c>
      <c r="N69" s="28">
        <v>321</v>
      </c>
      <c r="O69" s="460">
        <v>117</v>
      </c>
      <c r="P69" s="160">
        <v>-30</v>
      </c>
      <c r="Q69" s="26">
        <v>-28</v>
      </c>
      <c r="R69" s="28">
        <v>9</v>
      </c>
      <c r="S69" s="160">
        <v>181</v>
      </c>
      <c r="T69" s="28">
        <v>219</v>
      </c>
      <c r="U69" s="26">
        <v>-66</v>
      </c>
      <c r="V69" s="28">
        <v>190</v>
      </c>
      <c r="W69" s="160">
        <v>28</v>
      </c>
      <c r="X69" s="28">
        <v>105</v>
      </c>
      <c r="Y69" s="26">
        <v>117</v>
      </c>
      <c r="Z69" s="28">
        <v>69</v>
      </c>
      <c r="AA69" s="160">
        <v>86</v>
      </c>
      <c r="AB69" s="26">
        <v>36</v>
      </c>
      <c r="AC69" s="26">
        <v>47</v>
      </c>
      <c r="AD69" s="253">
        <v>60</v>
      </c>
      <c r="AE69" s="13"/>
      <c r="AF69" s="13"/>
      <c r="AG69" s="13"/>
      <c r="AH69" s="13"/>
      <c r="AI69" s="13"/>
      <c r="AJ69" s="13"/>
      <c r="AK69" s="13"/>
      <c r="AL69" s="47"/>
      <c r="AM69" s="235">
        <f t="shared" si="40"/>
        <v>564</v>
      </c>
      <c r="AN69" s="235">
        <f t="shared" si="41"/>
        <v>59</v>
      </c>
      <c r="AO69" s="393">
        <f t="shared" si="42"/>
        <v>323</v>
      </c>
      <c r="AP69" s="324">
        <f>IF(OR((AO69/AS69)&gt;3,(AO69/AS69)&lt;-3),"n.m.",(AO69/AS69))</f>
        <v>0.85</v>
      </c>
      <c r="AQ69" s="44"/>
      <c r="AR69" s="372">
        <f t="shared" si="43"/>
        <v>703</v>
      </c>
      <c r="AS69" s="372">
        <f t="shared" si="44"/>
        <v>380</v>
      </c>
      <c r="AT69" s="376">
        <v>343</v>
      </c>
      <c r="AU69" s="37">
        <v>440</v>
      </c>
      <c r="AV69" s="37">
        <v>238</v>
      </c>
      <c r="AW69" s="37">
        <v>345</v>
      </c>
      <c r="AX69" s="37">
        <v>596</v>
      </c>
      <c r="AY69" s="37">
        <v>103</v>
      </c>
      <c r="AZ69" s="28"/>
      <c r="BA69" s="28"/>
      <c r="BB69" s="23"/>
      <c r="BC69" s="3"/>
      <c r="BD69" s="3"/>
      <c r="BG69" s="3"/>
    </row>
    <row r="70" spans="1:59" ht="12.75" customHeight="1" x14ac:dyDescent="0.2">
      <c r="A70" s="123"/>
      <c r="B70" s="6"/>
      <c r="C70" s="338">
        <f t="shared" si="38"/>
        <v>21707</v>
      </c>
      <c r="D70" s="339">
        <f t="shared" si="39"/>
        <v>0.68489303969205528</v>
      </c>
      <c r="E70" s="22"/>
      <c r="F70" s="238">
        <f>SUM(F64:F69)</f>
        <v>0</v>
      </c>
      <c r="G70" s="238">
        <f>SUM(G64:G69)</f>
        <v>0</v>
      </c>
      <c r="H70" s="238">
        <f>SUM(H64:H69)</f>
        <v>0</v>
      </c>
      <c r="I70" s="341">
        <f>SUM(I64:I69)</f>
        <v>53401</v>
      </c>
      <c r="J70" s="238">
        <f t="shared" ref="J70:O70" si="45">SUM(J64:J69)</f>
        <v>45688</v>
      </c>
      <c r="K70" s="238">
        <f t="shared" si="45"/>
        <v>38195</v>
      </c>
      <c r="L70" s="238">
        <f t="shared" si="45"/>
        <v>40008</v>
      </c>
      <c r="M70" s="341">
        <f t="shared" si="45"/>
        <v>31694</v>
      </c>
      <c r="N70" s="238">
        <f t="shared" si="45"/>
        <v>19277</v>
      </c>
      <c r="O70" s="238">
        <f t="shared" si="45"/>
        <v>18003</v>
      </c>
      <c r="P70" s="238">
        <f>SUM(P64:P69)</f>
        <v>18586</v>
      </c>
      <c r="Q70" s="341">
        <f>SUM(Q64:Q69)</f>
        <v>27195</v>
      </c>
      <c r="R70" s="238">
        <v>29198</v>
      </c>
      <c r="S70" s="238">
        <v>34173</v>
      </c>
      <c r="T70" s="238">
        <v>21093</v>
      </c>
      <c r="U70" s="341">
        <v>26706</v>
      </c>
      <c r="V70" s="238">
        <v>20284</v>
      </c>
      <c r="W70" s="238">
        <v>22817</v>
      </c>
      <c r="X70" s="238">
        <v>30137</v>
      </c>
      <c r="Y70" s="341">
        <v>27179</v>
      </c>
      <c r="Z70" s="237">
        <v>17212</v>
      </c>
      <c r="AA70" s="238">
        <v>16533</v>
      </c>
      <c r="AB70" s="341">
        <v>18284</v>
      </c>
      <c r="AC70" s="341">
        <v>25621</v>
      </c>
      <c r="AD70" s="341">
        <v>104793</v>
      </c>
      <c r="AE70" s="2">
        <v>0</v>
      </c>
      <c r="AF70" s="2">
        <v>0</v>
      </c>
      <c r="AG70" s="2">
        <v>0</v>
      </c>
      <c r="AH70" s="2">
        <v>0</v>
      </c>
      <c r="AI70" s="2">
        <v>0</v>
      </c>
      <c r="AJ70" s="2">
        <v>0</v>
      </c>
      <c r="AK70" s="2">
        <v>0</v>
      </c>
      <c r="AL70" s="47"/>
      <c r="AM70" s="238">
        <f>SUM(AM64:AM69)</f>
        <v>109897</v>
      </c>
      <c r="AN70" s="238">
        <f>SUM(AN64:AN69)</f>
        <v>63784</v>
      </c>
      <c r="AO70" s="394">
        <f t="shared" si="42"/>
        <v>72524</v>
      </c>
      <c r="AP70" s="387">
        <f>AO70/AS70</f>
        <v>0.87314142618075874</v>
      </c>
      <c r="AQ70">
        <v>0</v>
      </c>
      <c r="AR70" s="378">
        <f>SUM(AR64:AR69)</f>
        <v>155585</v>
      </c>
      <c r="AS70" s="378">
        <f>SUM(AS64:AS69)</f>
        <v>83061</v>
      </c>
      <c r="AT70" s="378">
        <v>111170</v>
      </c>
      <c r="AU70" s="237">
        <v>100417</v>
      </c>
      <c r="AV70" s="340">
        <v>77650</v>
      </c>
      <c r="AW70" s="343">
        <v>94204</v>
      </c>
      <c r="AX70" s="344">
        <v>80673</v>
      </c>
      <c r="AY70" s="113">
        <f>SUM(AY64:AY69)</f>
        <v>19961</v>
      </c>
      <c r="AZ70" s="28"/>
      <c r="BA70" s="28"/>
      <c r="BB70" s="23"/>
      <c r="BC70" s="3"/>
      <c r="BD70" s="3"/>
      <c r="BG70" s="3"/>
    </row>
    <row r="71" spans="1:59" s="407" customFormat="1" ht="12.75" customHeight="1" x14ac:dyDescent="0.2">
      <c r="A71" s="123"/>
      <c r="B71" s="6"/>
      <c r="C71" s="262"/>
      <c r="D71" s="247"/>
      <c r="E71" s="22"/>
      <c r="F71" s="245"/>
      <c r="G71" s="245"/>
      <c r="H71" s="245"/>
      <c r="I71" s="424"/>
      <c r="J71" s="245"/>
      <c r="K71" s="245"/>
      <c r="L71" s="245"/>
      <c r="M71" s="424"/>
      <c r="N71" s="156"/>
      <c r="O71" s="245"/>
      <c r="P71" s="245"/>
      <c r="Q71" s="424"/>
      <c r="R71" s="156"/>
      <c r="S71" s="245"/>
      <c r="T71" s="245"/>
      <c r="U71" s="424"/>
      <c r="V71" s="156"/>
      <c r="W71" s="424"/>
      <c r="X71" s="424"/>
      <c r="Y71" s="424"/>
      <c r="Z71" s="235"/>
      <c r="AA71" s="235"/>
      <c r="AB71" s="235"/>
      <c r="AC71" s="235"/>
      <c r="AD71" s="235"/>
      <c r="AE71" s="2"/>
      <c r="AF71" s="2"/>
      <c r="AG71" s="2"/>
      <c r="AH71" s="2"/>
      <c r="AI71" s="2"/>
      <c r="AJ71" s="2"/>
      <c r="AK71" s="2"/>
      <c r="AL71" s="22"/>
      <c r="AM71" s="15"/>
      <c r="AN71" s="16"/>
      <c r="AO71" s="440"/>
      <c r="AP71" s="313"/>
      <c r="AR71" s="425"/>
      <c r="AS71" s="425"/>
      <c r="AT71" s="425"/>
      <c r="AU71" s="425"/>
      <c r="AV71" s="284"/>
      <c r="AW71" s="425"/>
      <c r="AX71" s="425"/>
      <c r="AY71" s="140"/>
      <c r="AZ71" s="88"/>
      <c r="BA71" s="88"/>
      <c r="BB71" s="23"/>
    </row>
    <row r="72" spans="1:59" s="407" customFormat="1" ht="13.5" customHeight="1" x14ac:dyDescent="0.2">
      <c r="A72" s="123"/>
      <c r="B72" s="6" t="s">
        <v>268</v>
      </c>
      <c r="C72" s="97">
        <f>I72-M72</f>
        <v>289</v>
      </c>
      <c r="D72" s="98">
        <f>-IF(OR((C72/M72)&gt;3,(C72/M72)&lt;-3),"n.m.",(C72/M72))</f>
        <v>0.23212851405622489</v>
      </c>
      <c r="E72" s="22"/>
      <c r="F72" s="243"/>
      <c r="G72" s="243"/>
      <c r="H72" s="243"/>
      <c r="I72" s="253">
        <v>-956</v>
      </c>
      <c r="J72" s="243">
        <v>-541</v>
      </c>
      <c r="K72" s="243">
        <v>-674</v>
      </c>
      <c r="L72" s="243">
        <v>-320</v>
      </c>
      <c r="M72" s="253">
        <v>-1245</v>
      </c>
      <c r="N72" s="155">
        <v>-1385</v>
      </c>
      <c r="O72" s="243">
        <v>-1519</v>
      </c>
      <c r="P72" s="243">
        <v>-1327</v>
      </c>
      <c r="Q72" s="253">
        <v>-1714</v>
      </c>
      <c r="R72" s="155">
        <v>-1639</v>
      </c>
      <c r="S72" s="243">
        <v>-1628</v>
      </c>
      <c r="T72" s="243">
        <v>-1323</v>
      </c>
      <c r="U72" s="253">
        <v>-1323</v>
      </c>
      <c r="V72" s="426" t="s">
        <v>166</v>
      </c>
      <c r="W72" s="427" t="s">
        <v>166</v>
      </c>
      <c r="X72" s="427" t="s">
        <v>166</v>
      </c>
      <c r="Y72" s="427" t="s">
        <v>166</v>
      </c>
      <c r="Z72" s="428"/>
      <c r="AA72" s="428"/>
      <c r="AB72" s="428"/>
      <c r="AC72" s="428"/>
      <c r="AD72" s="428"/>
      <c r="AE72" s="429"/>
      <c r="AF72" s="429"/>
      <c r="AG72" s="429"/>
      <c r="AH72" s="429"/>
      <c r="AI72" s="429"/>
      <c r="AJ72" s="429"/>
      <c r="AK72" s="429"/>
      <c r="AL72" s="465"/>
      <c r="AM72" s="155">
        <f>+SUM(K72:M72)</f>
        <v>-2239</v>
      </c>
      <c r="AN72" s="243">
        <f>SUM(O72:Q72)</f>
        <v>-4560</v>
      </c>
      <c r="AO72" s="441">
        <f>AR72-AS72</f>
        <v>3165</v>
      </c>
      <c r="AP72" s="391">
        <f>-IF(OR((AO72/AS72)&gt;3,(AO72/AS72)&lt;-3),"n.m.",(AO72/AS72))</f>
        <v>0.53238015138772077</v>
      </c>
      <c r="AQ72" s="55"/>
      <c r="AR72" s="430">
        <f>SUM(J72:M72)</f>
        <v>-2780</v>
      </c>
      <c r="AS72" s="430">
        <f>SUM(N72:Q72)</f>
        <v>-5945</v>
      </c>
      <c r="AT72" s="430">
        <f>SUM(R72:U72)</f>
        <v>-5913</v>
      </c>
      <c r="AU72" s="430" t="s">
        <v>166</v>
      </c>
      <c r="AV72" s="431" t="s">
        <v>166</v>
      </c>
      <c r="AW72" s="430" t="s">
        <v>166</v>
      </c>
      <c r="AX72" s="430" t="s">
        <v>166</v>
      </c>
      <c r="AY72" s="140"/>
      <c r="AZ72" s="88"/>
      <c r="BA72" s="88"/>
    </row>
    <row r="73" spans="1:59" s="407" customFormat="1" ht="12.75" customHeight="1" x14ac:dyDescent="0.2">
      <c r="B73" s="11"/>
      <c r="C73" s="11"/>
      <c r="D73" s="11"/>
      <c r="E73" s="11"/>
      <c r="F73" s="11"/>
      <c r="G73" s="11"/>
      <c r="H73" s="11"/>
      <c r="I73" s="13"/>
      <c r="J73" s="11"/>
      <c r="K73" s="11"/>
      <c r="L73" s="11"/>
      <c r="M73" s="13"/>
      <c r="N73" s="11"/>
      <c r="O73" s="11"/>
      <c r="P73" s="11"/>
      <c r="Q73" s="13"/>
      <c r="R73" s="11"/>
      <c r="S73" s="11"/>
      <c r="T73" s="11"/>
      <c r="U73" s="13"/>
      <c r="V73" s="11"/>
      <c r="W73" s="11"/>
      <c r="X73" s="11"/>
      <c r="Y73" s="13"/>
      <c r="Z73" s="11"/>
      <c r="AA73" s="11"/>
      <c r="AB73" s="11"/>
      <c r="AC73" s="13"/>
      <c r="AD73" s="13"/>
      <c r="AE73" s="13"/>
      <c r="AF73" s="13"/>
      <c r="AG73" s="13"/>
      <c r="AH73" s="13"/>
      <c r="AI73" s="13"/>
      <c r="AJ73" s="13"/>
      <c r="AK73" s="13"/>
      <c r="AL73" s="3"/>
      <c r="AM73" s="235"/>
      <c r="AN73" s="3"/>
      <c r="AR73" s="480"/>
      <c r="AW73" s="2"/>
      <c r="AX73" s="2"/>
      <c r="BB73" s="3"/>
      <c r="BC73" s="3"/>
    </row>
    <row r="74" spans="1:59" ht="12.75" customHeight="1" x14ac:dyDescent="0.2">
      <c r="A74" s="6" t="s">
        <v>280</v>
      </c>
      <c r="B74" s="11"/>
      <c r="C74" s="181"/>
      <c r="D74" s="181"/>
      <c r="E74" s="181"/>
      <c r="F74" s="181"/>
      <c r="G74" s="181"/>
      <c r="H74" s="181"/>
      <c r="I74" s="2"/>
      <c r="J74" s="181"/>
      <c r="K74" s="181"/>
      <c r="L74" s="181"/>
      <c r="M74" s="2"/>
      <c r="N74" s="181"/>
      <c r="O74" s="181"/>
      <c r="P74" s="181"/>
      <c r="Q74" s="2"/>
      <c r="R74" s="181"/>
      <c r="S74" s="181"/>
      <c r="T74" s="181"/>
      <c r="U74" s="2"/>
      <c r="V74" s="181"/>
      <c r="W74" s="181"/>
      <c r="X74" s="181"/>
      <c r="Y74" s="2"/>
      <c r="Z74" s="181"/>
      <c r="AA74" s="181"/>
      <c r="AB74" s="181"/>
      <c r="AC74" s="2"/>
      <c r="AG74" s="2"/>
      <c r="AI74" s="2"/>
      <c r="AJ74" s="2"/>
      <c r="AK74" s="182"/>
      <c r="AL74" s="169"/>
      <c r="AM74" s="235"/>
      <c r="AN74" s="169"/>
      <c r="AO74" s="169"/>
      <c r="AP74" s="169"/>
      <c r="AQ74" s="171"/>
      <c r="AR74" s="169"/>
      <c r="AS74" s="169"/>
      <c r="AT74" s="169"/>
      <c r="AU74" s="171"/>
      <c r="AV74" s="171"/>
      <c r="BB74" s="3"/>
      <c r="BC74" s="3"/>
      <c r="BD74" s="3"/>
    </row>
    <row r="76" spans="1:59" x14ac:dyDescent="0.2">
      <c r="A76" s="3"/>
      <c r="B76" s="3"/>
      <c r="C76" s="169"/>
      <c r="D76" s="169"/>
      <c r="E76" s="169"/>
      <c r="F76" s="507"/>
      <c r="G76" s="507"/>
      <c r="H76" s="507"/>
      <c r="I76" s="507"/>
      <c r="J76" s="507"/>
      <c r="K76" s="507"/>
      <c r="L76" s="507"/>
      <c r="M76" s="507"/>
      <c r="N76" s="28"/>
      <c r="O76" s="28"/>
      <c r="P76" s="28"/>
      <c r="Q76" s="28"/>
      <c r="R76" s="507"/>
      <c r="S76" s="507"/>
      <c r="T76" s="507"/>
      <c r="U76" s="481"/>
      <c r="V76" s="481"/>
      <c r="W76" s="481"/>
      <c r="X76" s="481"/>
      <c r="Y76" s="481"/>
      <c r="Z76" s="481"/>
      <c r="AA76" s="481"/>
      <c r="AB76" s="481"/>
      <c r="AC76" s="481"/>
      <c r="AD76" s="481"/>
      <c r="AE76" s="481"/>
      <c r="AF76" s="481"/>
      <c r="AG76" s="481"/>
      <c r="AH76" s="481"/>
      <c r="AI76" s="481"/>
      <c r="AJ76" s="481"/>
      <c r="AK76" s="481"/>
      <c r="AL76" s="481"/>
      <c r="AM76" s="481"/>
      <c r="AN76" s="481"/>
      <c r="AO76" s="392"/>
      <c r="AP76" s="371"/>
      <c r="AQ76" s="481"/>
      <c r="AR76" s="536"/>
      <c r="AS76" s="536"/>
      <c r="AT76" s="366"/>
      <c r="AU76" s="481"/>
      <c r="AV76" s="481"/>
      <c r="AW76" s="481"/>
      <c r="AX76" s="481"/>
      <c r="AY76" s="507"/>
      <c r="AZ76" s="29"/>
      <c r="BA76" s="29"/>
      <c r="BB76" s="3"/>
      <c r="BC76" s="3"/>
      <c r="BD76" s="3"/>
    </row>
    <row r="77" spans="1:59" x14ac:dyDescent="0.2">
      <c r="C77" s="44"/>
      <c r="D77" s="44"/>
      <c r="E77" s="91"/>
      <c r="F77" s="483"/>
      <c r="G77" s="483"/>
      <c r="H77" s="483"/>
      <c r="I77" s="6"/>
      <c r="J77" s="483"/>
      <c r="K77" s="483"/>
      <c r="L77" s="483"/>
      <c r="M77" s="6"/>
      <c r="N77" s="91"/>
      <c r="O77" s="91"/>
      <c r="P77" s="91"/>
      <c r="Q77" s="6"/>
      <c r="R77" s="483"/>
      <c r="S77" s="483"/>
      <c r="T77" s="483"/>
      <c r="U77" s="6"/>
      <c r="V77" s="483"/>
      <c r="W77" s="483"/>
      <c r="X77" s="483"/>
      <c r="Y77" s="6"/>
      <c r="Z77" s="483"/>
      <c r="AA77" s="483"/>
      <c r="AB77" s="483"/>
      <c r="AC77" s="6"/>
      <c r="AD77" s="481"/>
      <c r="AE77" s="481"/>
      <c r="AF77" s="481"/>
      <c r="AG77" s="481"/>
      <c r="AH77" s="481"/>
      <c r="AI77" s="481"/>
      <c r="AJ77" s="481"/>
      <c r="AK77" s="507"/>
      <c r="AL77" s="483"/>
      <c r="AM77" s="483"/>
      <c r="AN77" s="483"/>
      <c r="AO77" s="370"/>
      <c r="AP77" s="370"/>
      <c r="AQ77" s="483"/>
      <c r="AR77" s="370"/>
      <c r="AS77" s="370"/>
      <c r="AT77" s="370"/>
      <c r="AU77" s="483"/>
      <c r="AV77" s="483"/>
      <c r="AW77" s="507"/>
      <c r="AX77" s="507"/>
      <c r="AY77" s="481"/>
      <c r="AZ77" s="481"/>
      <c r="BA77" s="481"/>
      <c r="BB77" s="3"/>
      <c r="BC77" s="3"/>
      <c r="BD77" s="3"/>
    </row>
    <row r="78" spans="1:59" x14ac:dyDescent="0.2">
      <c r="C78" s="44"/>
      <c r="D78" s="44"/>
      <c r="E78" s="91"/>
      <c r="F78" s="483"/>
      <c r="G78" s="483"/>
      <c r="H78" s="483"/>
      <c r="I78" s="480"/>
      <c r="J78" s="483"/>
      <c r="K78" s="483"/>
      <c r="L78" s="483"/>
      <c r="M78" s="480"/>
      <c r="N78" s="91"/>
      <c r="O78" s="91"/>
      <c r="P78" s="91"/>
      <c r="Q78"/>
      <c r="R78" s="483"/>
      <c r="S78" s="483"/>
      <c r="T78" s="483"/>
      <c r="U78" s="481"/>
      <c r="V78" s="483"/>
      <c r="W78" s="483"/>
      <c r="X78" s="483"/>
      <c r="Y78" s="481"/>
      <c r="Z78" s="483"/>
      <c r="AA78" s="483"/>
      <c r="AB78" s="483"/>
      <c r="AC78" s="481"/>
      <c r="AD78" s="481"/>
      <c r="AE78" s="481"/>
      <c r="AF78" s="481"/>
      <c r="AG78" s="481"/>
      <c r="AH78" s="481"/>
      <c r="AI78" s="481"/>
      <c r="AJ78" s="481"/>
      <c r="AK78" s="507"/>
      <c r="AL78" s="483"/>
      <c r="AM78" s="483"/>
      <c r="AN78" s="483"/>
      <c r="AO78" s="370"/>
      <c r="AP78" s="368"/>
      <c r="AQ78" s="483"/>
      <c r="AR78" s="370"/>
      <c r="AS78" s="370"/>
      <c r="AT78" s="370"/>
      <c r="AU78" s="483"/>
      <c r="AV78" s="483"/>
      <c r="AW78" s="507"/>
      <c r="AX78" s="507"/>
      <c r="AY78" s="481"/>
      <c r="AZ78" s="481"/>
      <c r="BA78" s="481"/>
    </row>
    <row r="79" spans="1:59" x14ac:dyDescent="0.2">
      <c r="C79" s="44"/>
      <c r="D79" s="44"/>
      <c r="E79" s="91"/>
      <c r="F79" s="483"/>
      <c r="G79" s="483"/>
      <c r="H79" s="483"/>
      <c r="I79" s="480"/>
      <c r="J79" s="483"/>
      <c r="K79" s="483"/>
      <c r="L79" s="483"/>
      <c r="M79" s="480"/>
      <c r="N79" s="91"/>
      <c r="O79" s="91"/>
      <c r="P79" s="91"/>
      <c r="Q79"/>
      <c r="R79" s="483"/>
      <c r="S79" s="483"/>
      <c r="T79" s="483"/>
      <c r="U79" s="481"/>
      <c r="V79" s="483"/>
      <c r="W79" s="483"/>
      <c r="X79" s="483"/>
      <c r="Y79" s="481"/>
      <c r="Z79" s="483"/>
      <c r="AA79" s="483"/>
      <c r="AB79" s="483"/>
      <c r="AC79" s="481"/>
      <c r="AD79" s="481"/>
      <c r="AE79" s="481"/>
      <c r="AF79" s="481"/>
      <c r="AG79" s="481"/>
      <c r="AH79" s="481"/>
      <c r="AI79" s="481"/>
      <c r="AJ79" s="481"/>
      <c r="AK79" s="507"/>
      <c r="AL79" s="483"/>
      <c r="AM79" s="483"/>
      <c r="AN79" s="483"/>
      <c r="AO79" s="370"/>
      <c r="AP79" s="370"/>
      <c r="AQ79" s="483"/>
      <c r="AR79" s="370"/>
      <c r="AS79" s="370"/>
      <c r="AT79" s="370"/>
      <c r="AU79" s="483"/>
      <c r="AV79" s="483"/>
      <c r="AW79" s="6"/>
      <c r="AX79" s="6"/>
      <c r="AY79" s="481"/>
      <c r="AZ79" s="481"/>
      <c r="BA79" s="481"/>
    </row>
    <row r="80" spans="1:59" x14ac:dyDescent="0.2">
      <c r="I80" s="480"/>
      <c r="M80" s="480"/>
      <c r="Q80"/>
      <c r="R80" s="481"/>
      <c r="S80" s="481"/>
      <c r="T80" s="481"/>
      <c r="U80" s="507"/>
      <c r="V80" s="507"/>
      <c r="W80" s="507"/>
      <c r="X80" s="507"/>
      <c r="Y80" s="507"/>
      <c r="Z80" s="507"/>
      <c r="AA80" s="507"/>
      <c r="AB80" s="507"/>
      <c r="AC80" s="507"/>
      <c r="AD80" s="507"/>
      <c r="AE80" s="507"/>
      <c r="AF80" s="507"/>
      <c r="AG80" s="507"/>
      <c r="AH80" s="507"/>
      <c r="AI80" s="507"/>
      <c r="AJ80" s="507"/>
      <c r="AK80" s="507"/>
      <c r="AL80" s="507"/>
      <c r="AM80" s="507"/>
      <c r="AN80" s="507"/>
      <c r="AO80" s="381"/>
      <c r="AP80" s="381"/>
      <c r="AQ80" s="507"/>
      <c r="AR80" s="381"/>
      <c r="AS80" s="381"/>
      <c r="AT80" s="381"/>
      <c r="AU80" s="507"/>
      <c r="AV80" s="507"/>
      <c r="AW80" s="507"/>
      <c r="AX80" s="507"/>
      <c r="AY80" s="481"/>
      <c r="AZ80" s="481"/>
      <c r="BA80" s="481"/>
    </row>
    <row r="81" spans="9:53" x14ac:dyDescent="0.2">
      <c r="I81" s="480"/>
      <c r="M81" s="480"/>
      <c r="Q81"/>
      <c r="R81" s="481"/>
      <c r="S81" s="481"/>
      <c r="T81" s="481"/>
      <c r="U81" s="481"/>
      <c r="V81" s="481"/>
      <c r="W81" s="481"/>
      <c r="X81" s="481"/>
      <c r="Y81" s="481"/>
      <c r="Z81" s="481"/>
      <c r="AA81" s="481"/>
      <c r="AB81" s="481"/>
      <c r="AC81" s="481"/>
      <c r="AD81" s="481"/>
      <c r="AE81" s="481"/>
      <c r="AF81" s="481"/>
      <c r="AG81" s="481"/>
      <c r="AH81" s="481"/>
      <c r="AI81" s="481"/>
      <c r="AJ81" s="481"/>
      <c r="AK81" s="30"/>
      <c r="AL81" s="481"/>
      <c r="AM81" s="481"/>
      <c r="AN81" s="481"/>
      <c r="AO81" s="366"/>
      <c r="AP81" s="366"/>
      <c r="AQ81" s="481"/>
      <c r="AR81" s="366"/>
      <c r="AS81" s="366"/>
      <c r="AT81" s="366"/>
      <c r="AU81" s="481"/>
      <c r="AV81" s="481"/>
      <c r="AW81" s="2"/>
      <c r="AX81" s="2"/>
      <c r="AY81" s="481"/>
      <c r="AZ81" s="481"/>
      <c r="BA81" s="481"/>
    </row>
    <row r="82" spans="9:53" x14ac:dyDescent="0.2">
      <c r="I82" s="480"/>
      <c r="M82" s="480"/>
      <c r="Q82"/>
      <c r="R82" s="481"/>
      <c r="S82" s="481"/>
      <c r="T82" s="481"/>
      <c r="U82" s="481"/>
      <c r="V82" s="481"/>
      <c r="W82" s="481"/>
      <c r="X82" s="481"/>
      <c r="Y82" s="481"/>
      <c r="Z82" s="481"/>
      <c r="AA82" s="481"/>
      <c r="AB82" s="481"/>
      <c r="AC82" s="481"/>
      <c r="AD82" s="481"/>
      <c r="AE82" s="481"/>
      <c r="AF82" s="481"/>
      <c r="AG82" s="481"/>
      <c r="AH82" s="481"/>
      <c r="AI82" s="481"/>
      <c r="AJ82" s="481"/>
      <c r="AK82" s="95"/>
      <c r="AL82" s="481"/>
      <c r="AM82" s="481"/>
      <c r="AN82" s="481"/>
      <c r="AO82" s="366"/>
      <c r="AP82" s="366"/>
      <c r="AQ82" s="481"/>
      <c r="AR82" s="366"/>
      <c r="AS82" s="366"/>
      <c r="AT82" s="366"/>
      <c r="AU82" s="481"/>
      <c r="AV82" s="481"/>
      <c r="AW82" s="2"/>
      <c r="AX82" s="2"/>
      <c r="AY82" s="481"/>
      <c r="AZ82" s="481"/>
      <c r="BA82" s="481"/>
    </row>
    <row r="83" spans="9:53" x14ac:dyDescent="0.2">
      <c r="I83" s="480"/>
      <c r="M83" s="480"/>
      <c r="Q83"/>
      <c r="R83" s="481"/>
      <c r="S83" s="481"/>
      <c r="T83" s="481"/>
      <c r="U83" s="481"/>
      <c r="V83" s="481"/>
      <c r="W83" s="481"/>
      <c r="X83" s="481"/>
      <c r="Y83" s="481"/>
      <c r="Z83" s="481"/>
      <c r="AA83" s="481"/>
      <c r="AB83" s="481"/>
      <c r="AC83" s="481"/>
      <c r="AD83" s="481"/>
      <c r="AE83" s="481"/>
      <c r="AF83" s="481"/>
      <c r="AG83" s="481"/>
      <c r="AH83" s="481"/>
      <c r="AI83" s="481"/>
      <c r="AJ83" s="481"/>
      <c r="AK83" s="2"/>
      <c r="AL83" s="481"/>
      <c r="AM83" s="481"/>
      <c r="AN83" s="481"/>
      <c r="AO83" s="366"/>
      <c r="AP83" s="366"/>
      <c r="AQ83" s="481"/>
      <c r="AR83" s="366"/>
      <c r="AS83" s="366"/>
      <c r="AT83" s="366"/>
      <c r="AU83" s="481"/>
      <c r="AV83" s="481"/>
      <c r="AW83" s="41"/>
      <c r="AX83" s="41"/>
      <c r="AY83" s="481"/>
      <c r="AZ83" s="481"/>
      <c r="BA83" s="481"/>
    </row>
    <row r="84" spans="9:53" x14ac:dyDescent="0.2">
      <c r="I84" s="480"/>
      <c r="M84" s="480"/>
      <c r="Q84"/>
      <c r="R84" s="481"/>
      <c r="S84" s="481"/>
      <c r="T84" s="481"/>
      <c r="U84" s="481"/>
      <c r="V84" s="481"/>
      <c r="W84" s="481"/>
      <c r="X84" s="481"/>
      <c r="Y84" s="481"/>
      <c r="Z84" s="481"/>
      <c r="AA84" s="481"/>
      <c r="AB84" s="481"/>
      <c r="AC84" s="481"/>
      <c r="AD84" s="481"/>
      <c r="AE84" s="481"/>
      <c r="AF84" s="481"/>
      <c r="AG84" s="481"/>
      <c r="AH84" s="481"/>
      <c r="AI84" s="481"/>
      <c r="AJ84" s="481"/>
      <c r="AK84" s="1"/>
      <c r="AL84" s="481"/>
      <c r="AM84" s="481"/>
      <c r="AN84" s="481"/>
      <c r="AO84" s="366"/>
      <c r="AP84" s="366"/>
      <c r="AQ84" s="481"/>
      <c r="AR84" s="366"/>
      <c r="AS84" s="366"/>
      <c r="AT84" s="366"/>
      <c r="AU84" s="481"/>
      <c r="AV84" s="481"/>
      <c r="AW84" s="41"/>
      <c r="AX84" s="41"/>
      <c r="AY84" s="481"/>
      <c r="AZ84" s="481"/>
      <c r="BA84" s="481"/>
    </row>
    <row r="85" spans="9:53" x14ac:dyDescent="0.2">
      <c r="I85" s="480"/>
      <c r="M85" s="480"/>
      <c r="Q85"/>
      <c r="R85" s="481"/>
      <c r="S85" s="481"/>
      <c r="T85" s="481"/>
      <c r="U85" s="481"/>
      <c r="V85" s="481"/>
      <c r="W85" s="481"/>
      <c r="X85" s="481"/>
      <c r="Y85" s="481"/>
      <c r="Z85" s="481"/>
      <c r="AA85" s="481"/>
      <c r="AB85" s="481"/>
      <c r="AC85" s="481"/>
      <c r="AD85" s="481"/>
      <c r="AE85" s="481"/>
      <c r="AF85" s="481"/>
      <c r="AG85" s="481"/>
      <c r="AH85" s="481"/>
      <c r="AI85" s="481"/>
      <c r="AJ85" s="481"/>
      <c r="AK85" s="29"/>
      <c r="AL85" s="481"/>
      <c r="AM85" s="481"/>
      <c r="AN85" s="481"/>
      <c r="AO85" s="366"/>
      <c r="AP85" s="366"/>
      <c r="AQ85" s="481"/>
      <c r="AR85" s="366"/>
      <c r="AS85" s="366"/>
      <c r="AT85" s="366"/>
      <c r="AU85" s="481"/>
      <c r="AV85" s="481"/>
      <c r="AW85" s="42"/>
      <c r="AX85" s="42"/>
      <c r="AY85" s="481"/>
      <c r="AZ85" s="481"/>
      <c r="BA85" s="481"/>
    </row>
    <row r="86" spans="9:53" x14ac:dyDescent="0.2">
      <c r="I86" s="480"/>
      <c r="M86" s="480"/>
      <c r="Q86"/>
      <c r="U86"/>
      <c r="Y86"/>
      <c r="AK86" s="40"/>
      <c r="AL86" s="3"/>
      <c r="AM86" s="3"/>
      <c r="AN86" s="3"/>
      <c r="AR86" s="366"/>
      <c r="AS86" s="366"/>
      <c r="AT86" s="366"/>
      <c r="AW86" s="43"/>
      <c r="AX86" s="43"/>
    </row>
    <row r="87" spans="9:53" x14ac:dyDescent="0.2">
      <c r="I87" s="480"/>
      <c r="M87" s="480"/>
      <c r="Q87"/>
      <c r="U87"/>
      <c r="Y87"/>
      <c r="AK87" s="40"/>
      <c r="AL87" s="3"/>
      <c r="AM87" s="3"/>
      <c r="AN87" s="3"/>
      <c r="AR87" s="366"/>
      <c r="AS87" s="366"/>
      <c r="AT87" s="366"/>
      <c r="AW87" s="32"/>
      <c r="AX87" s="32"/>
    </row>
    <row r="88" spans="9:53" x14ac:dyDescent="0.2">
      <c r="I88" s="480"/>
      <c r="M88" s="480"/>
      <c r="Q88"/>
      <c r="U88"/>
      <c r="Y88"/>
      <c r="AK88" s="35"/>
      <c r="AL88" s="3"/>
      <c r="AM88" s="3"/>
      <c r="AN88" s="3"/>
      <c r="AR88" s="366"/>
      <c r="AS88" s="366"/>
      <c r="AT88" s="366"/>
      <c r="AW88" s="32"/>
      <c r="AX88" s="32"/>
    </row>
    <row r="89" spans="9:53" x14ac:dyDescent="0.2">
      <c r="I89" s="480"/>
      <c r="M89" s="480"/>
      <c r="Q89"/>
      <c r="U89"/>
      <c r="Y89"/>
      <c r="AK89" s="32"/>
      <c r="AL89" s="3"/>
      <c r="AM89" s="3"/>
      <c r="AN89" s="3"/>
      <c r="AR89" s="366"/>
      <c r="AS89" s="366"/>
      <c r="AT89" s="366"/>
      <c r="AW89" s="33"/>
      <c r="AX89" s="33"/>
    </row>
    <row r="90" spans="9:53" x14ac:dyDescent="0.2">
      <c r="I90" s="480"/>
      <c r="M90" s="480"/>
      <c r="Q90"/>
      <c r="U90"/>
      <c r="Y90"/>
      <c r="AK90" s="33"/>
      <c r="AL90" s="3"/>
      <c r="AM90" s="3"/>
      <c r="AN90" s="3"/>
      <c r="AR90" s="366"/>
      <c r="AS90" s="366"/>
      <c r="AT90" s="366"/>
      <c r="AW90" s="33"/>
      <c r="AX90" s="33"/>
    </row>
    <row r="91" spans="9:53" x14ac:dyDescent="0.2">
      <c r="I91" s="480"/>
      <c r="M91" s="480"/>
      <c r="Q91"/>
      <c r="U91"/>
      <c r="Y91"/>
      <c r="AK91" s="33"/>
      <c r="AL91" s="3"/>
      <c r="AM91" s="3"/>
      <c r="AN91" s="3"/>
      <c r="AR91" s="366"/>
      <c r="AS91" s="366"/>
      <c r="AT91" s="366"/>
      <c r="AW91" s="3"/>
      <c r="AX91" s="3"/>
    </row>
    <row r="92" spans="9:53" x14ac:dyDescent="0.2">
      <c r="I92" s="480"/>
      <c r="M92" s="480"/>
      <c r="Q92"/>
      <c r="U92"/>
      <c r="Y92"/>
      <c r="AK92" s="3"/>
      <c r="AL92" s="3"/>
      <c r="AM92" s="3"/>
      <c r="AN92" s="3"/>
      <c r="AR92" s="366"/>
      <c r="AS92" s="366"/>
      <c r="AT92" s="366"/>
      <c r="AW92" s="3"/>
      <c r="AX92" s="3"/>
    </row>
    <row r="93" spans="9:53" x14ac:dyDescent="0.2">
      <c r="I93" s="480"/>
      <c r="M93" s="480"/>
      <c r="Q93"/>
      <c r="U93"/>
      <c r="Y93"/>
      <c r="AK93" s="3"/>
      <c r="AL93" s="3"/>
      <c r="AM93" s="3"/>
      <c r="AN93" s="3"/>
      <c r="AR93" s="366"/>
      <c r="AS93" s="366"/>
      <c r="AT93" s="366"/>
      <c r="AW93" s="3"/>
      <c r="AX93" s="3"/>
    </row>
    <row r="94" spans="9:53" x14ac:dyDescent="0.2">
      <c r="I94" s="480"/>
      <c r="M94" s="480"/>
      <c r="Q94"/>
      <c r="U94"/>
      <c r="Y94"/>
      <c r="AL94" s="3"/>
      <c r="AM94" s="3"/>
      <c r="AN94" s="3"/>
      <c r="AR94" s="366"/>
      <c r="AS94" s="366"/>
      <c r="AT94" s="366"/>
      <c r="AW94" s="3"/>
      <c r="AX94" s="3"/>
    </row>
    <row r="95" spans="9:53" x14ac:dyDescent="0.2">
      <c r="I95" s="480"/>
      <c r="M95" s="480"/>
      <c r="Q95"/>
      <c r="U95"/>
      <c r="Y95"/>
      <c r="AL95" s="3"/>
      <c r="AM95" s="3"/>
      <c r="AN95" s="3"/>
      <c r="AR95" s="366"/>
      <c r="AS95" s="366"/>
      <c r="AT95" s="366"/>
      <c r="AW95" s="3"/>
      <c r="AX95" s="3"/>
    </row>
    <row r="96" spans="9:53" x14ac:dyDescent="0.2">
      <c r="I96" s="480"/>
      <c r="M96" s="480"/>
      <c r="Q96"/>
      <c r="U96"/>
      <c r="Y96"/>
      <c r="AL96" s="3"/>
      <c r="AM96" s="3"/>
      <c r="AN96" s="3"/>
      <c r="AR96" s="366"/>
      <c r="AS96" s="366"/>
      <c r="AT96" s="366"/>
    </row>
  </sheetData>
  <mergeCells count="11">
    <mergeCell ref="A41:B41"/>
    <mergeCell ref="A35:B35"/>
    <mergeCell ref="C10:D10"/>
    <mergeCell ref="C55:D55"/>
    <mergeCell ref="C63:D63"/>
    <mergeCell ref="C56:D56"/>
    <mergeCell ref="AO11:AP11"/>
    <mergeCell ref="AO56:AP56"/>
    <mergeCell ref="AO63:AP63"/>
    <mergeCell ref="C62:D62"/>
    <mergeCell ref="C11:D11"/>
  </mergeCells>
  <phoneticPr fontId="13" type="noConversion"/>
  <conditionalFormatting sqref="AZ76:BA76 AO50 AU45:AX49 AU50:AV50 AC45:AK49 A45:A46 Y45:Y49 C50 A53:A54 Z45:AB50 A61 A69:A73 AL45:AN50 AP45:AT50 D45:E50 J45:X50">
    <cfRule type="cellIs" dxfId="10" priority="6" stopIfTrue="1" operator="equal">
      <formula>0</formula>
    </cfRule>
  </conditionalFormatting>
  <conditionalFormatting sqref="AW44">
    <cfRule type="cellIs" dxfId="9" priority="4" stopIfTrue="1" operator="equal">
      <formula>0</formula>
    </cfRule>
  </conditionalFormatting>
  <conditionalFormatting sqref="F45:I50">
    <cfRule type="cellIs" dxfId="8" priority="1" stopIfTrue="1" operator="equal">
      <formula>0</formula>
    </cfRule>
  </conditionalFormatting>
  <printOptions horizontalCentered="1"/>
  <pageMargins left="0.3" right="0.3" top="0.4" bottom="0.6" header="0" footer="0.3"/>
  <pageSetup scale="60" orientation="landscape" r:id="rId1"/>
  <headerFooter alignWithMargins="0">
    <oddFooter>&amp;L&amp;F&amp;CPage 9</oddFooter>
  </headerFooter>
  <ignoredErrors>
    <ignoredError sqref="AY17 AT21:AT30" formulaRange="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64"/>
  <sheetViews>
    <sheetView topLeftCell="A4" zoomScaleNormal="100" workbookViewId="0">
      <selection activeCell="J10" sqref="J10"/>
    </sheetView>
  </sheetViews>
  <sheetFormatPr defaultColWidth="9.140625" defaultRowHeight="12.75" x14ac:dyDescent="0.2"/>
  <cols>
    <col min="1" max="1" width="2.7109375" style="1108" customWidth="1"/>
    <col min="2" max="2" width="54.5703125" style="1108" customWidth="1"/>
    <col min="3" max="3" width="9.5703125" style="1627" customWidth="1"/>
    <col min="4" max="4" width="9.7109375" style="1627" customWidth="1"/>
    <col min="5" max="5" width="1.5703125" style="1221" customWidth="1"/>
    <col min="6" max="6" width="10" style="1221" customWidth="1"/>
    <col min="7" max="7" width="11.140625" style="1253" customWidth="1"/>
    <col min="8" max="8" width="10.28515625" style="1253" customWidth="1"/>
    <col min="9" max="9" width="11.42578125" style="1253" customWidth="1"/>
    <col min="10" max="10" width="10" style="1253" customWidth="1"/>
    <col min="11" max="11" width="11.140625" style="1253" customWidth="1"/>
    <col min="12" max="12" width="9.7109375" style="1253" customWidth="1"/>
    <col min="13" max="13" width="11.42578125" style="1253" customWidth="1"/>
    <col min="14" max="14" width="10" style="1253" customWidth="1"/>
    <col min="15" max="15" width="1.5703125" style="1627" customWidth="1"/>
    <col min="16" max="17" width="12.7109375" style="1627" customWidth="1"/>
    <col min="18" max="18" width="11.5703125" style="1627" customWidth="1"/>
    <col min="19" max="19" width="12" style="1627" customWidth="1"/>
    <col min="20" max="20" width="10.28515625" style="1627" customWidth="1"/>
    <col min="21" max="21" width="1.5703125" style="1627" customWidth="1"/>
    <col min="22" max="16384" width="9.140625" style="1104"/>
  </cols>
  <sheetData>
    <row r="1" spans="1:21" x14ac:dyDescent="0.2">
      <c r="C1" s="1108"/>
      <c r="D1" s="1108"/>
      <c r="E1" s="1075"/>
      <c r="F1" s="1075"/>
      <c r="G1" s="1109"/>
      <c r="H1" s="1109"/>
      <c r="I1" s="1109"/>
      <c r="J1" s="1109"/>
      <c r="K1" s="1109"/>
      <c r="L1" s="1109"/>
      <c r="M1" s="1109"/>
      <c r="N1" s="1109"/>
      <c r="O1" s="1108"/>
      <c r="P1" s="1108"/>
      <c r="Q1" s="1108"/>
      <c r="R1" s="1108"/>
      <c r="S1" s="1108"/>
      <c r="T1" s="1108"/>
      <c r="U1" s="1108"/>
    </row>
    <row r="2" spans="1:21" x14ac:dyDescent="0.2">
      <c r="C2" s="1108"/>
      <c r="D2" s="1108"/>
      <c r="E2" s="1075"/>
      <c r="F2" s="1075"/>
      <c r="G2" s="1109"/>
      <c r="H2" s="1109"/>
      <c r="I2" s="1109"/>
      <c r="J2" s="1109"/>
      <c r="K2" s="1109"/>
      <c r="L2" s="1109"/>
      <c r="M2" s="1109"/>
      <c r="N2" s="1109"/>
      <c r="O2" s="1108"/>
      <c r="P2" s="1108"/>
      <c r="Q2" s="1108"/>
      <c r="R2" s="1108"/>
      <c r="S2" s="1108"/>
      <c r="T2" s="1108"/>
      <c r="U2" s="1108"/>
    </row>
    <row r="3" spans="1:21" x14ac:dyDescent="0.2">
      <c r="C3" s="1108"/>
      <c r="D3" s="1108"/>
      <c r="E3" s="1075"/>
      <c r="F3" s="1075"/>
      <c r="G3" s="1109"/>
      <c r="H3" s="1109"/>
      <c r="I3" s="1109"/>
      <c r="J3" s="1109"/>
      <c r="K3" s="1109"/>
      <c r="L3" s="1109"/>
      <c r="M3" s="1109"/>
      <c r="N3" s="1109"/>
      <c r="O3" s="1108"/>
      <c r="P3" s="1108"/>
      <c r="Q3" s="1108"/>
      <c r="R3" s="1108"/>
      <c r="S3" s="1108"/>
      <c r="T3" s="1108"/>
      <c r="U3" s="1108"/>
    </row>
    <row r="4" spans="1:21" x14ac:dyDescent="0.2">
      <c r="C4" s="1108"/>
      <c r="D4" s="1108"/>
      <c r="E4" s="1075"/>
      <c r="F4" s="1075"/>
      <c r="G4" s="1609"/>
      <c r="H4" s="1109"/>
      <c r="I4" s="1109"/>
      <c r="J4" s="1109"/>
      <c r="K4" s="1609"/>
      <c r="L4" s="1109"/>
      <c r="M4" s="1109"/>
      <c r="N4" s="1109"/>
      <c r="O4" s="1108"/>
      <c r="P4" s="1108"/>
      <c r="Q4" s="1108"/>
      <c r="R4" s="1108"/>
      <c r="S4" s="1108"/>
      <c r="T4" s="1108"/>
      <c r="U4" s="1108"/>
    </row>
    <row r="5" spans="1:21" x14ac:dyDescent="0.2">
      <c r="A5" s="1109"/>
      <c r="B5" s="1109"/>
      <c r="C5" s="1109"/>
      <c r="D5" s="1109"/>
      <c r="E5" s="1075"/>
      <c r="F5" s="1075"/>
      <c r="G5" s="1691"/>
      <c r="H5" s="1109"/>
      <c r="I5" s="1109"/>
      <c r="J5" s="1109"/>
      <c r="K5" s="1691"/>
      <c r="L5" s="1109"/>
      <c r="M5" s="1109"/>
      <c r="N5" s="1109"/>
      <c r="O5" s="1108"/>
      <c r="P5" s="1108"/>
      <c r="Q5" s="1108"/>
      <c r="R5" s="1108"/>
      <c r="S5" s="1108"/>
      <c r="T5" s="1108"/>
      <c r="U5" s="1108"/>
    </row>
    <row r="6" spans="1:21" ht="18" customHeight="1" x14ac:dyDescent="0.2">
      <c r="A6" s="1612" t="s">
        <v>50</v>
      </c>
      <c r="B6" s="1109"/>
      <c r="C6" s="1109"/>
      <c r="D6" s="1109"/>
      <c r="E6" s="1075"/>
      <c r="F6" s="1075"/>
      <c r="G6" s="1109"/>
      <c r="H6" s="1109"/>
      <c r="I6" s="1109"/>
      <c r="J6" s="1109"/>
      <c r="K6" s="1109"/>
      <c r="L6" s="1109"/>
      <c r="M6" s="1109"/>
      <c r="N6" s="1109"/>
      <c r="O6" s="1108"/>
      <c r="P6" s="1108"/>
      <c r="Q6" s="1108"/>
      <c r="R6" s="1108"/>
      <c r="S6" s="1108"/>
      <c r="T6" s="1108"/>
      <c r="U6" s="1108"/>
    </row>
    <row r="7" spans="1:21" ht="9.75" customHeight="1" x14ac:dyDescent="0.2">
      <c r="A7" s="940"/>
      <c r="B7" s="940"/>
      <c r="C7" s="940"/>
      <c r="D7" s="940"/>
      <c r="E7" s="896"/>
      <c r="F7" s="896"/>
      <c r="G7" s="940"/>
      <c r="H7" s="940"/>
      <c r="I7" s="940"/>
      <c r="J7" s="940"/>
      <c r="K7" s="940"/>
      <c r="L7" s="940"/>
      <c r="M7" s="940"/>
      <c r="N7" s="940"/>
      <c r="O7" s="1108"/>
      <c r="P7" s="1108"/>
      <c r="Q7" s="1108"/>
      <c r="R7" s="1108"/>
      <c r="S7" s="1108"/>
      <c r="T7" s="1108"/>
      <c r="U7" s="1108"/>
    </row>
    <row r="8" spans="1:21" x14ac:dyDescent="0.2">
      <c r="A8" s="944"/>
      <c r="B8" s="945"/>
      <c r="C8" s="2306" t="s">
        <v>667</v>
      </c>
      <c r="D8" s="2307"/>
      <c r="E8" s="900"/>
      <c r="F8" s="1077"/>
      <c r="G8" s="1144"/>
      <c r="H8" s="1144"/>
      <c r="I8" s="1143"/>
      <c r="J8" s="1144"/>
      <c r="K8" s="1144"/>
      <c r="L8" s="1144"/>
      <c r="M8" s="1143"/>
      <c r="N8" s="1145"/>
      <c r="O8" s="983"/>
      <c r="P8" s="984"/>
      <c r="Q8" s="984"/>
      <c r="R8" s="984"/>
      <c r="S8" s="984"/>
      <c r="T8" s="984"/>
      <c r="U8" s="1147"/>
    </row>
    <row r="9" spans="1:21" x14ac:dyDescent="0.2">
      <c r="A9" s="1613" t="s">
        <v>1</v>
      </c>
      <c r="B9" s="945"/>
      <c r="C9" s="2438" t="s">
        <v>35</v>
      </c>
      <c r="D9" s="2305"/>
      <c r="E9" s="905"/>
      <c r="F9" s="906" t="s">
        <v>546</v>
      </c>
      <c r="G9" s="985" t="s">
        <v>547</v>
      </c>
      <c r="H9" s="985" t="s">
        <v>548</v>
      </c>
      <c r="I9" s="986" t="s">
        <v>549</v>
      </c>
      <c r="J9" s="985" t="s">
        <v>497</v>
      </c>
      <c r="K9" s="985" t="s">
        <v>496</v>
      </c>
      <c r="L9" s="985" t="s">
        <v>495</v>
      </c>
      <c r="M9" s="986" t="s">
        <v>494</v>
      </c>
      <c r="N9" s="988" t="s">
        <v>363</v>
      </c>
      <c r="O9" s="990"/>
      <c r="P9" s="1566" t="s">
        <v>550</v>
      </c>
      <c r="Q9" s="1566" t="s">
        <v>498</v>
      </c>
      <c r="R9" s="1566" t="s">
        <v>490</v>
      </c>
      <c r="S9" s="1566" t="s">
        <v>362</v>
      </c>
      <c r="T9" s="1566" t="s">
        <v>342</v>
      </c>
      <c r="U9" s="1147"/>
    </row>
    <row r="10" spans="1:21" ht="12.75" customHeight="1" x14ac:dyDescent="0.2">
      <c r="A10" s="946"/>
      <c r="B10" s="947"/>
      <c r="C10" s="1306"/>
      <c r="D10" s="1238"/>
      <c r="E10" s="1081"/>
      <c r="F10" s="1082"/>
      <c r="G10" s="1133"/>
      <c r="H10" s="1133"/>
      <c r="I10" s="1111"/>
      <c r="J10" s="1133"/>
      <c r="K10" s="1133"/>
      <c r="L10" s="1133"/>
      <c r="M10" s="1111"/>
      <c r="N10" s="1152"/>
      <c r="O10" s="1133"/>
      <c r="P10" s="1307"/>
      <c r="Q10" s="1307"/>
      <c r="R10" s="1307"/>
      <c r="S10" s="1307"/>
      <c r="T10" s="1307"/>
      <c r="U10" s="1147"/>
    </row>
    <row r="11" spans="1:21" ht="12.75" customHeight="1" x14ac:dyDescent="0.2">
      <c r="A11" s="1614" t="s">
        <v>103</v>
      </c>
      <c r="B11" s="1614"/>
      <c r="C11" s="1527"/>
      <c r="D11" s="1017"/>
      <c r="E11" s="917"/>
      <c r="F11" s="907"/>
      <c r="G11" s="951"/>
      <c r="H11" s="951"/>
      <c r="I11" s="1271"/>
      <c r="J11" s="951"/>
      <c r="K11" s="951"/>
      <c r="L11" s="951"/>
      <c r="M11" s="1271"/>
      <c r="N11" s="1779"/>
      <c r="O11" s="1299"/>
      <c r="P11" s="1256"/>
      <c r="Q11" s="1256"/>
      <c r="R11" s="1256"/>
      <c r="S11" s="1256"/>
      <c r="T11" s="1256"/>
      <c r="U11" s="1109"/>
    </row>
    <row r="12" spans="1:21" ht="12.75" customHeight="1" x14ac:dyDescent="0.2">
      <c r="A12" s="1126"/>
      <c r="B12" s="1126" t="s">
        <v>171</v>
      </c>
      <c r="C12" s="1270">
        <v>66</v>
      </c>
      <c r="D12" s="1017">
        <v>0.34920634920634919</v>
      </c>
      <c r="E12" s="917"/>
      <c r="F12" s="1083">
        <v>255</v>
      </c>
      <c r="G12" s="1153">
        <v>248</v>
      </c>
      <c r="H12" s="1153">
        <v>248</v>
      </c>
      <c r="I12" s="1271">
        <v>244</v>
      </c>
      <c r="J12" s="1153">
        <v>189</v>
      </c>
      <c r="K12" s="1153">
        <v>189</v>
      </c>
      <c r="L12" s="1153">
        <v>194</v>
      </c>
      <c r="M12" s="1271">
        <v>190</v>
      </c>
      <c r="N12" s="1636">
        <v>178</v>
      </c>
      <c r="O12" s="1571"/>
      <c r="P12" s="1256">
        <v>255</v>
      </c>
      <c r="Q12" s="1256">
        <v>189</v>
      </c>
      <c r="R12" s="1256">
        <v>178</v>
      </c>
      <c r="S12" s="1256">
        <v>180</v>
      </c>
      <c r="T12" s="1256">
        <v>201</v>
      </c>
      <c r="U12" s="1118"/>
    </row>
    <row r="13" spans="1:21" ht="12.75" customHeight="1" x14ac:dyDescent="0.2">
      <c r="A13" s="1126"/>
      <c r="B13" s="1126" t="s">
        <v>287</v>
      </c>
      <c r="C13" s="1270">
        <v>51</v>
      </c>
      <c r="D13" s="1017">
        <v>0.13456464379947231</v>
      </c>
      <c r="E13" s="917"/>
      <c r="F13" s="1083">
        <v>430</v>
      </c>
      <c r="G13" s="1153">
        <v>425</v>
      </c>
      <c r="H13" s="1153">
        <v>413</v>
      </c>
      <c r="I13" s="1271">
        <v>412</v>
      </c>
      <c r="J13" s="1153">
        <v>379</v>
      </c>
      <c r="K13" s="1153">
        <v>352</v>
      </c>
      <c r="L13" s="1153">
        <v>353</v>
      </c>
      <c r="M13" s="1271">
        <v>351</v>
      </c>
      <c r="N13" s="1636">
        <v>359</v>
      </c>
      <c r="O13" s="1571"/>
      <c r="P13" s="1256">
        <v>430</v>
      </c>
      <c r="Q13" s="1256">
        <v>379</v>
      </c>
      <c r="R13" s="1256">
        <v>359</v>
      </c>
      <c r="S13" s="1256">
        <v>354</v>
      </c>
      <c r="T13" s="1256">
        <v>400</v>
      </c>
      <c r="U13" s="1118"/>
    </row>
    <row r="14" spans="1:21" ht="12.75" customHeight="1" x14ac:dyDescent="0.2">
      <c r="A14" s="1126"/>
      <c r="B14" s="1126" t="s">
        <v>104</v>
      </c>
      <c r="C14" s="1270">
        <v>20</v>
      </c>
      <c r="D14" s="1017">
        <v>6.9444444444444448E-2</v>
      </c>
      <c r="E14" s="917"/>
      <c r="F14" s="1083">
        <v>308</v>
      </c>
      <c r="G14" s="1153">
        <v>303</v>
      </c>
      <c r="H14" s="1153">
        <v>294</v>
      </c>
      <c r="I14" s="1271">
        <v>291</v>
      </c>
      <c r="J14" s="1153">
        <v>288</v>
      </c>
      <c r="K14" s="1153">
        <v>282</v>
      </c>
      <c r="L14" s="1153">
        <v>276</v>
      </c>
      <c r="M14" s="1271">
        <v>274</v>
      </c>
      <c r="N14" s="1636">
        <v>279</v>
      </c>
      <c r="O14" s="1571"/>
      <c r="P14" s="1256">
        <v>308</v>
      </c>
      <c r="Q14" s="1256">
        <v>288</v>
      </c>
      <c r="R14" s="1256">
        <v>279</v>
      </c>
      <c r="S14" s="1256">
        <v>288</v>
      </c>
      <c r="T14" s="1256">
        <v>324</v>
      </c>
      <c r="U14" s="1118"/>
    </row>
    <row r="15" spans="1:21" ht="12.75" customHeight="1" x14ac:dyDescent="0.2">
      <c r="A15" s="1126"/>
      <c r="B15" s="1126" t="s">
        <v>83</v>
      </c>
      <c r="C15" s="1270">
        <v>137</v>
      </c>
      <c r="D15" s="1017">
        <v>0.16004672897196262</v>
      </c>
      <c r="E15" s="917"/>
      <c r="F15" s="1083">
        <v>993</v>
      </c>
      <c r="G15" s="1153">
        <v>976</v>
      </c>
      <c r="H15" s="1153">
        <v>955</v>
      </c>
      <c r="I15" s="1271">
        <v>947</v>
      </c>
      <c r="J15" s="1153">
        <v>856</v>
      </c>
      <c r="K15" s="1153">
        <v>823</v>
      </c>
      <c r="L15" s="1153">
        <v>823</v>
      </c>
      <c r="M15" s="1271">
        <v>815</v>
      </c>
      <c r="N15" s="1636">
        <v>816</v>
      </c>
      <c r="O15" s="1571"/>
      <c r="P15" s="1256">
        <v>993</v>
      </c>
      <c r="Q15" s="1256">
        <v>856</v>
      </c>
      <c r="R15" s="1256">
        <v>816</v>
      </c>
      <c r="S15" s="1256">
        <v>822</v>
      </c>
      <c r="T15" s="1256">
        <v>925</v>
      </c>
      <c r="U15" s="1118"/>
    </row>
    <row r="16" spans="1:21" ht="12.75" customHeight="1" x14ac:dyDescent="0.2">
      <c r="A16" s="1126"/>
      <c r="B16" s="1126"/>
      <c r="C16" s="1270"/>
      <c r="D16" s="1017"/>
      <c r="E16" s="917"/>
      <c r="F16" s="1083"/>
      <c r="G16" s="1153"/>
      <c r="H16" s="1153"/>
      <c r="I16" s="1271"/>
      <c r="J16" s="1153"/>
      <c r="K16" s="1153"/>
      <c r="L16" s="1153"/>
      <c r="M16" s="1271"/>
      <c r="N16" s="1636"/>
      <c r="O16" s="1571"/>
      <c r="P16" s="1256"/>
      <c r="Q16" s="1256"/>
      <c r="R16" s="1256"/>
      <c r="S16" s="1256"/>
      <c r="T16" s="1256"/>
      <c r="U16" s="1118"/>
    </row>
    <row r="17" spans="1:21" ht="24.75" customHeight="1" x14ac:dyDescent="0.2">
      <c r="A17" s="2439" t="s">
        <v>386</v>
      </c>
      <c r="B17" s="2440"/>
      <c r="C17" s="1270"/>
      <c r="D17" s="1017"/>
      <c r="E17" s="917"/>
      <c r="F17" s="1083"/>
      <c r="G17" s="1153"/>
      <c r="H17" s="1153"/>
      <c r="I17" s="1271"/>
      <c r="J17" s="1153"/>
      <c r="K17" s="1153"/>
      <c r="L17" s="1153"/>
      <c r="M17" s="1271"/>
      <c r="N17" s="1636"/>
      <c r="O17" s="1265"/>
      <c r="P17" s="1256"/>
      <c r="Q17" s="1256"/>
      <c r="R17" s="1256"/>
      <c r="S17" s="1256"/>
      <c r="T17" s="1256"/>
      <c r="U17" s="1118"/>
    </row>
    <row r="18" spans="1:21" ht="12.75" customHeight="1" x14ac:dyDescent="0.2">
      <c r="A18" s="1126"/>
      <c r="B18" s="1126" t="s">
        <v>171</v>
      </c>
      <c r="C18" s="1270">
        <v>-17</v>
      </c>
      <c r="D18" s="1017">
        <v>-7.9439252336448593E-2</v>
      </c>
      <c r="E18" s="917"/>
      <c r="F18" s="1083">
        <v>197</v>
      </c>
      <c r="G18" s="1153">
        <v>192</v>
      </c>
      <c r="H18" s="1153">
        <v>192</v>
      </c>
      <c r="I18" s="1271">
        <v>197</v>
      </c>
      <c r="J18" s="1153">
        <v>214</v>
      </c>
      <c r="K18" s="1153">
        <v>214</v>
      </c>
      <c r="L18" s="1153">
        <v>217</v>
      </c>
      <c r="M18" s="1271">
        <v>222</v>
      </c>
      <c r="N18" s="1636">
        <v>225</v>
      </c>
      <c r="O18" s="1265"/>
      <c r="P18" s="1256">
        <v>197</v>
      </c>
      <c r="Q18" s="1256">
        <v>214</v>
      </c>
      <c r="R18" s="1256">
        <v>225</v>
      </c>
      <c r="S18" s="1256">
        <v>282</v>
      </c>
      <c r="T18" s="1256">
        <v>329</v>
      </c>
      <c r="U18" s="1118"/>
    </row>
    <row r="19" spans="1:21" ht="12.75" customHeight="1" x14ac:dyDescent="0.2">
      <c r="A19" s="1126"/>
      <c r="B19" s="1126" t="s">
        <v>287</v>
      </c>
      <c r="C19" s="1270">
        <v>6</v>
      </c>
      <c r="D19" s="1017">
        <v>1.0733452593917709E-2</v>
      </c>
      <c r="E19" s="917"/>
      <c r="F19" s="1083">
        <v>565</v>
      </c>
      <c r="G19" s="1130">
        <v>548</v>
      </c>
      <c r="H19" s="1130">
        <v>559</v>
      </c>
      <c r="I19" s="1283">
        <v>559</v>
      </c>
      <c r="J19" s="1153">
        <v>559</v>
      </c>
      <c r="K19" s="1130">
        <v>574</v>
      </c>
      <c r="L19" s="1130">
        <v>586</v>
      </c>
      <c r="M19" s="1283">
        <v>314</v>
      </c>
      <c r="N19" s="1636">
        <v>313</v>
      </c>
      <c r="O19" s="1265"/>
      <c r="P19" s="1256">
        <v>565</v>
      </c>
      <c r="Q19" s="1256">
        <v>559</v>
      </c>
      <c r="R19" s="1256">
        <v>313</v>
      </c>
      <c r="S19" s="1256">
        <v>312</v>
      </c>
      <c r="T19" s="1256">
        <v>303</v>
      </c>
      <c r="U19" s="1118"/>
    </row>
    <row r="20" spans="1:21" ht="12.75" customHeight="1" x14ac:dyDescent="0.2">
      <c r="A20" s="1126"/>
      <c r="B20" s="1126"/>
      <c r="C20" s="1270"/>
      <c r="D20" s="1017"/>
      <c r="E20" s="917"/>
      <c r="F20" s="1083"/>
      <c r="G20" s="1153"/>
      <c r="H20" s="1153"/>
      <c r="I20" s="1271"/>
      <c r="J20" s="1153"/>
      <c r="K20" s="1153"/>
      <c r="L20" s="1153"/>
      <c r="M20" s="1271"/>
      <c r="N20" s="1636"/>
      <c r="O20" s="1265"/>
      <c r="P20" s="1256"/>
      <c r="Q20" s="1256"/>
      <c r="R20" s="1256"/>
      <c r="S20" s="1256"/>
      <c r="T20" s="1256"/>
      <c r="U20" s="1118"/>
    </row>
    <row r="21" spans="1:21" ht="12.75" customHeight="1" x14ac:dyDescent="0.2">
      <c r="A21" s="1614" t="s">
        <v>105</v>
      </c>
      <c r="B21" s="1614"/>
      <c r="C21" s="1270"/>
      <c r="D21" s="1017"/>
      <c r="E21" s="917"/>
      <c r="F21" s="1083"/>
      <c r="G21" s="1153"/>
      <c r="H21" s="1153"/>
      <c r="I21" s="1271"/>
      <c r="J21" s="1153"/>
      <c r="K21" s="1153"/>
      <c r="L21" s="1153"/>
      <c r="M21" s="1271"/>
      <c r="N21" s="1636"/>
      <c r="O21" s="1265"/>
      <c r="P21" s="1256"/>
      <c r="Q21" s="1256"/>
      <c r="R21" s="1256"/>
      <c r="S21" s="1256"/>
      <c r="T21" s="1256"/>
      <c r="U21" s="1118"/>
    </row>
    <row r="22" spans="1:21" ht="12.75" customHeight="1" x14ac:dyDescent="0.2">
      <c r="A22" s="1126"/>
      <c r="B22" s="1126" t="s">
        <v>171</v>
      </c>
      <c r="C22" s="1270">
        <v>52</v>
      </c>
      <c r="D22" s="1017">
        <v>0.203125</v>
      </c>
      <c r="E22" s="917"/>
      <c r="F22" s="1083">
        <v>308</v>
      </c>
      <c r="G22" s="1153">
        <v>260</v>
      </c>
      <c r="H22" s="1153">
        <v>260</v>
      </c>
      <c r="I22" s="1271">
        <v>263</v>
      </c>
      <c r="J22" s="1153">
        <v>256</v>
      </c>
      <c r="K22" s="1153">
        <v>257</v>
      </c>
      <c r="L22" s="1153">
        <v>258</v>
      </c>
      <c r="M22" s="1271">
        <v>275</v>
      </c>
      <c r="N22" s="1636">
        <v>275</v>
      </c>
      <c r="O22" s="1265"/>
      <c r="P22" s="1256">
        <v>308</v>
      </c>
      <c r="Q22" s="1256">
        <v>256</v>
      </c>
      <c r="R22" s="1256">
        <v>275</v>
      </c>
      <c r="S22" s="1256">
        <v>291</v>
      </c>
      <c r="T22" s="1256">
        <v>269</v>
      </c>
      <c r="U22" s="1118"/>
    </row>
    <row r="23" spans="1:21" ht="12.75" customHeight="1" x14ac:dyDescent="0.2">
      <c r="A23" s="1126"/>
      <c r="B23" s="1126"/>
      <c r="C23" s="1270"/>
      <c r="D23" s="1017"/>
      <c r="E23" s="917"/>
      <c r="F23" s="1083"/>
      <c r="G23" s="1153"/>
      <c r="H23" s="1153"/>
      <c r="I23" s="1271"/>
      <c r="J23" s="1153"/>
      <c r="K23" s="1153"/>
      <c r="L23" s="1153"/>
      <c r="M23" s="1271"/>
      <c r="N23" s="1636"/>
      <c r="O23" s="1265"/>
      <c r="P23" s="1256"/>
      <c r="Q23" s="1256"/>
      <c r="R23" s="1256"/>
      <c r="S23" s="1256"/>
      <c r="T23" s="1256"/>
      <c r="U23" s="1118"/>
    </row>
    <row r="24" spans="1:21" ht="12.75" customHeight="1" x14ac:dyDescent="0.2">
      <c r="A24" s="1614" t="s">
        <v>369</v>
      </c>
      <c r="B24" s="1614"/>
      <c r="C24" s="1270"/>
      <c r="D24" s="1017"/>
      <c r="E24" s="917"/>
      <c r="F24" s="1083"/>
      <c r="G24" s="1153"/>
      <c r="H24" s="1153"/>
      <c r="I24" s="1271"/>
      <c r="J24" s="1153"/>
      <c r="K24" s="1153"/>
      <c r="L24" s="1153"/>
      <c r="M24" s="1271"/>
      <c r="N24" s="1636"/>
      <c r="O24" s="1265"/>
      <c r="P24" s="1256"/>
      <c r="Q24" s="1256"/>
      <c r="R24" s="1256"/>
      <c r="S24" s="1256"/>
      <c r="T24" s="1256"/>
      <c r="U24" s="1118"/>
    </row>
    <row r="25" spans="1:21" ht="12.75" customHeight="1" x14ac:dyDescent="0.2">
      <c r="A25" s="1126"/>
      <c r="B25" s="1126" t="s">
        <v>223</v>
      </c>
      <c r="C25" s="1270">
        <v>1</v>
      </c>
      <c r="D25" s="1017">
        <v>1.7543859649122806E-2</v>
      </c>
      <c r="E25" s="917"/>
      <c r="F25" s="1083">
        <v>58</v>
      </c>
      <c r="G25" s="1130">
        <v>58</v>
      </c>
      <c r="H25" s="1153">
        <v>56</v>
      </c>
      <c r="I25" s="1175">
        <v>57</v>
      </c>
      <c r="J25" s="1153">
        <v>57</v>
      </c>
      <c r="K25" s="1130">
        <v>56</v>
      </c>
      <c r="L25" s="1153">
        <v>55</v>
      </c>
      <c r="M25" s="1175">
        <v>58</v>
      </c>
      <c r="N25" s="1636">
        <v>58</v>
      </c>
      <c r="O25" s="1265"/>
      <c r="P25" s="1256">
        <v>58</v>
      </c>
      <c r="Q25" s="1256">
        <v>57</v>
      </c>
      <c r="R25" s="1256">
        <v>58</v>
      </c>
      <c r="S25" s="1256">
        <v>55</v>
      </c>
      <c r="T25" s="1256">
        <v>56</v>
      </c>
      <c r="U25" s="1118"/>
    </row>
    <row r="26" spans="1:21" ht="12.75" customHeight="1" x14ac:dyDescent="0.2">
      <c r="A26" s="1126"/>
      <c r="B26" s="1126" t="s">
        <v>287</v>
      </c>
      <c r="C26" s="1270">
        <v>-1</v>
      </c>
      <c r="D26" s="1017">
        <v>-9.0909090909090912E-2</v>
      </c>
      <c r="E26" s="917"/>
      <c r="F26" s="1083">
        <v>10</v>
      </c>
      <c r="G26" s="1130">
        <v>10</v>
      </c>
      <c r="H26" s="1153">
        <v>10</v>
      </c>
      <c r="I26" s="1175">
        <v>11</v>
      </c>
      <c r="J26" s="1153">
        <v>11</v>
      </c>
      <c r="K26" s="1130">
        <v>12</v>
      </c>
      <c r="L26" s="1153">
        <v>12</v>
      </c>
      <c r="M26" s="1175">
        <v>11</v>
      </c>
      <c r="N26" s="1636">
        <v>11</v>
      </c>
      <c r="O26" s="1265"/>
      <c r="P26" s="1256">
        <v>10</v>
      </c>
      <c r="Q26" s="1256">
        <v>11</v>
      </c>
      <c r="R26" s="1256">
        <v>11</v>
      </c>
      <c r="S26" s="1256">
        <v>10</v>
      </c>
      <c r="T26" s="1256">
        <v>13</v>
      </c>
      <c r="U26" s="1118"/>
    </row>
    <row r="27" spans="1:21" ht="12.75" customHeight="1" x14ac:dyDescent="0.2">
      <c r="A27" s="1126"/>
      <c r="B27" s="1126"/>
      <c r="C27" s="1270"/>
      <c r="D27" s="1017"/>
      <c r="E27" s="917"/>
      <c r="F27" s="1083"/>
      <c r="G27" s="1038"/>
      <c r="H27" s="1153"/>
      <c r="I27" s="1175"/>
      <c r="J27" s="1153"/>
      <c r="K27" s="1038"/>
      <c r="L27" s="1153"/>
      <c r="M27" s="1175"/>
      <c r="N27" s="1636"/>
      <c r="O27" s="1265"/>
      <c r="P27" s="1256"/>
      <c r="Q27" s="1256"/>
      <c r="R27" s="1256"/>
      <c r="S27" s="1256"/>
      <c r="T27" s="1256"/>
      <c r="U27" s="1118"/>
    </row>
    <row r="28" spans="1:21" ht="12.75" customHeight="1" x14ac:dyDescent="0.2">
      <c r="A28" s="1614" t="s">
        <v>222</v>
      </c>
      <c r="B28" s="1614"/>
      <c r="C28" s="1270"/>
      <c r="D28" s="1017"/>
      <c r="E28" s="917"/>
      <c r="F28" s="1083"/>
      <c r="G28" s="1038"/>
      <c r="H28" s="1153"/>
      <c r="I28" s="1271"/>
      <c r="J28" s="1153"/>
      <c r="K28" s="1038"/>
      <c r="L28" s="1153"/>
      <c r="M28" s="1271"/>
      <c r="N28" s="1636"/>
      <c r="O28" s="1265"/>
      <c r="P28" s="1256"/>
      <c r="Q28" s="1256"/>
      <c r="R28" s="1256"/>
      <c r="S28" s="1256"/>
      <c r="T28" s="1256"/>
      <c r="U28" s="1118"/>
    </row>
    <row r="29" spans="1:21" ht="12.75" customHeight="1" x14ac:dyDescent="0.2">
      <c r="A29" s="1126"/>
      <c r="B29" s="1126" t="s">
        <v>223</v>
      </c>
      <c r="C29" s="1270">
        <v>1</v>
      </c>
      <c r="D29" s="1017">
        <v>0.33333333333333331</v>
      </c>
      <c r="E29" s="917"/>
      <c r="F29" s="1083">
        <v>4</v>
      </c>
      <c r="G29" s="1130">
        <v>4</v>
      </c>
      <c r="H29" s="1153">
        <v>4</v>
      </c>
      <c r="I29" s="1175">
        <v>4</v>
      </c>
      <c r="J29" s="1153">
        <v>3</v>
      </c>
      <c r="K29" s="1130">
        <v>3</v>
      </c>
      <c r="L29" s="1153">
        <v>2</v>
      </c>
      <c r="M29" s="1175">
        <v>2</v>
      </c>
      <c r="N29" s="1636">
        <v>2</v>
      </c>
      <c r="O29" s="1265"/>
      <c r="P29" s="1256">
        <v>4</v>
      </c>
      <c r="Q29" s="1256">
        <v>3</v>
      </c>
      <c r="R29" s="1256">
        <v>2</v>
      </c>
      <c r="S29" s="1256">
        <v>23</v>
      </c>
      <c r="T29" s="1256">
        <v>33</v>
      </c>
      <c r="U29" s="1118"/>
    </row>
    <row r="30" spans="1:21" ht="12.75" customHeight="1" x14ac:dyDescent="0.2">
      <c r="A30" s="1126"/>
      <c r="B30" s="1126"/>
      <c r="C30" s="1270"/>
      <c r="D30" s="1017"/>
      <c r="E30" s="1091"/>
      <c r="F30" s="1083"/>
      <c r="G30" s="1038"/>
      <c r="H30" s="1153"/>
      <c r="I30" s="1271"/>
      <c r="J30" s="1153"/>
      <c r="K30" s="1038"/>
      <c r="L30" s="1153"/>
      <c r="M30" s="1271"/>
      <c r="N30" s="1636"/>
      <c r="O30" s="1265"/>
      <c r="P30" s="1256"/>
      <c r="Q30" s="1256"/>
      <c r="R30" s="1256"/>
      <c r="S30" s="1256"/>
      <c r="T30" s="1256"/>
      <c r="U30" s="1118"/>
    </row>
    <row r="31" spans="1:21" ht="12.75" customHeight="1" x14ac:dyDescent="0.2">
      <c r="A31" s="1614" t="s">
        <v>647</v>
      </c>
      <c r="B31" s="1126"/>
      <c r="C31" s="1270">
        <v>179</v>
      </c>
      <c r="D31" s="1017">
        <v>9.1513292433537827E-2</v>
      </c>
      <c r="E31" s="917"/>
      <c r="F31" s="1086">
        <v>2135</v>
      </c>
      <c r="G31" s="1153">
        <v>2048</v>
      </c>
      <c r="H31" s="1153">
        <v>2036</v>
      </c>
      <c r="I31" s="1175">
        <v>2038</v>
      </c>
      <c r="J31" s="1130">
        <v>1956</v>
      </c>
      <c r="K31" s="1130">
        <v>1939</v>
      </c>
      <c r="L31" s="1153">
        <v>1953</v>
      </c>
      <c r="M31" s="1175">
        <v>1697</v>
      </c>
      <c r="N31" s="1285">
        <v>1700</v>
      </c>
      <c r="O31" s="1265">
        <v>0</v>
      </c>
      <c r="P31" s="1256">
        <v>2135</v>
      </c>
      <c r="Q31" s="1256">
        <v>1956</v>
      </c>
      <c r="R31" s="1256">
        <v>1700</v>
      </c>
      <c r="S31" s="1256">
        <v>1795</v>
      </c>
      <c r="T31" s="1256">
        <v>1928</v>
      </c>
      <c r="U31" s="1118"/>
    </row>
    <row r="32" spans="1:21" ht="12.75" customHeight="1" x14ac:dyDescent="0.2">
      <c r="A32" s="1126"/>
      <c r="B32" s="1126"/>
      <c r="C32" s="1270"/>
      <c r="D32" s="1017"/>
      <c r="E32" s="917"/>
      <c r="F32" s="907"/>
      <c r="G32" s="1038"/>
      <c r="H32" s="1153"/>
      <c r="I32" s="1271"/>
      <c r="J32" s="951"/>
      <c r="K32" s="1038"/>
      <c r="L32" s="1153"/>
      <c r="M32" s="1271"/>
      <c r="N32" s="1779"/>
      <c r="O32" s="1265"/>
      <c r="P32" s="1256">
        <v>0</v>
      </c>
      <c r="Q32" s="1256"/>
      <c r="R32" s="1256"/>
      <c r="S32" s="1256"/>
      <c r="T32" s="1256"/>
      <c r="U32" s="1118"/>
    </row>
    <row r="33" spans="1:21" ht="12.75" customHeight="1" x14ac:dyDescent="0.2">
      <c r="A33" s="1614" t="s">
        <v>648</v>
      </c>
      <c r="B33" s="1126"/>
      <c r="C33" s="1270">
        <v>13</v>
      </c>
      <c r="D33" s="1017">
        <v>9.154929577464789E-2</v>
      </c>
      <c r="E33" s="917"/>
      <c r="F33" s="1083">
        <v>155</v>
      </c>
      <c r="G33" s="1130">
        <v>150</v>
      </c>
      <c r="H33" s="1153">
        <v>150</v>
      </c>
      <c r="I33" s="1271">
        <v>148</v>
      </c>
      <c r="J33" s="1153">
        <v>142</v>
      </c>
      <c r="K33" s="1130">
        <v>134</v>
      </c>
      <c r="L33" s="1153">
        <v>134</v>
      </c>
      <c r="M33" s="1271">
        <v>135</v>
      </c>
      <c r="N33" s="1636">
        <v>141</v>
      </c>
      <c r="O33" s="1265"/>
      <c r="P33" s="1256">
        <v>155</v>
      </c>
      <c r="Q33" s="1256">
        <v>142</v>
      </c>
      <c r="R33" s="1256">
        <v>141</v>
      </c>
      <c r="S33" s="1256">
        <v>139</v>
      </c>
      <c r="T33" s="1256">
        <v>152</v>
      </c>
      <c r="U33" s="1118"/>
    </row>
    <row r="34" spans="1:21" ht="12.75" customHeight="1" x14ac:dyDescent="0.2">
      <c r="A34" s="1614" t="s">
        <v>234</v>
      </c>
      <c r="B34" s="1126"/>
      <c r="C34" s="1270">
        <v>46</v>
      </c>
      <c r="D34" s="1017">
        <v>0.12299465240641712</v>
      </c>
      <c r="E34" s="917"/>
      <c r="F34" s="1083">
        <v>420</v>
      </c>
      <c r="G34" s="1130">
        <v>416</v>
      </c>
      <c r="H34" s="1153">
        <v>410</v>
      </c>
      <c r="I34" s="1271">
        <v>407</v>
      </c>
      <c r="J34" s="1153">
        <v>374</v>
      </c>
      <c r="K34" s="1130">
        <v>353</v>
      </c>
      <c r="L34" s="1153">
        <v>356</v>
      </c>
      <c r="M34" s="1271">
        <v>355</v>
      </c>
      <c r="N34" s="1636">
        <v>367</v>
      </c>
      <c r="O34" s="1265"/>
      <c r="P34" s="1256">
        <v>420</v>
      </c>
      <c r="Q34" s="1256">
        <v>374</v>
      </c>
      <c r="R34" s="1256">
        <v>367</v>
      </c>
      <c r="S34" s="1256">
        <v>392</v>
      </c>
      <c r="T34" s="1256">
        <v>437</v>
      </c>
      <c r="U34" s="1118"/>
    </row>
    <row r="35" spans="1:21" ht="25.5" customHeight="1" x14ac:dyDescent="0.2">
      <c r="A35" s="2439" t="s">
        <v>649</v>
      </c>
      <c r="B35" s="2440"/>
      <c r="C35" s="1270">
        <v>12</v>
      </c>
      <c r="D35" s="1017">
        <v>6.3829787234042548E-2</v>
      </c>
      <c r="E35" s="917"/>
      <c r="F35" s="1083">
        <v>200</v>
      </c>
      <c r="G35" s="1130">
        <v>188</v>
      </c>
      <c r="H35" s="1130">
        <v>193</v>
      </c>
      <c r="I35" s="1283">
        <v>190</v>
      </c>
      <c r="J35" s="1153">
        <v>188</v>
      </c>
      <c r="K35" s="1130">
        <v>197</v>
      </c>
      <c r="L35" s="1130">
        <v>200</v>
      </c>
      <c r="M35" s="1283">
        <v>119</v>
      </c>
      <c r="N35" s="1636">
        <v>118</v>
      </c>
      <c r="O35" s="1265"/>
      <c r="P35" s="1256">
        <v>200</v>
      </c>
      <c r="Q35" s="1256">
        <v>188</v>
      </c>
      <c r="R35" s="1256">
        <v>118</v>
      </c>
      <c r="S35" s="1256">
        <v>118</v>
      </c>
      <c r="T35" s="1256">
        <v>114</v>
      </c>
      <c r="U35" s="1118"/>
    </row>
    <row r="36" spans="1:21" ht="12.75" customHeight="1" x14ac:dyDescent="0.2">
      <c r="A36" s="1614" t="s">
        <v>263</v>
      </c>
      <c r="B36" s="1126"/>
      <c r="C36" s="1270">
        <v>-1</v>
      </c>
      <c r="D36" s="1017">
        <v>-0.14285714285714285</v>
      </c>
      <c r="E36" s="917"/>
      <c r="F36" s="1083">
        <v>6</v>
      </c>
      <c r="G36" s="1130">
        <v>6</v>
      </c>
      <c r="H36" s="1153">
        <v>6</v>
      </c>
      <c r="I36" s="1271">
        <v>7</v>
      </c>
      <c r="J36" s="1153">
        <v>7</v>
      </c>
      <c r="K36" s="1130">
        <v>8</v>
      </c>
      <c r="L36" s="1153">
        <v>8</v>
      </c>
      <c r="M36" s="1271">
        <v>8</v>
      </c>
      <c r="N36" s="1636">
        <v>8</v>
      </c>
      <c r="O36" s="1265"/>
      <c r="P36" s="1256">
        <v>6</v>
      </c>
      <c r="Q36" s="1256">
        <v>7</v>
      </c>
      <c r="R36" s="1256">
        <v>8</v>
      </c>
      <c r="S36" s="1256">
        <v>7</v>
      </c>
      <c r="T36" s="1256">
        <v>9</v>
      </c>
      <c r="U36" s="1118"/>
    </row>
    <row r="37" spans="1:21" ht="12.75" customHeight="1" x14ac:dyDescent="0.2">
      <c r="A37" s="1614"/>
      <c r="B37" s="1126"/>
      <c r="C37" s="1270"/>
      <c r="D37" s="1017"/>
      <c r="E37" s="917"/>
      <c r="F37" s="1083"/>
      <c r="G37" s="1038"/>
      <c r="H37" s="1153"/>
      <c r="I37" s="1271"/>
      <c r="J37" s="1153"/>
      <c r="K37" s="1038"/>
      <c r="L37" s="1153"/>
      <c r="M37" s="1271"/>
      <c r="N37" s="1636"/>
      <c r="O37" s="1265"/>
      <c r="P37" s="1256"/>
      <c r="Q37" s="1256"/>
      <c r="R37" s="1256"/>
      <c r="S37" s="1256"/>
      <c r="T37" s="1256"/>
      <c r="U37" s="1118"/>
    </row>
    <row r="38" spans="1:21" ht="12.75" customHeight="1" x14ac:dyDescent="0.2">
      <c r="A38" s="1614" t="s">
        <v>241</v>
      </c>
      <c r="B38" s="1126"/>
      <c r="C38" s="1270">
        <v>1406</v>
      </c>
      <c r="D38" s="1017">
        <v>0.49946714031971579</v>
      </c>
      <c r="E38" s="917"/>
      <c r="F38" s="1083">
        <v>4221</v>
      </c>
      <c r="G38" s="1130">
        <v>3954</v>
      </c>
      <c r="H38" s="1153">
        <v>4158</v>
      </c>
      <c r="I38" s="1271">
        <v>3721</v>
      </c>
      <c r="J38" s="1153">
        <v>2815</v>
      </c>
      <c r="K38" s="1130">
        <v>2838</v>
      </c>
      <c r="L38" s="1153">
        <v>2688</v>
      </c>
      <c r="M38" s="1271">
        <v>2647</v>
      </c>
      <c r="N38" s="1636">
        <v>2637</v>
      </c>
      <c r="O38" s="1265"/>
      <c r="P38" s="1256">
        <v>4221</v>
      </c>
      <c r="Q38" s="1256">
        <v>2815</v>
      </c>
      <c r="R38" s="1256">
        <v>2637</v>
      </c>
      <c r="S38" s="1256">
        <v>1257</v>
      </c>
      <c r="T38" s="1256">
        <v>1561</v>
      </c>
      <c r="U38" s="1118"/>
    </row>
    <row r="39" spans="1:21" s="1772" customFormat="1" ht="12.75" customHeight="1" x14ac:dyDescent="0.2">
      <c r="A39" s="1615" t="s">
        <v>359</v>
      </c>
      <c r="B39" s="1616"/>
      <c r="C39" s="1270">
        <v>5107</v>
      </c>
      <c r="D39" s="1017">
        <v>0.32806578017601334</v>
      </c>
      <c r="E39" s="928"/>
      <c r="F39" s="1611">
        <v>20674</v>
      </c>
      <c r="G39" s="1186">
        <v>18260</v>
      </c>
      <c r="H39" s="1618">
        <v>19746</v>
      </c>
      <c r="I39" s="1271">
        <v>18921</v>
      </c>
      <c r="J39" s="1618">
        <v>15567</v>
      </c>
      <c r="K39" s="1186">
        <v>14451</v>
      </c>
      <c r="L39" s="1618">
        <v>12801</v>
      </c>
      <c r="M39" s="1271">
        <v>12669</v>
      </c>
      <c r="N39" s="1620">
        <v>13228</v>
      </c>
      <c r="O39" s="1619"/>
      <c r="P39" s="1256">
        <v>20674</v>
      </c>
      <c r="Q39" s="1256">
        <v>15567</v>
      </c>
      <c r="R39" s="1256">
        <v>13228</v>
      </c>
      <c r="S39" s="1256">
        <v>9192</v>
      </c>
      <c r="T39" s="1256">
        <v>10729</v>
      </c>
      <c r="U39" s="1122"/>
    </row>
    <row r="40" spans="1:21" s="1772" customFormat="1" ht="12.75" customHeight="1" x14ac:dyDescent="0.2">
      <c r="A40" s="1615" t="s">
        <v>246</v>
      </c>
      <c r="B40" s="1616"/>
      <c r="C40" s="1270">
        <v>-682</v>
      </c>
      <c r="D40" s="1017">
        <v>-1.5197094279920671E-2</v>
      </c>
      <c r="E40" s="928"/>
      <c r="F40" s="1611">
        <v>44195</v>
      </c>
      <c r="G40" s="1130">
        <v>41153</v>
      </c>
      <c r="H40" s="1130">
        <v>45230</v>
      </c>
      <c r="I40" s="1283">
        <v>46434</v>
      </c>
      <c r="J40" s="1618">
        <v>44877</v>
      </c>
      <c r="K40" s="1130">
        <v>43791</v>
      </c>
      <c r="L40" s="1130">
        <v>40797</v>
      </c>
      <c r="M40" s="1283">
        <v>25755</v>
      </c>
      <c r="N40" s="1620">
        <v>24526</v>
      </c>
      <c r="O40" s="1265"/>
      <c r="P40" s="1256">
        <v>44195</v>
      </c>
      <c r="Q40" s="1256">
        <v>44877</v>
      </c>
      <c r="R40" s="1256">
        <v>24526</v>
      </c>
      <c r="S40" s="1256">
        <v>22791</v>
      </c>
      <c r="T40" s="1256">
        <v>21763</v>
      </c>
      <c r="U40" s="1122"/>
    </row>
    <row r="41" spans="1:21" s="1772" customFormat="1" ht="12.75" customHeight="1" x14ac:dyDescent="0.2">
      <c r="A41" s="1615" t="s">
        <v>351</v>
      </c>
      <c r="B41" s="1616"/>
      <c r="C41" s="1270">
        <v>24</v>
      </c>
      <c r="D41" s="1017">
        <v>2.891566265060241E-2</v>
      </c>
      <c r="E41" s="928"/>
      <c r="F41" s="1611">
        <v>854</v>
      </c>
      <c r="G41" s="1130">
        <v>771</v>
      </c>
      <c r="H41" s="1130">
        <v>834</v>
      </c>
      <c r="I41" s="1283">
        <v>845</v>
      </c>
      <c r="J41" s="1618">
        <v>830</v>
      </c>
      <c r="K41" s="1130">
        <v>928</v>
      </c>
      <c r="L41" s="1130">
        <v>866</v>
      </c>
      <c r="M41" s="1283">
        <v>860</v>
      </c>
      <c r="N41" s="1620">
        <v>862</v>
      </c>
      <c r="O41" s="1265"/>
      <c r="P41" s="1256">
        <v>854</v>
      </c>
      <c r="Q41" s="1256">
        <v>830</v>
      </c>
      <c r="R41" s="1256">
        <v>862</v>
      </c>
      <c r="S41" s="1256">
        <v>731</v>
      </c>
      <c r="T41" s="1256">
        <v>836</v>
      </c>
      <c r="U41" s="1122"/>
    </row>
    <row r="42" spans="1:21" s="1772" customFormat="1" ht="12.75" customHeight="1" x14ac:dyDescent="0.2">
      <c r="A42" s="1615" t="s">
        <v>485</v>
      </c>
      <c r="B42" s="1616"/>
      <c r="C42" s="1270">
        <v>4449</v>
      </c>
      <c r="D42" s="1017">
        <v>7.2608284100923723E-2</v>
      </c>
      <c r="E42" s="928"/>
      <c r="F42" s="1086">
        <v>65723</v>
      </c>
      <c r="G42" s="1272">
        <v>60184</v>
      </c>
      <c r="H42" s="1272">
        <v>65810</v>
      </c>
      <c r="I42" s="1283">
        <v>66200</v>
      </c>
      <c r="J42" s="1130">
        <v>61274</v>
      </c>
      <c r="K42" s="1130">
        <v>59170</v>
      </c>
      <c r="L42" s="1272">
        <v>54464</v>
      </c>
      <c r="M42" s="1283">
        <v>39284</v>
      </c>
      <c r="N42" s="1285">
        <v>38616</v>
      </c>
      <c r="O42" s="1618"/>
      <c r="P42" s="1256">
        <v>65723</v>
      </c>
      <c r="Q42" s="1256">
        <v>61274</v>
      </c>
      <c r="R42" s="1256">
        <v>38616</v>
      </c>
      <c r="S42" s="1256">
        <v>32714</v>
      </c>
      <c r="T42" s="1256">
        <v>33328</v>
      </c>
      <c r="U42" s="1122"/>
    </row>
    <row r="43" spans="1:21" s="1772" customFormat="1" x14ac:dyDescent="0.2">
      <c r="A43" s="1614"/>
      <c r="B43" s="1126"/>
      <c r="C43" s="1270"/>
      <c r="D43" s="1017"/>
      <c r="E43" s="928"/>
      <c r="F43" s="1611"/>
      <c r="G43" s="1042"/>
      <c r="H43" s="1618"/>
      <c r="I43" s="1621"/>
      <c r="J43" s="1618"/>
      <c r="K43" s="1042"/>
      <c r="L43" s="1618"/>
      <c r="M43" s="1621"/>
      <c r="N43" s="1620"/>
      <c r="O43" s="1618"/>
      <c r="P43" s="1256"/>
      <c r="Q43" s="1256"/>
      <c r="R43" s="1256"/>
      <c r="S43" s="1256"/>
      <c r="T43" s="1256"/>
      <c r="U43" s="1122"/>
    </row>
    <row r="44" spans="1:21" ht="13.5" x14ac:dyDescent="0.2">
      <c r="A44" s="1614" t="s">
        <v>650</v>
      </c>
      <c r="B44" s="1126"/>
      <c r="C44" s="1270"/>
      <c r="D44" s="1017"/>
      <c r="E44" s="1081"/>
      <c r="F44" s="1092"/>
      <c r="G44" s="1179"/>
      <c r="H44" s="1179"/>
      <c r="I44" s="1189"/>
      <c r="J44" s="1179"/>
      <c r="K44" s="1179"/>
      <c r="L44" s="1179"/>
      <c r="M44" s="1189"/>
      <c r="N44" s="1181"/>
      <c r="O44" s="1610"/>
      <c r="P44" s="1256"/>
      <c r="Q44" s="1256"/>
      <c r="R44" s="1256"/>
      <c r="S44" s="1256"/>
      <c r="T44" s="1256"/>
      <c r="U44" s="1118"/>
    </row>
    <row r="45" spans="1:21" x14ac:dyDescent="0.2">
      <c r="A45" s="1126"/>
      <c r="B45" s="1126" t="s">
        <v>367</v>
      </c>
      <c r="C45" s="1270">
        <v>-2.7400000000000091E-2</v>
      </c>
      <c r="D45" s="1017">
        <v>-1.5574376172341323E-2</v>
      </c>
      <c r="E45" s="1081"/>
      <c r="F45" s="1777">
        <v>1.7319</v>
      </c>
      <c r="G45" s="1696">
        <v>1.6952</v>
      </c>
      <c r="H45" s="1696">
        <v>1.7038</v>
      </c>
      <c r="I45" s="1697">
        <v>1.7548999999999999</v>
      </c>
      <c r="J45" s="2217">
        <v>1.7593000000000001</v>
      </c>
      <c r="K45" s="1696">
        <v>1.6882999999999999</v>
      </c>
      <c r="L45" s="1696">
        <v>1.6397999999999999</v>
      </c>
      <c r="M45" s="1697">
        <v>1.72</v>
      </c>
      <c r="N45" s="2263">
        <v>1.6379999999999999</v>
      </c>
      <c r="O45" s="1698"/>
      <c r="P45" s="1256">
        <v>1.7319</v>
      </c>
      <c r="Q45" s="1699">
        <v>1.7593000000000001</v>
      </c>
      <c r="R45" s="1699">
        <v>1.7091091666666667</v>
      </c>
      <c r="S45" s="1699">
        <v>1.968175</v>
      </c>
      <c r="T45" s="1699">
        <v>1.8396201151107763</v>
      </c>
      <c r="U45" s="1118"/>
    </row>
    <row r="46" spans="1:21" x14ac:dyDescent="0.2">
      <c r="A46" s="1126"/>
      <c r="B46" s="1126" t="s">
        <v>368</v>
      </c>
      <c r="C46" s="1270">
        <v>6.4799999999999969E-2</v>
      </c>
      <c r="D46" s="1017">
        <v>5.1261767265247976E-2</v>
      </c>
      <c r="E46" s="1081"/>
      <c r="F46" s="1777">
        <v>1.3289</v>
      </c>
      <c r="G46" s="1696">
        <v>1.3268</v>
      </c>
      <c r="H46" s="1696">
        <v>1.3069999999999999</v>
      </c>
      <c r="I46" s="1697">
        <v>1.2898000000000001</v>
      </c>
      <c r="J46" s="2217">
        <v>1.2641</v>
      </c>
      <c r="K46" s="1696">
        <v>1.2715000000000001</v>
      </c>
      <c r="L46" s="1696">
        <v>1.2525999999999999</v>
      </c>
      <c r="M46" s="1697">
        <v>1.3448</v>
      </c>
      <c r="N46" s="2263">
        <v>1.323</v>
      </c>
      <c r="O46" s="1698"/>
      <c r="P46" s="1256">
        <v>1.3289</v>
      </c>
      <c r="Q46" s="1699">
        <v>1.2641</v>
      </c>
      <c r="R46" s="1699">
        <v>1.3120583333333333</v>
      </c>
      <c r="S46" s="1699">
        <v>1.3114166666666667</v>
      </c>
      <c r="T46" s="1699">
        <v>1.146919755105007</v>
      </c>
      <c r="U46" s="1118"/>
    </row>
    <row r="47" spans="1:21" x14ac:dyDescent="0.2">
      <c r="A47" s="939"/>
      <c r="B47" s="1126"/>
      <c r="C47" s="1702"/>
      <c r="D47" s="1703"/>
      <c r="E47" s="1081"/>
      <c r="F47" s="1101"/>
      <c r="G47" s="1305"/>
      <c r="H47" s="1201"/>
      <c r="I47" s="1209"/>
      <c r="J47" s="1201"/>
      <c r="K47" s="1305"/>
      <c r="L47" s="1201"/>
      <c r="M47" s="1209"/>
      <c r="N47" s="2264"/>
      <c r="O47" s="1610"/>
      <c r="P47" s="988"/>
      <c r="Q47" s="988"/>
      <c r="R47" s="988"/>
      <c r="S47" s="988"/>
      <c r="T47" s="988"/>
      <c r="U47" s="1118"/>
    </row>
    <row r="48" spans="1:21" ht="14.25" x14ac:dyDescent="0.2">
      <c r="A48" s="1126" t="s">
        <v>224</v>
      </c>
      <c r="B48" s="1587"/>
      <c r="C48" s="1109"/>
      <c r="D48" s="1109"/>
      <c r="E48" s="1075"/>
      <c r="F48" s="1075"/>
      <c r="G48" s="1109"/>
      <c r="H48" s="1109"/>
      <c r="I48" s="1109"/>
      <c r="J48" s="1109"/>
      <c r="K48" s="1109"/>
      <c r="L48" s="1109"/>
      <c r="M48" s="1109"/>
      <c r="N48" s="1109"/>
      <c r="O48" s="1108"/>
      <c r="P48" s="1108"/>
      <c r="Q48" s="1108"/>
      <c r="R48" s="1108"/>
      <c r="S48" s="1108"/>
      <c r="T48" s="1109"/>
      <c r="U48" s="1108"/>
    </row>
    <row r="49" spans="1:14" x14ac:dyDescent="0.2">
      <c r="B49" s="1617"/>
    </row>
    <row r="50" spans="1:14" x14ac:dyDescent="0.2">
      <c r="A50" s="945" t="s">
        <v>552</v>
      </c>
    </row>
    <row r="51" spans="1:14" x14ac:dyDescent="0.2">
      <c r="E51" s="1104"/>
      <c r="F51" s="1104"/>
      <c r="G51" s="1627"/>
      <c r="H51" s="1627"/>
      <c r="I51" s="1627"/>
      <c r="J51" s="1627"/>
      <c r="K51" s="1627"/>
      <c r="L51" s="1627"/>
      <c r="M51" s="1627"/>
      <c r="N51" s="1627"/>
    </row>
    <row r="64" spans="1:14" ht="14.25" x14ac:dyDescent="0.2">
      <c r="B64" s="1124"/>
    </row>
  </sheetData>
  <mergeCells count="4">
    <mergeCell ref="C9:D9"/>
    <mergeCell ref="C8:D8"/>
    <mergeCell ref="A35:B35"/>
    <mergeCell ref="A17:B17"/>
  </mergeCells>
  <phoneticPr fontId="13" type="noConversion"/>
  <conditionalFormatting sqref="O42:O43 O39 A39:A41 E39:E43 F39:I41 F43:I43 F42:H42">
    <cfRule type="cellIs" dxfId="7" priority="16" stopIfTrue="1" operator="equal">
      <formula>0</formula>
    </cfRule>
  </conditionalFormatting>
  <conditionalFormatting sqref="N39:N41 N43">
    <cfRule type="cellIs" dxfId="6" priority="10" stopIfTrue="1" operator="equal">
      <formula>0</formula>
    </cfRule>
  </conditionalFormatting>
  <conditionalFormatting sqref="N42">
    <cfRule type="cellIs" dxfId="5" priority="9" stopIfTrue="1" operator="equal">
      <formula>0</formula>
    </cfRule>
  </conditionalFormatting>
  <conditionalFormatting sqref="A42">
    <cfRule type="cellIs" dxfId="4" priority="7" stopIfTrue="1" operator="equal">
      <formula>0</formula>
    </cfRule>
  </conditionalFormatting>
  <conditionalFormatting sqref="J39:M41 J43:M43">
    <cfRule type="cellIs" dxfId="3" priority="6" stopIfTrue="1" operator="equal">
      <formula>0</formula>
    </cfRule>
  </conditionalFormatting>
  <conditionalFormatting sqref="J42:L42">
    <cfRule type="cellIs" dxfId="2" priority="5" stopIfTrue="1" operator="equal">
      <formula>0</formula>
    </cfRule>
  </conditionalFormatting>
  <conditionalFormatting sqref="M42">
    <cfRule type="cellIs" dxfId="1" priority="4" stopIfTrue="1" operator="equal">
      <formula>0</formula>
    </cfRule>
  </conditionalFormatting>
  <conditionalFormatting sqref="I42">
    <cfRule type="cellIs" dxfId="0" priority="1" stopIfTrue="1" operator="equal">
      <formula>0</formula>
    </cfRule>
  </conditionalFormatting>
  <printOptions horizontalCentered="1"/>
  <pageMargins left="0" right="0" top="0.75" bottom="0" header="0" footer="0"/>
  <pageSetup scale="58" orientation="landscape" r:id="rId1"/>
  <headerFooter alignWithMargins="0">
    <oddFooter>&amp;L&amp;F&amp;CPage 14</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2:AL62"/>
  <sheetViews>
    <sheetView view="pageBreakPreview" topLeftCell="A28" zoomScaleNormal="90" zoomScaleSheetLayoutView="100" workbookViewId="0">
      <selection activeCell="J42" sqref="J42"/>
    </sheetView>
  </sheetViews>
  <sheetFormatPr defaultColWidth="9.140625" defaultRowHeight="12.75" x14ac:dyDescent="0.2"/>
  <cols>
    <col min="1" max="1" width="5.28515625" style="1709" customWidth="1"/>
    <col min="2" max="2" width="2.7109375" style="83" customWidth="1"/>
    <col min="3" max="3" width="1.7109375" style="83" customWidth="1"/>
    <col min="4" max="10" width="23.28515625" style="83" customWidth="1"/>
    <col min="11" max="11" width="26.85546875" style="83" customWidth="1"/>
    <col min="12" max="12" width="38.140625" style="885" customWidth="1"/>
    <col min="13" max="13" width="3.7109375" style="885" customWidth="1"/>
    <col min="14" max="14" width="3.42578125" style="885" customWidth="1"/>
    <col min="15" max="15" width="10" style="885" customWidth="1"/>
    <col min="16" max="17" width="23.28515625" style="885" customWidth="1"/>
    <col min="18" max="18" width="20.5703125" style="885" bestFit="1" customWidth="1"/>
    <col min="19" max="19" width="16" style="885" customWidth="1"/>
    <col min="20" max="20" width="12.140625" style="885" customWidth="1"/>
    <col min="21" max="21" width="14.5703125" style="892" bestFit="1" customWidth="1"/>
    <col min="22" max="22" width="1.7109375" style="885" customWidth="1"/>
    <col min="23" max="23" width="2.7109375" style="885" customWidth="1"/>
    <col min="24" max="38" width="9.140625" style="885"/>
    <col min="39" max="16384" width="9.140625" style="83"/>
  </cols>
  <sheetData>
    <row r="2" spans="1:35" ht="20.25" x14ac:dyDescent="0.3">
      <c r="E2" s="1710"/>
    </row>
    <row r="3" spans="1:35" ht="15.75" x14ac:dyDescent="0.25">
      <c r="O3" s="1711"/>
    </row>
    <row r="4" spans="1:35" x14ac:dyDescent="0.2">
      <c r="G4" s="2226"/>
      <c r="O4" s="1712"/>
    </row>
    <row r="5" spans="1:35" ht="15" x14ac:dyDescent="0.2">
      <c r="A5" s="1713" t="s">
        <v>345</v>
      </c>
      <c r="C5" s="839"/>
      <c r="D5" s="839"/>
      <c r="E5" s="839"/>
      <c r="F5" s="839"/>
      <c r="G5" s="839"/>
      <c r="H5" s="839"/>
      <c r="I5" s="839"/>
      <c r="J5" s="839"/>
      <c r="K5" s="839"/>
      <c r="L5" s="890"/>
      <c r="M5" s="2159"/>
      <c r="V5" s="890"/>
    </row>
    <row r="6" spans="1:35" ht="15" x14ac:dyDescent="0.2">
      <c r="A6" s="1713" t="s">
        <v>54</v>
      </c>
      <c r="C6" s="839"/>
      <c r="D6" s="839"/>
      <c r="E6" s="839"/>
      <c r="F6" s="839"/>
      <c r="G6" s="839"/>
      <c r="H6" s="839"/>
      <c r="I6" s="839"/>
      <c r="J6" s="839"/>
      <c r="K6" s="839"/>
      <c r="L6" s="890"/>
      <c r="M6" s="2159"/>
      <c r="P6" s="2159"/>
      <c r="V6" s="890"/>
    </row>
    <row r="7" spans="1:35" x14ac:dyDescent="0.2">
      <c r="C7" s="839"/>
      <c r="D7" s="839"/>
      <c r="E7" s="839"/>
      <c r="F7" s="839"/>
      <c r="G7" s="839"/>
      <c r="H7" s="839"/>
      <c r="I7" s="839"/>
      <c r="J7" s="839"/>
      <c r="K7" s="839"/>
      <c r="L7" s="890"/>
      <c r="M7" s="890"/>
      <c r="P7" s="890"/>
      <c r="V7" s="890"/>
    </row>
    <row r="8" spans="1:35" ht="16.5" customHeight="1" x14ac:dyDescent="0.2">
      <c r="A8" s="893">
        <v>-1</v>
      </c>
      <c r="B8" s="509" t="s">
        <v>588</v>
      </c>
      <c r="C8" s="509"/>
      <c r="D8" s="509"/>
      <c r="E8" s="509"/>
      <c r="F8" s="509"/>
      <c r="G8" s="509"/>
      <c r="H8" s="509"/>
      <c r="I8" s="509"/>
      <c r="J8" s="509"/>
      <c r="K8" s="509"/>
      <c r="L8" s="509"/>
      <c r="M8" s="65"/>
      <c r="N8" s="65"/>
      <c r="O8" s="65"/>
      <c r="P8" s="65"/>
      <c r="Q8" s="65"/>
      <c r="R8" s="65"/>
      <c r="S8" s="65"/>
      <c r="T8" s="65"/>
      <c r="U8" s="65"/>
      <c r="V8" s="65"/>
      <c r="W8" s="65"/>
      <c r="X8" s="65"/>
      <c r="Y8" s="65"/>
      <c r="Z8" s="65"/>
      <c r="AA8" s="65"/>
      <c r="AB8" s="65"/>
      <c r="AC8" s="65"/>
      <c r="AD8" s="65"/>
      <c r="AE8" s="65"/>
      <c r="AF8" s="65"/>
      <c r="AG8" s="65"/>
      <c r="AH8" s="65"/>
      <c r="AI8" s="65"/>
    </row>
    <row r="9" spans="1:35" ht="16.5" customHeight="1" x14ac:dyDescent="0.2">
      <c r="A9" s="893"/>
      <c r="B9" s="509" t="s">
        <v>381</v>
      </c>
      <c r="C9" s="509"/>
      <c r="D9" s="509"/>
      <c r="E9" s="509"/>
      <c r="F9" s="509"/>
      <c r="G9" s="509"/>
      <c r="H9" s="509"/>
      <c r="I9" s="509"/>
      <c r="J9" s="509"/>
      <c r="K9" s="509"/>
      <c r="L9" s="509"/>
      <c r="M9" s="65"/>
      <c r="N9" s="65"/>
      <c r="O9" s="65"/>
      <c r="P9" s="65"/>
      <c r="Q9" s="65"/>
      <c r="R9" s="65"/>
      <c r="S9" s="65"/>
      <c r="T9" s="65"/>
      <c r="U9" s="65"/>
      <c r="V9" s="65"/>
      <c r="W9" s="65"/>
      <c r="X9" s="65"/>
      <c r="Y9" s="65"/>
      <c r="Z9" s="65"/>
      <c r="AA9" s="65"/>
      <c r="AB9" s="65"/>
      <c r="AC9" s="65"/>
      <c r="AD9" s="65"/>
      <c r="AE9" s="65"/>
      <c r="AF9" s="65"/>
      <c r="AG9" s="65"/>
      <c r="AH9" s="65"/>
      <c r="AI9" s="65"/>
    </row>
    <row r="10" spans="1:35" ht="16.5" customHeight="1" x14ac:dyDescent="0.2">
      <c r="A10" s="893">
        <v>-2</v>
      </c>
      <c r="B10" s="514" t="s">
        <v>589</v>
      </c>
      <c r="C10" s="885"/>
      <c r="D10" s="885"/>
      <c r="E10" s="885"/>
      <c r="F10" s="885"/>
      <c r="G10" s="885"/>
      <c r="H10" s="885"/>
      <c r="I10" s="885"/>
      <c r="J10" s="885"/>
      <c r="K10" s="885"/>
      <c r="L10" s="509"/>
      <c r="M10" s="889"/>
      <c r="N10" s="889"/>
      <c r="O10" s="889"/>
      <c r="P10" s="889"/>
      <c r="Q10" s="889"/>
      <c r="R10" s="889"/>
      <c r="S10" s="889"/>
      <c r="T10" s="889"/>
      <c r="U10" s="889"/>
      <c r="V10" s="889"/>
      <c r="W10" s="889"/>
      <c r="X10" s="889"/>
      <c r="Y10" s="889"/>
      <c r="Z10" s="889"/>
      <c r="AA10" s="889"/>
      <c r="AB10" s="889"/>
      <c r="AC10" s="889"/>
      <c r="AD10" s="889"/>
      <c r="AE10" s="889"/>
      <c r="AF10" s="889"/>
      <c r="AG10" s="889"/>
      <c r="AH10" s="889"/>
      <c r="AI10" s="512"/>
    </row>
    <row r="11" spans="1:35" ht="16.5" customHeight="1" x14ac:dyDescent="0.2">
      <c r="A11" s="893"/>
      <c r="B11" s="514" t="s">
        <v>486</v>
      </c>
      <c r="C11" s="885"/>
      <c r="D11" s="885"/>
      <c r="E11" s="885"/>
      <c r="F11" s="885"/>
      <c r="G11" s="885"/>
      <c r="H11" s="885"/>
      <c r="I11" s="885"/>
      <c r="J11" s="885"/>
      <c r="K11" s="885"/>
      <c r="L11" s="509"/>
      <c r="M11" s="889"/>
      <c r="N11" s="889"/>
      <c r="O11" s="889"/>
      <c r="P11" s="889"/>
      <c r="Q11" s="889"/>
      <c r="R11" s="889"/>
      <c r="S11" s="889"/>
      <c r="T11" s="889"/>
      <c r="U11" s="889"/>
      <c r="V11" s="889"/>
      <c r="W11" s="889"/>
      <c r="X11" s="889"/>
      <c r="Y11" s="889"/>
      <c r="Z11" s="889"/>
      <c r="AA11" s="889"/>
      <c r="AB11" s="889"/>
      <c r="AC11" s="889"/>
      <c r="AD11" s="889"/>
      <c r="AE11" s="889"/>
      <c r="AF11" s="889"/>
      <c r="AG11" s="889"/>
      <c r="AH11" s="889"/>
      <c r="AI11" s="512"/>
    </row>
    <row r="12" spans="1:35" ht="16.5" customHeight="1" x14ac:dyDescent="0.2">
      <c r="A12" s="893"/>
      <c r="B12" s="514" t="s">
        <v>487</v>
      </c>
      <c r="C12" s="885"/>
      <c r="D12" s="885"/>
      <c r="E12" s="885"/>
      <c r="F12" s="885"/>
      <c r="G12" s="885"/>
      <c r="H12" s="885"/>
      <c r="I12" s="885"/>
      <c r="J12" s="885"/>
      <c r="K12" s="885"/>
      <c r="L12" s="509"/>
      <c r="M12" s="889"/>
      <c r="N12" s="889"/>
      <c r="O12" s="889"/>
      <c r="P12" s="889"/>
      <c r="Q12" s="889"/>
      <c r="R12" s="889"/>
      <c r="S12" s="889"/>
      <c r="T12" s="889"/>
      <c r="U12" s="889"/>
      <c r="V12" s="889"/>
      <c r="W12" s="889"/>
      <c r="X12" s="889"/>
      <c r="Y12" s="889"/>
      <c r="Z12" s="889"/>
      <c r="AA12" s="889"/>
      <c r="AB12" s="889"/>
      <c r="AC12" s="889"/>
      <c r="AD12" s="889"/>
      <c r="AE12" s="889"/>
      <c r="AF12" s="889"/>
      <c r="AG12" s="889"/>
      <c r="AH12" s="889"/>
      <c r="AI12" s="512"/>
    </row>
    <row r="13" spans="1:35" ht="16.5" customHeight="1" x14ac:dyDescent="0.2">
      <c r="A13" s="893">
        <v>-3</v>
      </c>
      <c r="B13" s="509" t="s">
        <v>615</v>
      </c>
      <c r="C13" s="509"/>
      <c r="D13" s="509"/>
      <c r="E13" s="509"/>
      <c r="F13" s="509"/>
      <c r="G13" s="509"/>
      <c r="H13" s="509"/>
      <c r="I13" s="509"/>
      <c r="J13" s="509"/>
      <c r="K13" s="509"/>
      <c r="L13" s="509"/>
      <c r="M13" s="82"/>
      <c r="N13" s="82"/>
      <c r="O13" s="82"/>
      <c r="P13" s="82"/>
      <c r="Q13" s="82"/>
      <c r="R13" s="82"/>
      <c r="S13" s="82"/>
      <c r="T13" s="82"/>
      <c r="U13" s="82"/>
      <c r="V13" s="82"/>
      <c r="W13" s="82"/>
      <c r="X13" s="82"/>
      <c r="Y13" s="82"/>
      <c r="Z13" s="82"/>
      <c r="AA13" s="82"/>
      <c r="AB13" s="82"/>
      <c r="AC13" s="82"/>
      <c r="AD13" s="82"/>
      <c r="AE13" s="82"/>
      <c r="AF13" s="82"/>
      <c r="AG13" s="82"/>
      <c r="AH13" s="82"/>
      <c r="AI13" s="82"/>
    </row>
    <row r="14" spans="1:35" ht="16.5" customHeight="1" x14ac:dyDescent="0.2">
      <c r="A14" s="893"/>
      <c r="B14" s="509" t="s">
        <v>355</v>
      </c>
      <c r="C14" s="509"/>
      <c r="D14" s="509"/>
      <c r="E14" s="509"/>
      <c r="F14" s="509"/>
      <c r="G14" s="509"/>
      <c r="H14" s="509"/>
      <c r="I14" s="509"/>
      <c r="J14" s="509"/>
      <c r="K14" s="509"/>
      <c r="L14" s="509"/>
      <c r="M14" s="82"/>
      <c r="N14" s="82"/>
      <c r="O14" s="82"/>
      <c r="P14" s="82"/>
      <c r="Q14" s="82"/>
      <c r="R14" s="82"/>
      <c r="S14" s="82"/>
      <c r="T14" s="82"/>
      <c r="U14" s="82"/>
      <c r="V14" s="82"/>
      <c r="W14" s="82"/>
      <c r="X14" s="82"/>
      <c r="Y14" s="82"/>
      <c r="Z14" s="82"/>
      <c r="AA14" s="82"/>
      <c r="AB14" s="82"/>
      <c r="AC14" s="82"/>
      <c r="AD14" s="82"/>
      <c r="AE14" s="82"/>
      <c r="AF14" s="82"/>
      <c r="AG14" s="82"/>
      <c r="AH14" s="82"/>
      <c r="AI14" s="82"/>
    </row>
    <row r="15" spans="1:35" ht="16.5" customHeight="1" x14ac:dyDescent="0.2">
      <c r="A15" s="893">
        <v>-4</v>
      </c>
      <c r="B15" s="509" t="s">
        <v>590</v>
      </c>
      <c r="C15" s="509"/>
      <c r="D15" s="509"/>
      <c r="E15" s="509"/>
      <c r="F15" s="509"/>
      <c r="G15" s="509"/>
      <c r="H15" s="509"/>
      <c r="I15" s="509"/>
      <c r="J15" s="509"/>
      <c r="K15" s="509"/>
      <c r="L15" s="509"/>
      <c r="M15" s="65"/>
      <c r="N15" s="65"/>
      <c r="O15" s="65"/>
      <c r="P15" s="65"/>
      <c r="Q15" s="65"/>
      <c r="R15" s="65"/>
      <c r="S15" s="65"/>
      <c r="T15" s="65"/>
      <c r="U15" s="65"/>
      <c r="V15" s="65"/>
      <c r="W15" s="65"/>
      <c r="X15" s="65"/>
      <c r="Y15" s="65"/>
      <c r="Z15" s="65"/>
      <c r="AA15" s="65"/>
      <c r="AB15" s="65"/>
      <c r="AC15" s="65"/>
      <c r="AD15" s="65"/>
      <c r="AE15" s="65"/>
      <c r="AF15" s="65"/>
      <c r="AG15" s="65"/>
      <c r="AH15" s="65"/>
      <c r="AI15" s="65"/>
    </row>
    <row r="16" spans="1:35" ht="16.5" customHeight="1" x14ac:dyDescent="0.2">
      <c r="A16" s="893"/>
      <c r="B16" s="509" t="s">
        <v>591</v>
      </c>
      <c r="C16" s="509"/>
      <c r="D16" s="509"/>
      <c r="E16" s="509"/>
      <c r="F16" s="509"/>
      <c r="G16" s="509"/>
      <c r="H16" s="509"/>
      <c r="I16" s="509"/>
      <c r="J16" s="509"/>
      <c r="K16" s="509"/>
      <c r="L16" s="509"/>
      <c r="M16" s="65"/>
      <c r="N16" s="65"/>
      <c r="O16" s="65"/>
      <c r="P16" s="65"/>
      <c r="Q16" s="65"/>
      <c r="R16" s="65"/>
      <c r="S16" s="65"/>
      <c r="T16" s="65"/>
      <c r="U16" s="65"/>
      <c r="V16" s="65"/>
      <c r="W16" s="65"/>
      <c r="X16" s="65"/>
      <c r="Y16" s="65"/>
      <c r="Z16" s="65"/>
      <c r="AA16" s="65"/>
      <c r="AB16" s="65"/>
      <c r="AC16" s="65"/>
      <c r="AD16" s="65"/>
      <c r="AE16" s="65"/>
      <c r="AF16" s="65"/>
      <c r="AG16" s="65"/>
      <c r="AH16" s="65"/>
      <c r="AI16" s="65"/>
    </row>
    <row r="17" spans="1:35" ht="16.5" customHeight="1" x14ac:dyDescent="0.2">
      <c r="A17" s="893">
        <v>-5</v>
      </c>
      <c r="B17" s="509" t="s">
        <v>327</v>
      </c>
      <c r="C17" s="509"/>
      <c r="D17" s="509"/>
      <c r="E17" s="509"/>
      <c r="F17" s="509"/>
      <c r="G17" s="509"/>
      <c r="H17" s="509"/>
      <c r="I17" s="509"/>
      <c r="J17" s="509"/>
      <c r="K17" s="509"/>
      <c r="L17" s="509"/>
      <c r="M17" s="890"/>
      <c r="N17" s="890"/>
      <c r="O17" s="890"/>
      <c r="P17" s="890"/>
      <c r="Q17" s="890"/>
      <c r="R17" s="890"/>
      <c r="S17" s="890"/>
      <c r="T17" s="890"/>
      <c r="U17" s="890"/>
      <c r="V17" s="890"/>
      <c r="W17" s="890"/>
      <c r="X17" s="890"/>
      <c r="Y17" s="890"/>
      <c r="Z17" s="890"/>
      <c r="AA17" s="890"/>
      <c r="AB17" s="890"/>
      <c r="AC17" s="890"/>
      <c r="AD17" s="890"/>
      <c r="AE17" s="890"/>
      <c r="AF17" s="890"/>
      <c r="AG17" s="890"/>
      <c r="AH17" s="890"/>
      <c r="AI17" s="890"/>
    </row>
    <row r="18" spans="1:35" ht="16.5" customHeight="1" x14ac:dyDescent="0.2">
      <c r="A18" s="893">
        <v>-6</v>
      </c>
      <c r="B18" s="509" t="s">
        <v>328</v>
      </c>
      <c r="C18" s="509"/>
      <c r="D18" s="509"/>
      <c r="E18" s="509"/>
      <c r="F18" s="509"/>
      <c r="G18" s="509"/>
      <c r="H18" s="509"/>
      <c r="I18" s="509"/>
      <c r="J18" s="509"/>
      <c r="K18" s="509"/>
      <c r="L18" s="509"/>
      <c r="M18" s="890"/>
      <c r="N18" s="890"/>
      <c r="O18" s="890"/>
      <c r="P18" s="890"/>
      <c r="Q18" s="890"/>
      <c r="R18" s="890"/>
      <c r="S18" s="890"/>
      <c r="T18" s="890"/>
      <c r="U18" s="890"/>
      <c r="V18" s="890"/>
      <c r="W18" s="890"/>
      <c r="X18" s="890"/>
      <c r="Y18" s="890"/>
      <c r="Z18" s="890"/>
      <c r="AA18" s="890"/>
      <c r="AB18" s="890"/>
      <c r="AC18" s="890"/>
      <c r="AD18" s="890"/>
      <c r="AE18" s="890"/>
      <c r="AF18" s="890"/>
      <c r="AG18" s="890"/>
      <c r="AH18" s="890"/>
      <c r="AI18" s="890"/>
    </row>
    <row r="19" spans="1:35" ht="16.5" customHeight="1" x14ac:dyDescent="0.2">
      <c r="A19" s="893">
        <v>-7</v>
      </c>
      <c r="B19" s="509" t="s">
        <v>586</v>
      </c>
      <c r="C19" s="509"/>
      <c r="D19" s="509"/>
      <c r="E19" s="509"/>
      <c r="F19" s="509"/>
      <c r="G19" s="509"/>
      <c r="H19" s="509"/>
      <c r="I19" s="509"/>
      <c r="J19" s="509"/>
      <c r="K19" s="509"/>
      <c r="L19" s="509"/>
      <c r="M19" s="890"/>
      <c r="N19" s="890"/>
      <c r="O19" s="890"/>
      <c r="P19" s="890"/>
      <c r="Q19" s="890"/>
      <c r="R19" s="890"/>
      <c r="S19" s="890"/>
      <c r="T19" s="890"/>
      <c r="U19" s="890"/>
      <c r="V19" s="890"/>
      <c r="W19" s="890"/>
      <c r="X19" s="890"/>
      <c r="Y19" s="890"/>
      <c r="Z19" s="890"/>
      <c r="AA19" s="890"/>
      <c r="AB19" s="890"/>
      <c r="AC19" s="890"/>
      <c r="AD19" s="890"/>
      <c r="AE19" s="890"/>
      <c r="AF19" s="890"/>
      <c r="AG19" s="890"/>
      <c r="AH19" s="890"/>
      <c r="AI19" s="890"/>
    </row>
    <row r="20" spans="1:35" ht="16.5" customHeight="1" x14ac:dyDescent="0.2">
      <c r="A20" s="893"/>
      <c r="B20" s="509" t="s">
        <v>587</v>
      </c>
      <c r="C20" s="509"/>
      <c r="D20" s="509"/>
      <c r="E20" s="509"/>
      <c r="F20" s="509"/>
      <c r="G20" s="509"/>
      <c r="H20" s="509"/>
      <c r="I20" s="509"/>
      <c r="J20" s="509"/>
      <c r="K20" s="509"/>
      <c r="L20" s="509"/>
      <c r="M20" s="890"/>
      <c r="N20" s="890"/>
      <c r="O20" s="890"/>
      <c r="P20" s="890"/>
      <c r="Q20" s="890"/>
      <c r="R20" s="890"/>
      <c r="S20" s="890"/>
      <c r="T20" s="890"/>
      <c r="U20" s="890"/>
      <c r="V20" s="890"/>
      <c r="W20" s="890"/>
      <c r="X20" s="890"/>
      <c r="Y20" s="890"/>
      <c r="Z20" s="890"/>
      <c r="AA20" s="890"/>
      <c r="AB20" s="890"/>
      <c r="AC20" s="890"/>
      <c r="AD20" s="890"/>
      <c r="AE20" s="890"/>
      <c r="AF20" s="890"/>
      <c r="AG20" s="890"/>
      <c r="AH20" s="890"/>
      <c r="AI20" s="890"/>
    </row>
    <row r="21" spans="1:35" ht="16.5" customHeight="1" x14ac:dyDescent="0.2">
      <c r="A21" s="893"/>
      <c r="B21" s="509" t="s">
        <v>365</v>
      </c>
      <c r="C21" s="509"/>
      <c r="D21" s="509"/>
      <c r="E21" s="509"/>
      <c r="F21" s="509"/>
      <c r="G21" s="509"/>
      <c r="H21" s="509"/>
      <c r="I21" s="509"/>
      <c r="J21" s="509"/>
      <c r="K21" s="509"/>
      <c r="L21" s="509"/>
      <c r="M21" s="890"/>
      <c r="N21" s="890"/>
      <c r="O21" s="890"/>
      <c r="P21" s="890"/>
      <c r="Q21" s="890"/>
      <c r="R21" s="890"/>
      <c r="S21" s="890"/>
      <c r="T21" s="890"/>
      <c r="U21" s="890"/>
      <c r="V21" s="890"/>
      <c r="W21" s="890"/>
      <c r="X21" s="890"/>
      <c r="Y21" s="890"/>
      <c r="Z21" s="890"/>
      <c r="AA21" s="890"/>
      <c r="AB21" s="890"/>
      <c r="AC21" s="890"/>
      <c r="AD21" s="890"/>
      <c r="AE21" s="890"/>
      <c r="AF21" s="890"/>
      <c r="AG21" s="890"/>
      <c r="AH21" s="890"/>
      <c r="AI21" s="890"/>
    </row>
    <row r="22" spans="1:35" ht="16.5" customHeight="1" x14ac:dyDescent="0.2">
      <c r="A22" s="893">
        <v>-8</v>
      </c>
      <c r="B22" s="509" t="s">
        <v>372</v>
      </c>
      <c r="C22" s="509"/>
      <c r="D22" s="509"/>
      <c r="E22" s="509"/>
      <c r="F22" s="509"/>
      <c r="G22" s="509"/>
      <c r="H22" s="509"/>
      <c r="I22" s="509"/>
      <c r="J22" s="509"/>
      <c r="K22" s="509"/>
      <c r="L22" s="509"/>
      <c r="M22" s="65"/>
      <c r="N22" s="65"/>
      <c r="O22" s="65"/>
      <c r="P22" s="65"/>
      <c r="Q22" s="65"/>
      <c r="R22" s="65"/>
      <c r="S22" s="65"/>
      <c r="T22" s="65"/>
      <c r="U22" s="65"/>
      <c r="V22" s="65"/>
      <c r="W22" s="65"/>
      <c r="X22" s="65"/>
      <c r="Y22" s="65"/>
      <c r="Z22" s="65"/>
      <c r="AA22" s="65"/>
      <c r="AB22" s="65"/>
      <c r="AC22" s="65"/>
      <c r="AD22" s="65"/>
      <c r="AE22" s="65"/>
      <c r="AF22" s="65"/>
      <c r="AG22" s="65"/>
      <c r="AH22" s="65"/>
      <c r="AI22" s="65"/>
    </row>
    <row r="23" spans="1:35" ht="16.5" customHeight="1" x14ac:dyDescent="0.2">
      <c r="A23" s="893"/>
      <c r="B23" s="509" t="s">
        <v>356</v>
      </c>
      <c r="C23" s="509"/>
      <c r="D23" s="509"/>
      <c r="E23" s="509"/>
      <c r="F23" s="509"/>
      <c r="G23" s="509"/>
      <c r="H23" s="509"/>
      <c r="I23" s="509"/>
      <c r="J23" s="509"/>
      <c r="K23" s="509"/>
      <c r="L23" s="509"/>
      <c r="M23" s="65"/>
      <c r="N23" s="65"/>
      <c r="O23" s="65"/>
      <c r="P23" s="65"/>
      <c r="Q23" s="65"/>
      <c r="R23" s="65"/>
      <c r="S23" s="65"/>
      <c r="T23" s="65"/>
      <c r="U23" s="65"/>
      <c r="V23" s="65"/>
      <c r="W23" s="65"/>
      <c r="X23" s="65"/>
      <c r="Y23" s="65"/>
      <c r="Z23" s="65"/>
      <c r="AA23" s="65"/>
      <c r="AB23" s="65"/>
      <c r="AC23" s="65"/>
      <c r="AD23" s="65"/>
      <c r="AE23" s="65"/>
      <c r="AF23" s="65"/>
      <c r="AG23" s="65"/>
      <c r="AH23" s="65"/>
      <c r="AI23" s="65"/>
    </row>
    <row r="24" spans="1:35" ht="16.5" customHeight="1" x14ac:dyDescent="0.2">
      <c r="A24" s="893">
        <v>-9</v>
      </c>
      <c r="B24" s="509" t="s">
        <v>215</v>
      </c>
      <c r="C24" s="509"/>
      <c r="D24" s="509"/>
      <c r="E24" s="509"/>
      <c r="F24" s="509"/>
      <c r="G24" s="509"/>
      <c r="H24" s="509"/>
      <c r="I24" s="509"/>
      <c r="J24" s="509"/>
      <c r="K24" s="509"/>
      <c r="L24" s="509"/>
      <c r="M24" s="65"/>
      <c r="N24" s="65"/>
      <c r="O24" s="65"/>
      <c r="P24" s="65"/>
      <c r="Q24" s="65"/>
      <c r="R24" s="65"/>
      <c r="S24" s="65"/>
      <c r="T24" s="65"/>
      <c r="U24" s="65"/>
      <c r="V24" s="65"/>
      <c r="W24" s="65"/>
      <c r="X24" s="65"/>
      <c r="Y24" s="65"/>
      <c r="Z24" s="65"/>
      <c r="AA24" s="65"/>
      <c r="AB24" s="65"/>
      <c r="AC24" s="65"/>
      <c r="AD24" s="65"/>
      <c r="AE24" s="65"/>
      <c r="AF24" s="65"/>
      <c r="AG24" s="65"/>
      <c r="AH24" s="65"/>
      <c r="AI24" s="65"/>
    </row>
    <row r="25" spans="1:35" ht="16.5" customHeight="1" x14ac:dyDescent="0.2">
      <c r="A25" s="893">
        <v>-10</v>
      </c>
      <c r="B25" s="509" t="s">
        <v>557</v>
      </c>
      <c r="C25" s="509"/>
      <c r="D25" s="509"/>
      <c r="E25" s="509"/>
      <c r="F25" s="509"/>
      <c r="G25" s="509"/>
      <c r="H25" s="509"/>
      <c r="I25" s="509"/>
      <c r="J25" s="509"/>
      <c r="K25" s="509"/>
      <c r="L25" s="509"/>
      <c r="M25" s="891"/>
      <c r="N25" s="65"/>
      <c r="O25" s="65"/>
      <c r="P25" s="65"/>
      <c r="Q25" s="65"/>
      <c r="R25" s="65"/>
      <c r="S25" s="65"/>
      <c r="T25" s="65"/>
      <c r="U25" s="65"/>
      <c r="V25" s="65"/>
      <c r="W25" s="65"/>
      <c r="X25" s="891"/>
      <c r="Y25" s="65"/>
      <c r="Z25" s="65"/>
      <c r="AA25" s="65"/>
      <c r="AB25" s="65"/>
      <c r="AC25" s="65"/>
      <c r="AD25" s="65"/>
      <c r="AE25" s="65"/>
      <c r="AF25" s="65"/>
      <c r="AG25" s="65"/>
      <c r="AH25" s="65"/>
      <c r="AI25" s="891"/>
    </row>
    <row r="26" spans="1:35" ht="16.5" customHeight="1" x14ac:dyDescent="0.2">
      <c r="A26" s="893"/>
      <c r="B26" s="509" t="s">
        <v>558</v>
      </c>
      <c r="C26" s="509"/>
      <c r="D26" s="509"/>
      <c r="E26" s="509"/>
      <c r="F26" s="509"/>
      <c r="G26" s="509"/>
      <c r="H26" s="509"/>
      <c r="I26" s="509"/>
      <c r="J26" s="509"/>
      <c r="K26" s="509"/>
      <c r="L26" s="509"/>
      <c r="M26" s="891"/>
      <c r="N26" s="65"/>
      <c r="O26" s="65"/>
      <c r="P26" s="65"/>
      <c r="Q26" s="65"/>
      <c r="R26" s="65"/>
      <c r="S26" s="65"/>
      <c r="T26" s="65"/>
      <c r="U26" s="65"/>
      <c r="V26" s="65"/>
      <c r="W26" s="65"/>
      <c r="X26" s="891"/>
      <c r="Y26" s="65"/>
      <c r="Z26" s="65"/>
      <c r="AA26" s="65"/>
      <c r="AB26" s="65"/>
      <c r="AC26" s="65"/>
      <c r="AD26" s="65"/>
      <c r="AE26" s="65"/>
      <c r="AF26" s="65"/>
      <c r="AG26" s="65"/>
      <c r="AH26" s="65"/>
      <c r="AI26" s="891"/>
    </row>
    <row r="27" spans="1:35" ht="16.5" customHeight="1" x14ac:dyDescent="0.2">
      <c r="A27" s="893">
        <v>-11</v>
      </c>
      <c r="B27" s="509" t="s">
        <v>382</v>
      </c>
      <c r="C27" s="509"/>
      <c r="D27" s="509"/>
      <c r="E27" s="509"/>
      <c r="F27" s="509"/>
      <c r="G27" s="509"/>
      <c r="H27" s="509"/>
      <c r="I27" s="509"/>
      <c r="J27" s="509"/>
      <c r="K27" s="509"/>
      <c r="L27" s="509"/>
      <c r="M27" s="891"/>
      <c r="N27" s="65"/>
      <c r="O27" s="65"/>
      <c r="P27" s="65"/>
      <c r="Q27" s="65"/>
      <c r="R27" s="65"/>
      <c r="S27" s="65"/>
      <c r="T27" s="65"/>
      <c r="U27" s="65"/>
      <c r="V27" s="65"/>
      <c r="W27" s="65"/>
      <c r="X27" s="891"/>
      <c r="Y27" s="65"/>
      <c r="Z27" s="65"/>
      <c r="AA27" s="65"/>
      <c r="AB27" s="65"/>
      <c r="AC27" s="65"/>
      <c r="AD27" s="65"/>
      <c r="AE27" s="65"/>
      <c r="AF27" s="65"/>
      <c r="AG27" s="65"/>
      <c r="AH27" s="65"/>
      <c r="AI27" s="891"/>
    </row>
    <row r="28" spans="1:35" ht="16.5" customHeight="1" x14ac:dyDescent="0.2">
      <c r="A28" s="893">
        <v>-12</v>
      </c>
      <c r="B28" s="886" t="s">
        <v>592</v>
      </c>
      <c r="C28" s="886"/>
      <c r="D28" s="886"/>
      <c r="E28" s="886"/>
      <c r="F28" s="886"/>
      <c r="G28" s="886"/>
      <c r="H28" s="886"/>
      <c r="I28" s="886"/>
      <c r="J28" s="886"/>
      <c r="K28" s="886"/>
      <c r="L28" s="886"/>
      <c r="M28" s="891"/>
      <c r="N28" s="65"/>
      <c r="O28" s="65"/>
      <c r="P28" s="65"/>
      <c r="Q28" s="65"/>
      <c r="R28" s="65"/>
      <c r="S28" s="65"/>
      <c r="T28" s="65"/>
      <c r="U28" s="65"/>
      <c r="V28" s="65"/>
      <c r="W28" s="65"/>
      <c r="X28" s="891"/>
      <c r="Y28" s="65"/>
      <c r="Z28" s="65"/>
      <c r="AA28" s="65"/>
      <c r="AB28" s="65"/>
      <c r="AC28" s="65"/>
      <c r="AD28" s="65"/>
      <c r="AE28" s="65"/>
      <c r="AF28" s="65"/>
      <c r="AG28" s="65"/>
      <c r="AH28" s="65"/>
      <c r="AI28" s="891"/>
    </row>
    <row r="29" spans="1:35" ht="16.5" customHeight="1" x14ac:dyDescent="0.2">
      <c r="A29" s="893"/>
      <c r="B29" s="886" t="s">
        <v>537</v>
      </c>
      <c r="C29" s="886"/>
      <c r="D29" s="886"/>
      <c r="E29" s="886"/>
      <c r="F29" s="886"/>
      <c r="G29" s="886"/>
      <c r="H29" s="886"/>
      <c r="I29" s="886"/>
      <c r="J29" s="886"/>
      <c r="K29" s="886"/>
      <c r="L29" s="886"/>
      <c r="M29" s="891"/>
      <c r="N29" s="65"/>
      <c r="O29" s="65"/>
      <c r="P29" s="65"/>
      <c r="Q29" s="65"/>
      <c r="R29" s="65"/>
      <c r="S29" s="65"/>
      <c r="T29" s="65"/>
      <c r="U29" s="65"/>
      <c r="V29" s="65"/>
      <c r="W29" s="65"/>
      <c r="X29" s="891"/>
      <c r="Y29" s="65"/>
      <c r="Z29" s="65"/>
      <c r="AA29" s="65"/>
      <c r="AB29" s="65"/>
      <c r="AC29" s="65"/>
      <c r="AD29" s="65"/>
      <c r="AE29" s="65"/>
      <c r="AF29" s="65"/>
      <c r="AG29" s="65"/>
      <c r="AH29" s="65"/>
      <c r="AI29" s="891"/>
    </row>
    <row r="30" spans="1:35" ht="16.5" customHeight="1" x14ac:dyDescent="0.2">
      <c r="A30" s="893"/>
      <c r="B30" s="886" t="s">
        <v>536</v>
      </c>
      <c r="C30" s="886"/>
      <c r="D30" s="886"/>
      <c r="E30" s="886"/>
      <c r="F30" s="886"/>
      <c r="G30" s="886"/>
      <c r="H30" s="886"/>
      <c r="I30" s="886"/>
      <c r="J30" s="886"/>
      <c r="K30" s="886"/>
      <c r="L30" s="886"/>
      <c r="M30" s="891"/>
      <c r="N30" s="65"/>
      <c r="O30" s="65"/>
      <c r="P30" s="65"/>
      <c r="Q30" s="65"/>
      <c r="R30" s="65"/>
      <c r="S30" s="65"/>
      <c r="T30" s="65"/>
      <c r="U30" s="65"/>
      <c r="V30" s="65"/>
      <c r="W30" s="65"/>
      <c r="X30" s="891"/>
      <c r="Y30" s="65"/>
      <c r="Z30" s="65"/>
      <c r="AA30" s="65"/>
      <c r="AB30" s="65"/>
      <c r="AC30" s="65"/>
      <c r="AD30" s="65"/>
      <c r="AE30" s="65"/>
      <c r="AF30" s="65"/>
      <c r="AG30" s="65"/>
      <c r="AH30" s="65"/>
      <c r="AI30" s="891"/>
    </row>
    <row r="31" spans="1:35" ht="16.5" customHeight="1" x14ac:dyDescent="0.2">
      <c r="A31" s="893"/>
      <c r="B31" s="886" t="s">
        <v>535</v>
      </c>
      <c r="C31" s="886"/>
      <c r="D31" s="886"/>
      <c r="E31" s="886"/>
      <c r="F31" s="886"/>
      <c r="G31" s="886"/>
      <c r="H31" s="886"/>
      <c r="I31" s="886"/>
      <c r="J31" s="886"/>
      <c r="K31" s="886"/>
      <c r="L31" s="886"/>
      <c r="M31" s="891"/>
      <c r="N31" s="65"/>
      <c r="O31" s="65"/>
      <c r="P31" s="65"/>
      <c r="Q31" s="65"/>
      <c r="R31" s="65"/>
      <c r="S31" s="65"/>
      <c r="T31" s="65"/>
      <c r="U31" s="65"/>
      <c r="V31" s="65"/>
      <c r="W31" s="65"/>
      <c r="X31" s="891"/>
      <c r="Y31" s="65"/>
      <c r="Z31" s="65"/>
      <c r="AA31" s="65"/>
      <c r="AB31" s="65"/>
      <c r="AC31" s="65"/>
      <c r="AD31" s="65"/>
      <c r="AE31" s="65"/>
      <c r="AF31" s="65"/>
      <c r="AG31" s="65"/>
      <c r="AH31" s="65"/>
      <c r="AI31" s="891"/>
    </row>
    <row r="32" spans="1:35" ht="16.5" customHeight="1" x14ac:dyDescent="0.2">
      <c r="A32" s="893">
        <v>-13</v>
      </c>
      <c r="B32" s="886" t="s">
        <v>373</v>
      </c>
      <c r="C32" s="886"/>
      <c r="D32" s="886"/>
      <c r="E32" s="886"/>
      <c r="F32" s="886"/>
      <c r="G32" s="886"/>
      <c r="H32" s="886"/>
      <c r="I32" s="886"/>
      <c r="J32" s="886"/>
      <c r="K32" s="886"/>
      <c r="L32" s="886"/>
      <c r="M32" s="891"/>
      <c r="N32" s="65"/>
      <c r="O32" s="65"/>
      <c r="P32" s="65"/>
      <c r="Q32" s="65"/>
      <c r="R32" s="65"/>
      <c r="S32" s="65"/>
      <c r="T32" s="65"/>
      <c r="U32" s="65"/>
      <c r="V32" s="65"/>
      <c r="W32" s="65"/>
      <c r="X32" s="891"/>
      <c r="Y32" s="65"/>
      <c r="Z32" s="65"/>
      <c r="AA32" s="65"/>
      <c r="AB32" s="65"/>
      <c r="AC32" s="65"/>
      <c r="AD32" s="65"/>
      <c r="AE32" s="65"/>
      <c r="AF32" s="65"/>
      <c r="AG32" s="65"/>
      <c r="AH32" s="65"/>
      <c r="AI32" s="891"/>
    </row>
    <row r="33" spans="1:37" ht="16.5" customHeight="1" x14ac:dyDescent="0.2">
      <c r="A33" s="893">
        <v>-14</v>
      </c>
      <c r="B33" s="509" t="s">
        <v>374</v>
      </c>
      <c r="C33" s="509"/>
      <c r="D33" s="509"/>
      <c r="E33" s="509"/>
      <c r="F33" s="509"/>
      <c r="G33" s="509"/>
      <c r="H33" s="509"/>
      <c r="I33" s="509"/>
      <c r="J33" s="509"/>
      <c r="K33" s="509"/>
      <c r="L33" s="509"/>
      <c r="M33" s="891"/>
      <c r="N33" s="65"/>
      <c r="O33" s="65"/>
      <c r="P33" s="65"/>
      <c r="Q33" s="65"/>
      <c r="R33" s="65"/>
      <c r="S33" s="65"/>
      <c r="T33" s="65"/>
      <c r="U33" s="65"/>
      <c r="V33" s="65"/>
      <c r="W33" s="65"/>
      <c r="X33" s="891"/>
      <c r="Y33" s="65"/>
      <c r="Z33" s="65"/>
      <c r="AA33" s="65"/>
      <c r="AB33" s="65"/>
      <c r="AC33" s="65"/>
      <c r="AD33" s="65"/>
      <c r="AE33" s="65"/>
      <c r="AF33" s="65"/>
      <c r="AG33" s="65"/>
      <c r="AH33" s="65"/>
      <c r="AI33" s="891"/>
      <c r="AJ33" s="65"/>
      <c r="AK33" s="65"/>
    </row>
    <row r="34" spans="1:37" ht="16.5" customHeight="1" x14ac:dyDescent="0.2">
      <c r="A34" s="893"/>
      <c r="B34" s="509" t="s">
        <v>354</v>
      </c>
      <c r="C34" s="509"/>
      <c r="D34" s="509"/>
      <c r="E34" s="509"/>
      <c r="F34" s="509"/>
      <c r="G34" s="509"/>
      <c r="H34" s="509"/>
      <c r="I34" s="509"/>
      <c r="J34" s="509"/>
      <c r="K34" s="509"/>
      <c r="L34" s="509"/>
      <c r="M34" s="891"/>
      <c r="N34" s="65"/>
      <c r="O34" s="65"/>
      <c r="P34" s="65"/>
      <c r="Q34" s="65"/>
      <c r="R34" s="65"/>
      <c r="S34" s="65"/>
      <c r="T34" s="65"/>
      <c r="U34" s="65"/>
      <c r="V34" s="65"/>
      <c r="W34" s="65"/>
      <c r="X34" s="891"/>
      <c r="Y34" s="65"/>
      <c r="Z34" s="65"/>
      <c r="AA34" s="65"/>
      <c r="AB34" s="65"/>
      <c r="AC34" s="65"/>
      <c r="AD34" s="65"/>
      <c r="AE34" s="65"/>
      <c r="AF34" s="65"/>
      <c r="AG34" s="65"/>
      <c r="AH34" s="65"/>
      <c r="AI34" s="891"/>
      <c r="AJ34" s="65"/>
      <c r="AK34" s="65"/>
    </row>
    <row r="35" spans="1:37" ht="16.5" customHeight="1" x14ac:dyDescent="0.2">
      <c r="A35" s="893">
        <v>-15</v>
      </c>
      <c r="B35" s="509" t="s">
        <v>198</v>
      </c>
      <c r="C35" s="509"/>
      <c r="D35" s="509"/>
      <c r="E35" s="509"/>
      <c r="F35" s="509"/>
      <c r="G35" s="509"/>
      <c r="H35" s="509"/>
      <c r="I35" s="509"/>
      <c r="J35" s="509"/>
      <c r="K35" s="509"/>
      <c r="L35" s="509"/>
      <c r="M35" s="891"/>
      <c r="N35" s="65"/>
      <c r="O35" s="65"/>
      <c r="P35" s="65"/>
      <c r="Q35" s="65"/>
      <c r="R35" s="65"/>
      <c r="S35" s="65"/>
      <c r="T35" s="65"/>
      <c r="U35" s="65"/>
      <c r="V35" s="65"/>
      <c r="W35" s="65"/>
      <c r="X35" s="891"/>
      <c r="Y35" s="65"/>
      <c r="Z35" s="65"/>
      <c r="AA35" s="65"/>
      <c r="AB35" s="65"/>
      <c r="AC35" s="65"/>
      <c r="AD35" s="65"/>
      <c r="AE35" s="65"/>
      <c r="AF35" s="65"/>
      <c r="AG35" s="65"/>
      <c r="AH35" s="65"/>
      <c r="AI35" s="891"/>
      <c r="AJ35" s="65"/>
      <c r="AK35" s="65"/>
    </row>
    <row r="36" spans="1:37" ht="16.5" customHeight="1" x14ac:dyDescent="0.2">
      <c r="A36" s="2229"/>
      <c r="B36" s="509" t="s">
        <v>199</v>
      </c>
      <c r="C36" s="509"/>
      <c r="D36" s="509"/>
      <c r="E36" s="509"/>
      <c r="F36" s="509"/>
      <c r="G36" s="509"/>
      <c r="H36" s="509"/>
      <c r="I36" s="509"/>
      <c r="J36" s="509"/>
      <c r="K36" s="509"/>
      <c r="L36" s="509"/>
      <c r="M36" s="891"/>
      <c r="N36" s="65"/>
      <c r="O36" s="65"/>
      <c r="P36" s="65"/>
      <c r="Q36" s="65"/>
      <c r="R36" s="65"/>
      <c r="S36" s="65"/>
      <c r="T36" s="65"/>
      <c r="U36" s="65"/>
      <c r="V36" s="65"/>
      <c r="W36" s="65"/>
      <c r="X36" s="891"/>
      <c r="Y36" s="65"/>
      <c r="Z36" s="65"/>
      <c r="AA36" s="65"/>
      <c r="AB36" s="65"/>
      <c r="AC36" s="65"/>
      <c r="AD36" s="65"/>
      <c r="AE36" s="65"/>
      <c r="AF36" s="65"/>
      <c r="AG36" s="65"/>
      <c r="AH36" s="65"/>
      <c r="AI36" s="891"/>
      <c r="AJ36" s="65"/>
      <c r="AK36" s="65"/>
    </row>
    <row r="37" spans="1:37" ht="16.5" customHeight="1" x14ac:dyDescent="0.2">
      <c r="A37" s="893">
        <v>-16</v>
      </c>
      <c r="B37" s="509" t="s">
        <v>593</v>
      </c>
      <c r="C37" s="509"/>
      <c r="D37" s="509"/>
      <c r="E37" s="509"/>
      <c r="F37" s="509"/>
      <c r="G37" s="509"/>
      <c r="H37" s="509"/>
      <c r="I37" s="509"/>
      <c r="J37" s="509"/>
      <c r="K37" s="509"/>
      <c r="L37" s="509"/>
      <c r="M37" s="891"/>
      <c r="N37" s="65"/>
      <c r="O37" s="65"/>
      <c r="P37" s="65"/>
      <c r="Q37" s="65"/>
      <c r="R37" s="65"/>
      <c r="S37" s="65"/>
      <c r="T37" s="65"/>
      <c r="U37" s="65"/>
      <c r="V37" s="65"/>
      <c r="W37" s="65"/>
      <c r="X37" s="891"/>
      <c r="Y37" s="65"/>
      <c r="Z37" s="65"/>
      <c r="AA37" s="65"/>
      <c r="AB37" s="65"/>
      <c r="AC37" s="65"/>
      <c r="AD37" s="65"/>
      <c r="AE37" s="65"/>
      <c r="AF37" s="65"/>
      <c r="AG37" s="65"/>
      <c r="AH37" s="65"/>
    </row>
    <row r="38" spans="1:37" ht="16.5" customHeight="1" x14ac:dyDescent="0.2">
      <c r="A38" s="893">
        <v>-17</v>
      </c>
      <c r="B38" s="509" t="s">
        <v>138</v>
      </c>
      <c r="C38" s="509"/>
      <c r="D38" s="509"/>
      <c r="E38" s="509"/>
      <c r="F38" s="509"/>
      <c r="G38" s="509"/>
      <c r="H38" s="509"/>
      <c r="I38" s="509"/>
      <c r="J38" s="509"/>
      <c r="K38" s="509"/>
      <c r="L38" s="509"/>
      <c r="M38" s="891"/>
    </row>
    <row r="39" spans="1:37" ht="16.5" customHeight="1" x14ac:dyDescent="0.2">
      <c r="A39" s="893">
        <v>-18</v>
      </c>
      <c r="B39" s="509" t="s">
        <v>660</v>
      </c>
      <c r="C39" s="509"/>
      <c r="D39" s="509"/>
      <c r="E39" s="509"/>
      <c r="F39" s="509"/>
      <c r="G39" s="509"/>
      <c r="H39" s="509"/>
      <c r="I39" s="509"/>
      <c r="J39" s="509"/>
      <c r="K39" s="509"/>
      <c r="L39" s="509"/>
    </row>
    <row r="40" spans="1:37" ht="16.5" customHeight="1" x14ac:dyDescent="0.2">
      <c r="A40" s="893">
        <v>-19</v>
      </c>
      <c r="B40" s="509" t="s">
        <v>380</v>
      </c>
      <c r="C40" s="888"/>
      <c r="D40" s="888"/>
      <c r="E40" s="888"/>
      <c r="F40" s="888"/>
      <c r="G40" s="888"/>
      <c r="H40" s="888"/>
      <c r="I40" s="888"/>
      <c r="J40" s="888"/>
      <c r="K40" s="888"/>
      <c r="L40" s="888"/>
    </row>
    <row r="41" spans="1:37" ht="16.5" customHeight="1" x14ac:dyDescent="0.2">
      <c r="A41" s="893"/>
      <c r="B41" s="509" t="s">
        <v>387</v>
      </c>
      <c r="C41" s="888"/>
      <c r="D41" s="888"/>
      <c r="E41" s="888"/>
      <c r="F41" s="888"/>
      <c r="G41" s="888"/>
      <c r="H41" s="888"/>
      <c r="I41" s="888"/>
      <c r="J41" s="888"/>
      <c r="K41" s="888"/>
      <c r="L41" s="888"/>
    </row>
    <row r="42" spans="1:37" ht="16.5" customHeight="1" x14ac:dyDescent="0.2">
      <c r="A42" s="893"/>
      <c r="B42" s="509" t="s">
        <v>388</v>
      </c>
      <c r="C42" s="888"/>
      <c r="D42" s="888"/>
      <c r="E42" s="888"/>
      <c r="F42" s="888"/>
      <c r="G42" s="888"/>
      <c r="H42" s="888"/>
      <c r="I42" s="888"/>
      <c r="J42" s="888"/>
      <c r="K42" s="888"/>
      <c r="L42" s="888"/>
    </row>
    <row r="43" spans="1:37" ht="16.5" customHeight="1" x14ac:dyDescent="0.2">
      <c r="A43" s="893">
        <v>-20</v>
      </c>
      <c r="B43" s="509" t="s">
        <v>594</v>
      </c>
      <c r="C43" s="888"/>
      <c r="D43" s="888"/>
      <c r="E43" s="888"/>
      <c r="F43" s="888"/>
      <c r="G43" s="888"/>
      <c r="H43" s="888"/>
      <c r="I43" s="888"/>
      <c r="J43" s="888"/>
      <c r="K43" s="888"/>
      <c r="L43" s="888"/>
    </row>
    <row r="44" spans="1:37" ht="16.5" customHeight="1" x14ac:dyDescent="0.2">
      <c r="A44" s="2228"/>
      <c r="B44" s="509" t="s">
        <v>595</v>
      </c>
      <c r="C44" s="888"/>
      <c r="D44" s="888"/>
      <c r="E44" s="888"/>
      <c r="F44" s="888"/>
      <c r="G44" s="888"/>
      <c r="H44" s="888"/>
      <c r="I44" s="888"/>
      <c r="J44" s="888"/>
      <c r="K44" s="888"/>
      <c r="L44" s="888"/>
    </row>
    <row r="45" spans="1:37" ht="16.5" customHeight="1" x14ac:dyDescent="0.2">
      <c r="A45" s="2228"/>
      <c r="B45" s="509" t="s">
        <v>379</v>
      </c>
      <c r="C45" s="888"/>
      <c r="D45" s="888"/>
      <c r="E45" s="888"/>
      <c r="F45" s="888"/>
      <c r="G45" s="888"/>
      <c r="H45" s="888"/>
      <c r="I45" s="888"/>
      <c r="J45" s="888"/>
      <c r="K45" s="888"/>
      <c r="L45" s="888"/>
    </row>
    <row r="46" spans="1:37" ht="16.5" customHeight="1" x14ac:dyDescent="0.2">
      <c r="A46" s="893">
        <v>-21</v>
      </c>
      <c r="B46" s="509" t="s">
        <v>322</v>
      </c>
      <c r="C46" s="887"/>
      <c r="D46" s="887"/>
      <c r="E46" s="887"/>
      <c r="F46" s="887"/>
      <c r="G46" s="887"/>
      <c r="H46" s="887"/>
      <c r="I46" s="887"/>
      <c r="J46" s="887"/>
      <c r="K46" s="888"/>
      <c r="L46" s="888"/>
    </row>
    <row r="47" spans="1:37" ht="16.5" customHeight="1" x14ac:dyDescent="0.2">
      <c r="A47" s="893">
        <v>-22</v>
      </c>
      <c r="B47" s="509" t="s">
        <v>329</v>
      </c>
      <c r="C47" s="887"/>
      <c r="D47" s="887"/>
      <c r="E47" s="887"/>
      <c r="F47" s="887"/>
      <c r="G47" s="888"/>
      <c r="H47" s="888"/>
      <c r="I47" s="888"/>
      <c r="J47" s="888"/>
      <c r="K47" s="888"/>
      <c r="L47" s="888"/>
    </row>
    <row r="48" spans="1:37" ht="16.5" customHeight="1" x14ac:dyDescent="0.2">
      <c r="A48" s="893">
        <v>-23</v>
      </c>
      <c r="B48" s="509" t="s">
        <v>376</v>
      </c>
      <c r="C48" s="509"/>
      <c r="D48" s="885"/>
      <c r="E48" s="885"/>
      <c r="F48" s="885"/>
      <c r="G48" s="885"/>
      <c r="H48" s="885"/>
      <c r="I48" s="885"/>
      <c r="J48" s="885"/>
      <c r="K48" s="885"/>
    </row>
    <row r="49" spans="1:16" ht="16.5" customHeight="1" x14ac:dyDescent="0.2">
      <c r="A49" s="894">
        <v>-24</v>
      </c>
      <c r="B49" s="509" t="s">
        <v>525</v>
      </c>
      <c r="C49" s="509"/>
      <c r="D49" s="885"/>
      <c r="E49" s="885"/>
      <c r="F49" s="885"/>
      <c r="G49" s="885"/>
      <c r="H49" s="885"/>
      <c r="I49" s="885"/>
      <c r="J49" s="885"/>
      <c r="K49" s="885"/>
    </row>
    <row r="50" spans="1:16" ht="14.25" x14ac:dyDescent="0.2">
      <c r="A50" s="894">
        <v>-25</v>
      </c>
      <c r="B50" s="509" t="s">
        <v>375</v>
      </c>
      <c r="C50" s="509"/>
    </row>
    <row r="51" spans="1:16" ht="14.25" x14ac:dyDescent="0.2">
      <c r="A51" s="894">
        <v>-26</v>
      </c>
      <c r="B51" s="509" t="s">
        <v>596</v>
      </c>
      <c r="C51" s="509"/>
    </row>
    <row r="52" spans="1:16" ht="14.25" x14ac:dyDescent="0.2">
      <c r="A52" s="894">
        <v>-27</v>
      </c>
      <c r="B52" s="509" t="s">
        <v>383</v>
      </c>
      <c r="C52" s="509"/>
    </row>
    <row r="53" spans="1:16" ht="14.25" x14ac:dyDescent="0.2">
      <c r="A53" s="894"/>
      <c r="B53" s="509" t="s">
        <v>371</v>
      </c>
      <c r="C53" s="509"/>
    </row>
    <row r="54" spans="1:16" ht="14.25" x14ac:dyDescent="0.2">
      <c r="A54" s="894">
        <v>-28</v>
      </c>
      <c r="B54" s="509" t="s">
        <v>661</v>
      </c>
      <c r="C54" s="509"/>
    </row>
    <row r="55" spans="1:16" ht="14.25" x14ac:dyDescent="0.2">
      <c r="A55" s="894"/>
      <c r="B55" s="509" t="s">
        <v>378</v>
      </c>
      <c r="C55" s="509"/>
    </row>
    <row r="56" spans="1:16" ht="14.25" x14ac:dyDescent="0.2">
      <c r="A56" s="894">
        <v>-29</v>
      </c>
      <c r="B56" s="509" t="s">
        <v>370</v>
      </c>
      <c r="C56" s="509"/>
    </row>
    <row r="57" spans="1:16" ht="14.25" x14ac:dyDescent="0.2">
      <c r="A57" s="894">
        <v>-30</v>
      </c>
      <c r="B57" s="509" t="s">
        <v>390</v>
      </c>
      <c r="C57" s="509"/>
    </row>
    <row r="58" spans="1:16" ht="14.25" x14ac:dyDescent="0.2">
      <c r="A58" s="894">
        <v>-31</v>
      </c>
      <c r="B58" s="886" t="s">
        <v>529</v>
      </c>
      <c r="C58" s="886"/>
      <c r="D58" s="886"/>
      <c r="E58" s="886"/>
      <c r="F58" s="886"/>
      <c r="G58" s="886"/>
      <c r="H58" s="886"/>
      <c r="I58" s="886"/>
      <c r="J58" s="886"/>
      <c r="K58" s="886"/>
      <c r="L58" s="886"/>
      <c r="M58" s="886"/>
      <c r="N58" s="886"/>
      <c r="O58" s="886"/>
      <c r="P58" s="886"/>
    </row>
    <row r="59" spans="1:16" ht="14.25" x14ac:dyDescent="0.2">
      <c r="B59" s="886" t="s">
        <v>531</v>
      </c>
      <c r="C59" s="886"/>
      <c r="D59" s="886"/>
      <c r="E59" s="886"/>
      <c r="F59" s="886"/>
      <c r="G59" s="886"/>
      <c r="H59" s="886"/>
      <c r="I59" s="886"/>
      <c r="J59" s="886"/>
      <c r="K59" s="886"/>
      <c r="L59" s="886"/>
      <c r="M59" s="886"/>
      <c r="N59" s="886"/>
      <c r="O59" s="886"/>
      <c r="P59" s="886"/>
    </row>
    <row r="60" spans="1:16" ht="14.25" x14ac:dyDescent="0.2">
      <c r="B60" s="886" t="s">
        <v>530</v>
      </c>
      <c r="C60" s="886"/>
    </row>
    <row r="61" spans="1:16" ht="14.25" x14ac:dyDescent="0.2">
      <c r="A61" s="894">
        <v>-32</v>
      </c>
      <c r="B61" s="886" t="s">
        <v>673</v>
      </c>
    </row>
    <row r="62" spans="1:16" ht="14.25" x14ac:dyDescent="0.2">
      <c r="B62" s="886" t="s">
        <v>674</v>
      </c>
    </row>
  </sheetData>
  <phoneticPr fontId="13" type="noConversion"/>
  <printOptions horizontalCentered="1" verticalCentered="1"/>
  <pageMargins left="0" right="0" top="0" bottom="0" header="0" footer="0"/>
  <pageSetup scale="56" orientation="landscape" r:id="rId1"/>
  <headerFooter alignWithMargins="0">
    <oddFooter>&amp;L&amp;F&amp;CPage 15</oddFooter>
  </headerFooter>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118"/>
  <sheetViews>
    <sheetView workbookViewId="0"/>
  </sheetViews>
  <sheetFormatPr defaultRowHeight="12.75" x14ac:dyDescent="0.2"/>
  <cols>
    <col min="1" max="1" width="25" customWidth="1"/>
    <col min="2" max="5" width="11.7109375" customWidth="1"/>
    <col min="6" max="6" width="16" customWidth="1"/>
    <col min="9" max="9" width="10.85546875" customWidth="1"/>
  </cols>
  <sheetData>
    <row r="1" spans="1:12" ht="18" x14ac:dyDescent="0.25">
      <c r="A1" s="84" t="s">
        <v>127</v>
      </c>
    </row>
    <row r="2" spans="1:12" ht="13.5" thickBot="1" x14ac:dyDescent="0.25"/>
    <row r="3" spans="1:12" hidden="1" x14ac:dyDescent="0.2">
      <c r="A3" s="202" t="s">
        <v>112</v>
      </c>
      <c r="B3" s="192"/>
      <c r="C3" s="192"/>
      <c r="D3" s="192"/>
      <c r="E3" s="193"/>
    </row>
    <row r="4" spans="1:12" hidden="1" x14ac:dyDescent="0.2">
      <c r="A4" s="203" t="s">
        <v>114</v>
      </c>
      <c r="B4" s="3"/>
      <c r="C4" s="3"/>
      <c r="D4" s="3"/>
      <c r="E4" s="196"/>
    </row>
    <row r="5" spans="1:12" hidden="1" x14ac:dyDescent="0.2">
      <c r="A5" s="195"/>
      <c r="B5" s="137" t="s">
        <v>115</v>
      </c>
      <c r="C5" s="137" t="s">
        <v>116</v>
      </c>
      <c r="D5" s="137" t="s">
        <v>117</v>
      </c>
      <c r="E5" s="204" t="s">
        <v>118</v>
      </c>
    </row>
    <row r="6" spans="1:12" hidden="1" x14ac:dyDescent="0.2">
      <c r="A6" s="188" t="s">
        <v>119</v>
      </c>
      <c r="B6" s="198">
        <v>69110.62</v>
      </c>
      <c r="C6" s="198">
        <f>65567.91-1621.56</f>
        <v>63946.350000000006</v>
      </c>
      <c r="D6" s="198">
        <v>61729.19</v>
      </c>
      <c r="E6" s="196">
        <v>61646.74</v>
      </c>
    </row>
    <row r="7" spans="1:12" hidden="1" x14ac:dyDescent="0.2">
      <c r="A7" s="188" t="s">
        <v>120</v>
      </c>
      <c r="B7" s="198">
        <v>3985.92</v>
      </c>
      <c r="C7" s="198">
        <v>3985.92</v>
      </c>
      <c r="D7" s="198">
        <v>3985.92</v>
      </c>
      <c r="E7" s="205">
        <v>3985.92</v>
      </c>
    </row>
    <row r="8" spans="1:12" hidden="1" x14ac:dyDescent="0.2">
      <c r="A8" s="188" t="s">
        <v>121</v>
      </c>
      <c r="B8" s="198">
        <v>37664.800000000003</v>
      </c>
      <c r="C8" s="198">
        <f>42567.8</f>
        <v>42567.8</v>
      </c>
      <c r="D8" s="198">
        <v>42115.28</v>
      </c>
      <c r="E8" s="196">
        <v>40378.97</v>
      </c>
    </row>
    <row r="9" spans="1:12" hidden="1" x14ac:dyDescent="0.2">
      <c r="A9" s="188" t="s">
        <v>122</v>
      </c>
      <c r="B9" s="198">
        <v>43219.18</v>
      </c>
      <c r="C9" s="198">
        <f>41895.58</f>
        <v>41895.58</v>
      </c>
      <c r="D9" s="198">
        <v>51471.24</v>
      </c>
      <c r="E9" s="196">
        <v>61308.55</v>
      </c>
    </row>
    <row r="10" spans="1:12" hidden="1" x14ac:dyDescent="0.2">
      <c r="A10" s="188" t="s">
        <v>123</v>
      </c>
      <c r="B10" s="198">
        <v>29054.58</v>
      </c>
      <c r="C10" s="198">
        <f>37699.48+1621.56</f>
        <v>39321.040000000001</v>
      </c>
      <c r="D10" s="198">
        <v>37180.9</v>
      </c>
      <c r="E10" s="196">
        <v>44248.31</v>
      </c>
    </row>
    <row r="11" spans="1:12" hidden="1" x14ac:dyDescent="0.2">
      <c r="A11" s="188" t="s">
        <v>55</v>
      </c>
      <c r="B11" s="199">
        <f>SUM(B6:B10)</f>
        <v>183035.09999999998</v>
      </c>
      <c r="C11" s="199">
        <f>SUM(C6:C10)</f>
        <v>191716.69000000003</v>
      </c>
      <c r="D11" s="199">
        <f>SUM(D6:D10)</f>
        <v>196482.53</v>
      </c>
      <c r="E11" s="206">
        <f>SUM(E6:E10)</f>
        <v>211568.49</v>
      </c>
    </row>
    <row r="12" spans="1:12" hidden="1" x14ac:dyDescent="0.2">
      <c r="A12" s="195"/>
      <c r="B12" s="3"/>
      <c r="C12" s="3"/>
      <c r="D12" s="3"/>
      <c r="E12" s="196"/>
    </row>
    <row r="13" spans="1:12" hidden="1" x14ac:dyDescent="0.2">
      <c r="A13" s="195" t="s">
        <v>124</v>
      </c>
      <c r="B13" s="200">
        <v>2.1225999999999998</v>
      </c>
      <c r="C13" s="207">
        <v>2.0223</v>
      </c>
      <c r="D13" s="207">
        <v>1.9971000000000001</v>
      </c>
      <c r="E13" s="208">
        <v>1.9943</v>
      </c>
    </row>
    <row r="14" spans="1:12" ht="13.5" hidden="1" thickBot="1" x14ac:dyDescent="0.25">
      <c r="A14" s="194" t="s">
        <v>125</v>
      </c>
      <c r="B14" s="201">
        <f>B11*B13</f>
        <v>388510.3032599999</v>
      </c>
      <c r="C14" s="201">
        <f>C11*C13</f>
        <v>387708.66218700004</v>
      </c>
      <c r="D14" s="201">
        <f>D11*D13</f>
        <v>392395.26066299999</v>
      </c>
      <c r="E14" s="209">
        <f>E11*E13</f>
        <v>421931.03960699996</v>
      </c>
      <c r="G14" s="257"/>
      <c r="H14" s="257"/>
      <c r="I14" s="257"/>
      <c r="J14" s="257"/>
      <c r="K14" s="257"/>
      <c r="L14" s="257"/>
    </row>
    <row r="15" spans="1:12" ht="13.5" hidden="1" thickTop="1" x14ac:dyDescent="0.2">
      <c r="A15" s="195"/>
      <c r="B15" s="3"/>
      <c r="C15" s="3"/>
      <c r="D15" s="3"/>
      <c r="E15" s="196"/>
    </row>
    <row r="16" spans="1:12" hidden="1" x14ac:dyDescent="0.2">
      <c r="A16" s="195" t="s">
        <v>131</v>
      </c>
      <c r="B16" s="210">
        <f>B14</f>
        <v>388510.3032599999</v>
      </c>
      <c r="C16" s="210">
        <f>C14</f>
        <v>387708.66218700004</v>
      </c>
      <c r="D16" s="210">
        <f>D14</f>
        <v>392395.26066299999</v>
      </c>
      <c r="E16" s="211">
        <f>E14</f>
        <v>421931.03960699996</v>
      </c>
    </row>
    <row r="17" spans="1:11" hidden="1" x14ac:dyDescent="0.2">
      <c r="A17" s="195"/>
      <c r="B17" s="137"/>
      <c r="C17" s="137"/>
      <c r="D17" s="137"/>
      <c r="E17" s="204"/>
    </row>
    <row r="18" spans="1:11" ht="13.5" hidden="1" thickBot="1" x14ac:dyDescent="0.25">
      <c r="A18" s="197" t="s">
        <v>126</v>
      </c>
      <c r="B18" s="212">
        <f>B16+C16+D16+E16</f>
        <v>1590545.2657169998</v>
      </c>
      <c r="C18" s="213"/>
      <c r="D18" s="213"/>
      <c r="E18" s="214"/>
    </row>
    <row r="19" spans="1:11" x14ac:dyDescent="0.2">
      <c r="A19" s="285" t="s">
        <v>113</v>
      </c>
      <c r="B19" s="286"/>
      <c r="C19" s="286"/>
      <c r="D19" s="286"/>
      <c r="E19" s="287"/>
      <c r="F19" s="51"/>
      <c r="G19" s="51"/>
      <c r="H19" s="51"/>
      <c r="I19" s="51"/>
      <c r="J19" s="51"/>
      <c r="K19" s="51"/>
    </row>
    <row r="20" spans="1:11" x14ac:dyDescent="0.2">
      <c r="A20" s="288" t="s">
        <v>114</v>
      </c>
      <c r="B20" s="289"/>
      <c r="C20" s="289"/>
      <c r="D20" s="289"/>
      <c r="E20" s="290"/>
      <c r="F20" s="51"/>
      <c r="G20" s="291" t="s">
        <v>132</v>
      </c>
      <c r="H20" s="51" t="s">
        <v>133</v>
      </c>
      <c r="I20" s="51" t="s">
        <v>134</v>
      </c>
      <c r="J20" s="51" t="s">
        <v>135</v>
      </c>
      <c r="K20" s="51" t="s">
        <v>136</v>
      </c>
    </row>
    <row r="21" spans="1:11" x14ac:dyDescent="0.2">
      <c r="A21" s="292"/>
      <c r="B21" s="291" t="s">
        <v>159</v>
      </c>
      <c r="C21" s="291" t="s">
        <v>160</v>
      </c>
      <c r="D21" s="291" t="s">
        <v>161</v>
      </c>
      <c r="E21" s="293" t="s">
        <v>162</v>
      </c>
      <c r="F21" s="51"/>
      <c r="G21" s="291" t="s">
        <v>137</v>
      </c>
      <c r="H21" s="294">
        <v>2.0024000000000002</v>
      </c>
      <c r="I21" s="294">
        <v>1.9671000000000001</v>
      </c>
      <c r="J21" s="294">
        <v>2.0274000000000001</v>
      </c>
      <c r="K21" s="295">
        <f>(H21+I21+J21)/3</f>
        <v>1.9989666666666668</v>
      </c>
    </row>
    <row r="22" spans="1:11" x14ac:dyDescent="0.2">
      <c r="A22" s="296" t="s">
        <v>119</v>
      </c>
      <c r="B22" s="297">
        <v>42241.81</v>
      </c>
      <c r="C22" s="297">
        <v>44761.61</v>
      </c>
      <c r="D22" s="297">
        <v>57738.55</v>
      </c>
      <c r="E22" s="298">
        <v>58401.53</v>
      </c>
      <c r="F22" s="51"/>
      <c r="G22" s="51"/>
      <c r="H22" s="51"/>
      <c r="I22" s="51"/>
      <c r="J22" s="51"/>
      <c r="K22" s="51"/>
    </row>
    <row r="23" spans="1:11" x14ac:dyDescent="0.2">
      <c r="A23" s="296" t="s">
        <v>120</v>
      </c>
      <c r="B23" s="297">
        <v>3972.06</v>
      </c>
      <c r="C23" s="297">
        <v>3979.83</v>
      </c>
      <c r="D23" s="297">
        <v>3998.21</v>
      </c>
      <c r="E23" s="298">
        <v>4064.13</v>
      </c>
      <c r="F23" s="51"/>
      <c r="G23" s="291" t="s">
        <v>139</v>
      </c>
      <c r="H23" s="51" t="s">
        <v>141</v>
      </c>
      <c r="I23" s="51" t="s">
        <v>142</v>
      </c>
      <c r="J23" s="51" t="s">
        <v>143</v>
      </c>
      <c r="K23" s="51" t="s">
        <v>136</v>
      </c>
    </row>
    <row r="24" spans="1:11" x14ac:dyDescent="0.2">
      <c r="A24" s="296" t="s">
        <v>121</v>
      </c>
      <c r="B24" s="297">
        <v>34282.94</v>
      </c>
      <c r="C24" s="297">
        <v>43139.94</v>
      </c>
      <c r="D24" s="297">
        <v>52588.45</v>
      </c>
      <c r="E24" s="298">
        <v>37986.35</v>
      </c>
      <c r="F24" s="51"/>
      <c r="G24" s="291" t="s">
        <v>137</v>
      </c>
      <c r="H24" s="294">
        <v>2.0301</v>
      </c>
      <c r="I24" s="294">
        <v>1.9355</v>
      </c>
      <c r="J24" s="294">
        <v>1.8902000000000001</v>
      </c>
      <c r="K24" s="295">
        <f>(H24+I24+J24)/3</f>
        <v>1.9519333333333335</v>
      </c>
    </row>
    <row r="25" spans="1:11" x14ac:dyDescent="0.2">
      <c r="A25" s="296" t="s">
        <v>122</v>
      </c>
      <c r="B25" s="297">
        <v>64639.45</v>
      </c>
      <c r="C25" s="297">
        <v>70116.929999999993</v>
      </c>
      <c r="D25" s="297">
        <v>72200.73</v>
      </c>
      <c r="E25" s="298">
        <v>63457.98</v>
      </c>
      <c r="F25" s="51"/>
      <c r="G25" s="51"/>
      <c r="H25" s="51"/>
      <c r="I25" s="51"/>
      <c r="J25" s="51"/>
      <c r="K25" s="51"/>
    </row>
    <row r="26" spans="1:11" x14ac:dyDescent="0.2">
      <c r="A26" s="296" t="s">
        <v>123</v>
      </c>
      <c r="B26" s="297">
        <v>46327.59</v>
      </c>
      <c r="C26" s="297">
        <v>45747.519999999997</v>
      </c>
      <c r="D26" s="297">
        <v>38874.15</v>
      </c>
      <c r="E26" s="298">
        <v>31006.880000000001</v>
      </c>
      <c r="F26" s="51"/>
      <c r="G26" s="291" t="s">
        <v>140</v>
      </c>
      <c r="H26" s="51" t="s">
        <v>144</v>
      </c>
      <c r="I26" s="51" t="s">
        <v>145</v>
      </c>
      <c r="J26" s="51" t="s">
        <v>146</v>
      </c>
      <c r="K26" s="51" t="s">
        <v>136</v>
      </c>
    </row>
    <row r="27" spans="1:11" x14ac:dyDescent="0.2">
      <c r="A27" s="296" t="s">
        <v>55</v>
      </c>
      <c r="B27" s="299">
        <f>SUM(B22:B26)</f>
        <v>191463.85</v>
      </c>
      <c r="C27" s="299">
        <f>SUM(C22:C26)</f>
        <v>207745.83</v>
      </c>
      <c r="D27" s="299">
        <f>SUM(D22:D26)</f>
        <v>225400.09</v>
      </c>
      <c r="E27" s="300">
        <f>SUM(E22:E26)</f>
        <v>194916.87</v>
      </c>
      <c r="F27" s="51"/>
      <c r="G27" s="291" t="s">
        <v>137</v>
      </c>
      <c r="H27" s="294">
        <v>1.9411</v>
      </c>
      <c r="I27" s="294">
        <v>1.8942000000000001</v>
      </c>
      <c r="J27" s="294">
        <v>1.7811999999999999</v>
      </c>
      <c r="K27" s="295">
        <f>(H27+I27+J27)/3</f>
        <v>1.8721666666666668</v>
      </c>
    </row>
    <row r="28" spans="1:11" x14ac:dyDescent="0.2">
      <c r="A28" s="292"/>
      <c r="B28" s="289"/>
      <c r="C28" s="289"/>
      <c r="D28" s="289"/>
      <c r="E28" s="290"/>
      <c r="F28" s="51"/>
      <c r="G28" s="51"/>
      <c r="H28" s="51"/>
      <c r="I28" s="51"/>
      <c r="J28" s="51"/>
      <c r="K28" s="51"/>
    </row>
    <row r="29" spans="1:11" x14ac:dyDescent="0.2">
      <c r="A29" s="292" t="s">
        <v>124</v>
      </c>
      <c r="B29" s="301">
        <v>1.9990000000000001</v>
      </c>
      <c r="C29" s="301">
        <v>1.9519</v>
      </c>
      <c r="D29" s="301">
        <v>1.8722000000000001</v>
      </c>
      <c r="E29" s="302">
        <f>K30</f>
        <v>1.7925666666666666</v>
      </c>
      <c r="F29" s="51"/>
      <c r="G29" s="291" t="s">
        <v>150</v>
      </c>
      <c r="H29" s="51" t="s">
        <v>151</v>
      </c>
      <c r="I29" s="51" t="s">
        <v>152</v>
      </c>
      <c r="J29" s="51" t="s">
        <v>153</v>
      </c>
      <c r="K29" s="51" t="s">
        <v>136</v>
      </c>
    </row>
    <row r="30" spans="1:11" ht="13.5" thickBot="1" x14ac:dyDescent="0.25">
      <c r="A30" s="303" t="s">
        <v>125</v>
      </c>
      <c r="B30" s="304">
        <f>B27*B29</f>
        <v>382736.23615000001</v>
      </c>
      <c r="C30" s="304">
        <f>C27*C29</f>
        <v>405499.08557699999</v>
      </c>
      <c r="D30" s="304">
        <f>D27*D29</f>
        <v>421994.04849800002</v>
      </c>
      <c r="E30" s="305">
        <f>E27*E29</f>
        <v>349401.48393300001</v>
      </c>
      <c r="F30" s="51"/>
      <c r="G30" s="291" t="s">
        <v>137</v>
      </c>
      <c r="H30" s="51">
        <v>1.7767999999999999</v>
      </c>
      <c r="I30" s="51">
        <v>1.7927999999999999</v>
      </c>
      <c r="J30" s="51">
        <v>1.8081</v>
      </c>
      <c r="K30" s="51">
        <f>(H30+I30+J30)/3</f>
        <v>1.7925666666666666</v>
      </c>
    </row>
    <row r="31" spans="1:11" ht="13.5" thickTop="1" x14ac:dyDescent="0.2">
      <c r="A31" s="292"/>
      <c r="B31" s="289"/>
      <c r="C31" s="289"/>
      <c r="D31" s="289"/>
      <c r="E31" s="290"/>
      <c r="F31" s="51"/>
      <c r="G31" s="51"/>
      <c r="H31" s="51"/>
      <c r="I31" s="51"/>
      <c r="J31" s="51"/>
      <c r="K31" s="51"/>
    </row>
    <row r="32" spans="1:11" x14ac:dyDescent="0.2">
      <c r="A32" s="292" t="s">
        <v>131</v>
      </c>
      <c r="B32" s="306">
        <f>B30</f>
        <v>382736.23615000001</v>
      </c>
      <c r="C32" s="306">
        <f>C30</f>
        <v>405499.08557699999</v>
      </c>
      <c r="D32" s="306">
        <f>D30</f>
        <v>421994.04849800002</v>
      </c>
      <c r="E32" s="307">
        <f>E30</f>
        <v>349401.48393300001</v>
      </c>
      <c r="F32" s="51"/>
      <c r="G32" s="51"/>
      <c r="H32" s="51"/>
      <c r="I32" s="51"/>
      <c r="J32" s="51"/>
      <c r="K32" s="51"/>
    </row>
    <row r="33" spans="1:11" x14ac:dyDescent="0.2">
      <c r="A33" s="292"/>
      <c r="B33" s="291"/>
      <c r="C33" s="291"/>
      <c r="D33" s="291"/>
      <c r="E33" s="293"/>
      <c r="F33" s="51"/>
      <c r="G33" s="51"/>
      <c r="H33" s="51"/>
      <c r="I33" s="51"/>
      <c r="J33" s="51"/>
      <c r="K33" s="51"/>
    </row>
    <row r="34" spans="1:11" ht="13.5" thickBot="1" x14ac:dyDescent="0.25">
      <c r="A34" s="308" t="s">
        <v>126</v>
      </c>
      <c r="B34" s="309">
        <f>B32+C32+D32+E32</f>
        <v>1559630.8541580001</v>
      </c>
      <c r="C34" s="310"/>
      <c r="D34" s="310"/>
      <c r="E34" s="311"/>
      <c r="F34" s="51"/>
      <c r="G34" s="51"/>
      <c r="H34" s="51"/>
      <c r="I34" s="51"/>
      <c r="J34" s="51"/>
      <c r="K34" s="51"/>
    </row>
    <row r="35" spans="1:11" ht="13.5" thickBot="1" x14ac:dyDescent="0.25"/>
    <row r="36" spans="1:11" x14ac:dyDescent="0.2">
      <c r="A36" s="202" t="s">
        <v>157</v>
      </c>
      <c r="B36" s="192"/>
      <c r="C36" s="192"/>
      <c r="D36" s="192"/>
      <c r="E36" s="193"/>
    </row>
    <row r="37" spans="1:11" x14ac:dyDescent="0.2">
      <c r="A37" s="203" t="s">
        <v>114</v>
      </c>
      <c r="B37" s="3"/>
      <c r="C37" s="3"/>
      <c r="D37" s="3"/>
      <c r="E37" s="196"/>
      <c r="G37" s="256" t="s">
        <v>132</v>
      </c>
      <c r="H37" t="s">
        <v>133</v>
      </c>
      <c r="I37" t="s">
        <v>134</v>
      </c>
      <c r="J37" t="s">
        <v>135</v>
      </c>
      <c r="K37" t="s">
        <v>136</v>
      </c>
    </row>
    <row r="38" spans="1:11" x14ac:dyDescent="0.2">
      <c r="A38" s="195"/>
      <c r="B38" s="137" t="s">
        <v>158</v>
      </c>
      <c r="C38" s="137" t="s">
        <v>163</v>
      </c>
      <c r="D38" s="137" t="s">
        <v>164</v>
      </c>
      <c r="E38" s="204" t="s">
        <v>165</v>
      </c>
      <c r="G38" s="256" t="s">
        <v>137</v>
      </c>
      <c r="H38" s="257">
        <v>1.7619</v>
      </c>
      <c r="I38" s="257">
        <v>1.7617</v>
      </c>
      <c r="J38" s="257">
        <v>1.9123000000000001</v>
      </c>
      <c r="K38" s="258">
        <f>(H38+I38+J38)/3</f>
        <v>1.8119666666666667</v>
      </c>
    </row>
    <row r="39" spans="1:11" x14ac:dyDescent="0.2">
      <c r="A39" s="188" t="s">
        <v>119</v>
      </c>
      <c r="B39" s="198">
        <v>44163</v>
      </c>
      <c r="C39" s="198">
        <v>44697</v>
      </c>
      <c r="D39" s="198">
        <v>53518</v>
      </c>
      <c r="E39" s="283">
        <v>46465</v>
      </c>
    </row>
    <row r="40" spans="1:11" x14ac:dyDescent="0.2">
      <c r="A40" s="188" t="s">
        <v>120</v>
      </c>
      <c r="B40" s="198"/>
      <c r="C40" s="198"/>
      <c r="D40" s="198"/>
      <c r="E40" s="283"/>
      <c r="G40" s="256" t="s">
        <v>139</v>
      </c>
      <c r="H40" t="s">
        <v>141</v>
      </c>
      <c r="I40" t="s">
        <v>142</v>
      </c>
      <c r="J40" t="s">
        <v>143</v>
      </c>
      <c r="K40" t="s">
        <v>136</v>
      </c>
    </row>
    <row r="41" spans="1:11" x14ac:dyDescent="0.2">
      <c r="A41" s="188" t="s">
        <v>121</v>
      </c>
      <c r="B41" s="198">
        <v>38938</v>
      </c>
      <c r="C41" s="198">
        <v>55084</v>
      </c>
      <c r="D41" s="198">
        <v>61573</v>
      </c>
      <c r="E41" s="283">
        <v>50482</v>
      </c>
      <c r="G41" s="256" t="s">
        <v>137</v>
      </c>
      <c r="H41" s="257">
        <v>1.7991999999999999</v>
      </c>
      <c r="I41" s="257">
        <v>1.7821</v>
      </c>
      <c r="J41" s="257">
        <v>1.712</v>
      </c>
      <c r="K41" s="258">
        <f>(H41+I41+J41)/3</f>
        <v>1.7644333333333331</v>
      </c>
    </row>
    <row r="42" spans="1:11" x14ac:dyDescent="0.2">
      <c r="A42" s="188" t="s">
        <v>122</v>
      </c>
      <c r="B42" s="198">
        <v>64745</v>
      </c>
      <c r="C42" s="198">
        <v>55683</v>
      </c>
      <c r="D42" s="198">
        <v>82268</v>
      </c>
      <c r="E42" s="283">
        <v>67775</v>
      </c>
    </row>
    <row r="43" spans="1:11" x14ac:dyDescent="0.2">
      <c r="A43" s="188" t="s">
        <v>123</v>
      </c>
      <c r="B43" s="198">
        <v>51796</v>
      </c>
      <c r="C43" s="198">
        <v>54711</v>
      </c>
      <c r="D43" s="198">
        <v>65364</v>
      </c>
      <c r="E43" s="283">
        <v>70778</v>
      </c>
      <c r="G43" s="256" t="s">
        <v>140</v>
      </c>
      <c r="H43" t="s">
        <v>144</v>
      </c>
      <c r="I43" t="s">
        <v>145</v>
      </c>
      <c r="J43" t="s">
        <v>146</v>
      </c>
      <c r="K43" t="s">
        <v>136</v>
      </c>
    </row>
    <row r="44" spans="1:11" x14ac:dyDescent="0.2">
      <c r="A44" s="188" t="s">
        <v>55</v>
      </c>
      <c r="B44" s="199">
        <f>SUM(B39:B43)</f>
        <v>199642</v>
      </c>
      <c r="C44" s="199">
        <f>SUM(C39:C43)</f>
        <v>210175</v>
      </c>
      <c r="D44" s="199">
        <f>SUM(D39:D43)</f>
        <v>262723</v>
      </c>
      <c r="E44" s="206">
        <f>SUM(E39:E43)</f>
        <v>235500</v>
      </c>
      <c r="G44" s="256" t="s">
        <v>137</v>
      </c>
      <c r="H44" s="257">
        <v>1.7723</v>
      </c>
      <c r="I44" s="257">
        <v>1.7355</v>
      </c>
      <c r="J44" s="257">
        <v>1.6958</v>
      </c>
      <c r="K44" s="258">
        <f>(H44+I44+J44)/3</f>
        <v>1.7345333333333333</v>
      </c>
    </row>
    <row r="45" spans="1:11" x14ac:dyDescent="0.2">
      <c r="A45" s="195"/>
      <c r="B45" s="3"/>
      <c r="C45" s="3"/>
      <c r="D45" s="3"/>
      <c r="E45" s="196"/>
    </row>
    <row r="46" spans="1:11" x14ac:dyDescent="0.2">
      <c r="A46" s="195" t="s">
        <v>124</v>
      </c>
      <c r="B46" s="200">
        <v>1.8120000000000001</v>
      </c>
      <c r="C46" s="207">
        <v>1.7644</v>
      </c>
      <c r="D46" s="207">
        <v>1.7344999999999999</v>
      </c>
      <c r="E46" s="208">
        <v>1.6157999999999999</v>
      </c>
      <c r="G46" s="256" t="s">
        <v>150</v>
      </c>
      <c r="H46" t="s">
        <v>151</v>
      </c>
      <c r="I46" t="s">
        <v>152</v>
      </c>
      <c r="J46" t="s">
        <v>153</v>
      </c>
      <c r="K46" t="s">
        <v>136</v>
      </c>
    </row>
    <row r="47" spans="1:11" ht="13.5" thickBot="1" x14ac:dyDescent="0.25">
      <c r="A47" s="194" t="s">
        <v>125</v>
      </c>
      <c r="B47" s="201">
        <f>B44*B46</f>
        <v>361751.304</v>
      </c>
      <c r="C47" s="201">
        <f>C44*C46</f>
        <v>370832.77</v>
      </c>
      <c r="D47" s="201">
        <f>D44*D46</f>
        <v>455693.04349999997</v>
      </c>
      <c r="E47" s="209">
        <f>E44*E46</f>
        <v>380520.89999999997</v>
      </c>
      <c r="G47" s="256" t="s">
        <v>137</v>
      </c>
      <c r="H47">
        <v>1.708</v>
      </c>
      <c r="I47">
        <v>1.599</v>
      </c>
      <c r="J47">
        <v>1.5403</v>
      </c>
      <c r="K47" s="258">
        <f>(H47+I47+J47)/3</f>
        <v>1.6157666666666666</v>
      </c>
    </row>
    <row r="48" spans="1:11" ht="13.5" thickTop="1" x14ac:dyDescent="0.2">
      <c r="A48" s="195"/>
      <c r="B48" s="3"/>
      <c r="C48" s="3"/>
      <c r="D48" s="3"/>
      <c r="E48" s="196"/>
    </row>
    <row r="49" spans="1:11" x14ac:dyDescent="0.2">
      <c r="A49" s="195" t="s">
        <v>131</v>
      </c>
      <c r="B49" s="210">
        <f>B47</f>
        <v>361751.304</v>
      </c>
      <c r="C49" s="210">
        <f>C47</f>
        <v>370832.77</v>
      </c>
      <c r="D49" s="210">
        <f>D47</f>
        <v>455693.04349999997</v>
      </c>
      <c r="E49" s="211">
        <f>E47</f>
        <v>380520.89999999997</v>
      </c>
    </row>
    <row r="50" spans="1:11" x14ac:dyDescent="0.2">
      <c r="A50" s="195"/>
      <c r="B50" s="137"/>
      <c r="C50" s="137"/>
      <c r="D50" s="137"/>
      <c r="E50" s="204"/>
    </row>
    <row r="51" spans="1:11" ht="13.5" thickBot="1" x14ac:dyDescent="0.25">
      <c r="A51" s="197" t="s">
        <v>126</v>
      </c>
      <c r="B51" s="212">
        <f>B49+C49+D49+E49</f>
        <v>1568798.0174999998</v>
      </c>
      <c r="C51" s="213"/>
      <c r="D51" s="213"/>
      <c r="E51" s="214"/>
    </row>
    <row r="52" spans="1:11" ht="13.5" thickBot="1" x14ac:dyDescent="0.25"/>
    <row r="53" spans="1:11" x14ac:dyDescent="0.2">
      <c r="A53" s="202" t="s">
        <v>179</v>
      </c>
      <c r="B53" s="192"/>
      <c r="C53" s="192"/>
      <c r="D53" s="192"/>
      <c r="E53" s="193"/>
    </row>
    <row r="54" spans="1:11" x14ac:dyDescent="0.2">
      <c r="A54" s="203" t="s">
        <v>114</v>
      </c>
      <c r="B54" s="3"/>
      <c r="C54" s="3"/>
      <c r="D54" s="3"/>
      <c r="E54" s="196"/>
      <c r="G54" s="256" t="s">
        <v>132</v>
      </c>
      <c r="H54" t="s">
        <v>133</v>
      </c>
      <c r="I54" t="s">
        <v>134</v>
      </c>
      <c r="J54" t="s">
        <v>135</v>
      </c>
      <c r="K54" t="s">
        <v>136</v>
      </c>
    </row>
    <row r="55" spans="1:11" x14ac:dyDescent="0.2">
      <c r="A55" s="195"/>
      <c r="B55" s="137" t="s">
        <v>184</v>
      </c>
      <c r="C55" s="137" t="s">
        <v>185</v>
      </c>
      <c r="D55" s="137" t="s">
        <v>186</v>
      </c>
      <c r="E55" s="204" t="s">
        <v>187</v>
      </c>
      <c r="G55" s="256" t="s">
        <v>137</v>
      </c>
      <c r="H55" s="351">
        <v>1.5529999999999999</v>
      </c>
      <c r="I55" s="257">
        <v>1.5179</v>
      </c>
      <c r="J55" s="473">
        <v>1.5907</v>
      </c>
      <c r="K55" s="258">
        <f>(H55+I55+J55)/3</f>
        <v>1.5538666666666667</v>
      </c>
    </row>
    <row r="56" spans="1:11" x14ac:dyDescent="0.2">
      <c r="A56" s="188" t="s">
        <v>119</v>
      </c>
      <c r="B56" s="198">
        <v>43383</v>
      </c>
      <c r="C56" s="198">
        <v>52950</v>
      </c>
      <c r="D56" s="198">
        <v>58734</v>
      </c>
      <c r="E56" s="283">
        <v>57510</v>
      </c>
    </row>
    <row r="57" spans="1:11" x14ac:dyDescent="0.2">
      <c r="A57" s="188" t="s">
        <v>120</v>
      </c>
      <c r="B57" s="198"/>
      <c r="C57" s="198">
        <f>3676+1414</f>
        <v>5090</v>
      </c>
      <c r="D57" s="198">
        <v>3132</v>
      </c>
      <c r="E57" s="283"/>
      <c r="G57" s="256" t="s">
        <v>139</v>
      </c>
      <c r="H57" t="s">
        <v>141</v>
      </c>
      <c r="I57" t="s">
        <v>142</v>
      </c>
      <c r="J57" t="s">
        <v>143</v>
      </c>
      <c r="K57" t="s">
        <v>136</v>
      </c>
    </row>
    <row r="58" spans="1:11" x14ac:dyDescent="0.2">
      <c r="A58" s="188" t="s">
        <v>121</v>
      </c>
      <c r="B58" s="198">
        <v>50039</v>
      </c>
      <c r="C58" s="198">
        <v>47480</v>
      </c>
      <c r="D58" s="198">
        <v>52259</v>
      </c>
      <c r="E58" s="283">
        <v>49927</v>
      </c>
      <c r="G58" s="256" t="s">
        <v>137</v>
      </c>
      <c r="H58" s="473">
        <v>1.6122000000000001</v>
      </c>
      <c r="I58" s="364">
        <v>1.6348</v>
      </c>
      <c r="J58" s="364">
        <v>1.6132</v>
      </c>
      <c r="K58" s="258">
        <f>(H58+I58+J58)/3</f>
        <v>1.6200666666666665</v>
      </c>
    </row>
    <row r="59" spans="1:11" x14ac:dyDescent="0.2">
      <c r="A59" s="188" t="s">
        <v>122</v>
      </c>
      <c r="B59" s="198">
        <v>74214</v>
      </c>
      <c r="C59" s="198">
        <v>73351</v>
      </c>
      <c r="D59" s="198">
        <v>63950</v>
      </c>
      <c r="E59" s="283">
        <v>62135</v>
      </c>
    </row>
    <row r="60" spans="1:11" x14ac:dyDescent="0.2">
      <c r="A60" s="399" t="s">
        <v>200</v>
      </c>
      <c r="B60" s="198">
        <v>82090</v>
      </c>
      <c r="C60" s="198">
        <v>86813</v>
      </c>
      <c r="D60" s="198">
        <v>87052</v>
      </c>
      <c r="E60" s="283">
        <v>95173</v>
      </c>
      <c r="G60" s="256" t="s">
        <v>140</v>
      </c>
      <c r="K60" t="s">
        <v>136</v>
      </c>
    </row>
    <row r="61" spans="1:11" x14ac:dyDescent="0.2">
      <c r="A61" s="188" t="s">
        <v>55</v>
      </c>
      <c r="B61" s="199">
        <f>SUM(B56:B60)</f>
        <v>249726</v>
      </c>
      <c r="C61" s="199">
        <f>SUM(C56:C60)</f>
        <v>265684</v>
      </c>
      <c r="D61" s="199">
        <f>SUM(D56:D60)</f>
        <v>265127</v>
      </c>
      <c r="E61" s="206">
        <f>SUM(E56:E60)</f>
        <v>264745</v>
      </c>
      <c r="G61" s="256" t="s">
        <v>137</v>
      </c>
      <c r="H61" s="257">
        <v>1.6271</v>
      </c>
      <c r="I61" s="257">
        <v>1.5978000000000001</v>
      </c>
      <c r="J61" s="257">
        <v>1.5561</v>
      </c>
      <c r="K61" s="258">
        <f>(H61+I61+J61)/3</f>
        <v>1.5936666666666666</v>
      </c>
    </row>
    <row r="62" spans="1:11" x14ac:dyDescent="0.2">
      <c r="A62" s="195"/>
      <c r="B62" s="3"/>
      <c r="C62" s="3"/>
      <c r="D62" s="3"/>
      <c r="E62" s="196"/>
    </row>
    <row r="63" spans="1:11" x14ac:dyDescent="0.2">
      <c r="A63" s="195" t="s">
        <v>124</v>
      </c>
      <c r="B63" s="200">
        <f>K55</f>
        <v>1.5538666666666667</v>
      </c>
      <c r="C63" s="207">
        <f>K58</f>
        <v>1.6200666666666665</v>
      </c>
      <c r="D63" s="207">
        <f>K61</f>
        <v>1.5936666666666666</v>
      </c>
      <c r="E63" s="208">
        <f>K64</f>
        <v>1.5808</v>
      </c>
      <c r="G63" s="256" t="s">
        <v>150</v>
      </c>
      <c r="K63" t="s">
        <v>136</v>
      </c>
    </row>
    <row r="64" spans="1:11" ht="13.5" thickBot="1" x14ac:dyDescent="0.25">
      <c r="A64" s="194" t="s">
        <v>125</v>
      </c>
      <c r="B64" s="201">
        <f>B61*B63</f>
        <v>388040.90720000002</v>
      </c>
      <c r="C64" s="201">
        <f>C61*C63</f>
        <v>430425.79226666666</v>
      </c>
      <c r="D64" s="201">
        <f>D61*D63</f>
        <v>422524.06233333331</v>
      </c>
      <c r="E64" s="209">
        <f>E61*E63</f>
        <v>418508.89600000001</v>
      </c>
      <c r="G64" s="256" t="s">
        <v>137</v>
      </c>
      <c r="H64" s="257">
        <v>1.6040000000000001</v>
      </c>
      <c r="I64" s="473">
        <v>1.5801000000000001</v>
      </c>
      <c r="J64" s="257">
        <v>1.5583</v>
      </c>
      <c r="K64" s="258">
        <f>(H64+I64+J64)/3</f>
        <v>1.5808</v>
      </c>
    </row>
    <row r="65" spans="1:11" ht="13.5" thickTop="1" x14ac:dyDescent="0.2">
      <c r="A65" s="195"/>
      <c r="B65" s="3"/>
      <c r="C65" s="3"/>
      <c r="D65" s="3"/>
      <c r="E65" s="196"/>
    </row>
    <row r="66" spans="1:11" x14ac:dyDescent="0.2">
      <c r="A66" s="195" t="s">
        <v>131</v>
      </c>
      <c r="B66" s="210">
        <f>B64</f>
        <v>388040.90720000002</v>
      </c>
      <c r="C66" s="210">
        <f>C64</f>
        <v>430425.79226666666</v>
      </c>
      <c r="D66" s="210">
        <f>D64</f>
        <v>422524.06233333331</v>
      </c>
      <c r="E66" s="211">
        <f>E64</f>
        <v>418508.89600000001</v>
      </c>
    </row>
    <row r="67" spans="1:11" x14ac:dyDescent="0.2">
      <c r="A67" s="195"/>
      <c r="B67" s="137"/>
      <c r="C67" s="137"/>
      <c r="D67" s="137"/>
      <c r="E67" s="204"/>
    </row>
    <row r="68" spans="1:11" ht="13.5" thickBot="1" x14ac:dyDescent="0.25">
      <c r="A68" s="197" t="s">
        <v>126</v>
      </c>
      <c r="B68" s="212">
        <f>B66+C66+D66+E66</f>
        <v>1659499.6577999999</v>
      </c>
      <c r="C68" s="213"/>
      <c r="D68" s="213"/>
      <c r="E68" s="214"/>
    </row>
    <row r="69" spans="1:11" ht="13.5" thickBot="1" x14ac:dyDescent="0.25"/>
    <row r="70" spans="1:11" x14ac:dyDescent="0.2">
      <c r="A70" s="202" t="s">
        <v>205</v>
      </c>
      <c r="B70" s="192"/>
      <c r="C70" s="192"/>
      <c r="D70" s="192"/>
      <c r="E70" s="193"/>
    </row>
    <row r="71" spans="1:11" x14ac:dyDescent="0.2">
      <c r="A71" s="203" t="s">
        <v>114</v>
      </c>
      <c r="B71" s="3"/>
      <c r="C71" s="3"/>
      <c r="D71" s="3"/>
      <c r="E71" s="196"/>
      <c r="G71" s="256" t="s">
        <v>132</v>
      </c>
      <c r="H71" t="s">
        <v>133</v>
      </c>
      <c r="I71" t="s">
        <v>134</v>
      </c>
      <c r="J71" t="s">
        <v>135</v>
      </c>
      <c r="K71" t="s">
        <v>136</v>
      </c>
    </row>
    <row r="72" spans="1:11" x14ac:dyDescent="0.2">
      <c r="A72" s="195"/>
      <c r="B72" s="137" t="s">
        <v>207</v>
      </c>
      <c r="C72" s="137" t="s">
        <v>208</v>
      </c>
      <c r="D72" s="137" t="s">
        <v>209</v>
      </c>
      <c r="E72" s="204" t="s">
        <v>210</v>
      </c>
      <c r="F72" s="256" t="s">
        <v>233</v>
      </c>
      <c r="G72" s="256" t="s">
        <v>137</v>
      </c>
      <c r="H72" s="351">
        <v>1.5823</v>
      </c>
      <c r="I72" s="257">
        <v>1.5940000000000001</v>
      </c>
      <c r="J72" s="473">
        <v>1.5474000000000001</v>
      </c>
      <c r="K72" s="258">
        <f>(H72+I72+J72)/3</f>
        <v>1.5745666666666669</v>
      </c>
    </row>
    <row r="73" spans="1:11" x14ac:dyDescent="0.2">
      <c r="A73" s="399" t="s">
        <v>217</v>
      </c>
      <c r="B73" s="198">
        <v>73040</v>
      </c>
      <c r="C73" s="198">
        <v>76527</v>
      </c>
      <c r="D73" s="198">
        <v>70303</v>
      </c>
      <c r="E73" s="283">
        <f>F73-SUM(B73:D73)</f>
        <v>64093</v>
      </c>
      <c r="F73" s="472">
        <v>283963</v>
      </c>
    </row>
    <row r="74" spans="1:11" x14ac:dyDescent="0.2">
      <c r="A74" s="399" t="s">
        <v>216</v>
      </c>
      <c r="B74" s="198">
        <v>2472</v>
      </c>
      <c r="C74" s="198">
        <v>2724</v>
      </c>
      <c r="D74" s="198">
        <v>2776</v>
      </c>
      <c r="E74" s="283">
        <f>F74-SUM(B74:D74)</f>
        <v>2756</v>
      </c>
      <c r="F74" s="472">
        <v>10728</v>
      </c>
      <c r="G74" s="256" t="s">
        <v>139</v>
      </c>
      <c r="H74" t="s">
        <v>141</v>
      </c>
      <c r="I74" t="s">
        <v>142</v>
      </c>
      <c r="J74" t="s">
        <v>143</v>
      </c>
      <c r="K74" t="s">
        <v>136</v>
      </c>
    </row>
    <row r="75" spans="1:11" x14ac:dyDescent="0.2">
      <c r="A75" s="188" t="s">
        <v>121</v>
      </c>
      <c r="B75" s="198">
        <v>63896</v>
      </c>
      <c r="C75" s="198">
        <v>65464</v>
      </c>
      <c r="D75" s="198">
        <v>57467</v>
      </c>
      <c r="E75" s="283">
        <f>F75-SUM(B75:D75)</f>
        <v>58420</v>
      </c>
      <c r="F75" s="472">
        <v>245247</v>
      </c>
      <c r="G75" s="256" t="s">
        <v>137</v>
      </c>
      <c r="H75" s="473">
        <v>1.5686</v>
      </c>
      <c r="I75" s="257">
        <v>1.5925</v>
      </c>
      <c r="J75" s="257">
        <v>1.6286</v>
      </c>
      <c r="K75" s="258">
        <f>(H75+I75+J75)/3</f>
        <v>1.5965666666666667</v>
      </c>
    </row>
    <row r="76" spans="1:11" x14ac:dyDescent="0.2">
      <c r="A76" s="188" t="s">
        <v>122</v>
      </c>
      <c r="B76" s="198">
        <v>92392</v>
      </c>
      <c r="C76" s="198">
        <v>91766</v>
      </c>
      <c r="D76" s="198">
        <v>88020</v>
      </c>
      <c r="E76" s="283">
        <f>F76-SUM(B76:D76)</f>
        <v>83559</v>
      </c>
      <c r="F76" s="472">
        <v>355737</v>
      </c>
    </row>
    <row r="77" spans="1:11" x14ac:dyDescent="0.2">
      <c r="A77" s="399" t="s">
        <v>200</v>
      </c>
      <c r="B77" s="198">
        <v>103249</v>
      </c>
      <c r="C77" s="198">
        <v>103058</v>
      </c>
      <c r="D77" s="198">
        <v>94119</v>
      </c>
      <c r="E77" s="283">
        <f>F77-SUM(B77:D77)</f>
        <v>85407</v>
      </c>
      <c r="F77" s="472">
        <v>385833</v>
      </c>
      <c r="G77" s="256" t="s">
        <v>140</v>
      </c>
      <c r="H77" s="407" t="s">
        <v>144</v>
      </c>
      <c r="I77" s="407" t="s">
        <v>145</v>
      </c>
      <c r="J77" s="2" t="s">
        <v>146</v>
      </c>
      <c r="K77" t="s">
        <v>136</v>
      </c>
    </row>
    <row r="78" spans="1:11" x14ac:dyDescent="0.2">
      <c r="A78" s="188" t="s">
        <v>55</v>
      </c>
      <c r="B78" s="199">
        <f>SUM(B73:B77)</f>
        <v>335049</v>
      </c>
      <c r="C78" s="199">
        <f>SUM(C73:C77)</f>
        <v>339539</v>
      </c>
      <c r="D78" s="199">
        <f>SUM(D73:D77)</f>
        <v>312685</v>
      </c>
      <c r="E78" s="206">
        <f>SUM(E73:E77)</f>
        <v>294235</v>
      </c>
      <c r="G78" s="256" t="s">
        <v>137</v>
      </c>
      <c r="H78" s="257">
        <v>1.6014999999999999</v>
      </c>
      <c r="I78" s="257">
        <v>1.6013999999999999</v>
      </c>
      <c r="J78" s="257">
        <v>1.5822000000000001</v>
      </c>
      <c r="K78" s="258">
        <f>(H78+I78+J78)/3</f>
        <v>1.5950333333333333</v>
      </c>
    </row>
    <row r="79" spans="1:11" x14ac:dyDescent="0.2">
      <c r="A79" s="188"/>
      <c r="B79" s="477"/>
      <c r="C79" s="477"/>
      <c r="D79" s="477"/>
      <c r="E79" s="478"/>
    </row>
    <row r="80" spans="1:11" x14ac:dyDescent="0.2">
      <c r="A80" s="399" t="s">
        <v>235</v>
      </c>
      <c r="B80" s="477">
        <v>0</v>
      </c>
      <c r="C80" s="477">
        <v>0</v>
      </c>
      <c r="D80" s="477">
        <v>0</v>
      </c>
      <c r="E80" s="478">
        <v>448523</v>
      </c>
      <c r="G80" s="256" t="s">
        <v>150</v>
      </c>
      <c r="H80" s="476" t="s">
        <v>155</v>
      </c>
      <c r="I80" s="476" t="s">
        <v>156</v>
      </c>
      <c r="J80" s="476" t="s">
        <v>154</v>
      </c>
      <c r="K80" t="s">
        <v>136</v>
      </c>
    </row>
    <row r="81" spans="1:11" x14ac:dyDescent="0.2">
      <c r="A81" s="195"/>
      <c r="B81" s="3"/>
      <c r="C81" s="3"/>
      <c r="D81" s="3"/>
      <c r="E81" s="196"/>
      <c r="G81" s="256" t="s">
        <v>137</v>
      </c>
      <c r="H81" s="475">
        <v>1.5789</v>
      </c>
      <c r="I81" s="474">
        <v>1.5758000000000001</v>
      </c>
      <c r="J81" s="475">
        <v>1.5960000000000001</v>
      </c>
      <c r="K81" s="258">
        <f>(H81+I81+J81)/3</f>
        <v>1.5835666666666668</v>
      </c>
    </row>
    <row r="82" spans="1:11" x14ac:dyDescent="0.2">
      <c r="A82" s="195" t="s">
        <v>124</v>
      </c>
      <c r="B82" s="200">
        <f>K72</f>
        <v>1.5745666666666669</v>
      </c>
      <c r="C82" s="207">
        <f>K75</f>
        <v>1.5965666666666667</v>
      </c>
      <c r="D82" s="207">
        <f>K78</f>
        <v>1.5950333333333333</v>
      </c>
      <c r="E82" s="208">
        <f>K81</f>
        <v>1.5835666666666668</v>
      </c>
    </row>
    <row r="83" spans="1:11" ht="13.5" thickBot="1" x14ac:dyDescent="0.25">
      <c r="A83" s="194" t="s">
        <v>125</v>
      </c>
      <c r="B83" s="201">
        <f>(B78+B80)*B82</f>
        <v>527556.98710000003</v>
      </c>
      <c r="C83" s="201">
        <f>(C78+C80)*C82</f>
        <v>542096.64943333331</v>
      </c>
      <c r="D83" s="201">
        <f>(D78+D80)*D82</f>
        <v>498742.99783333333</v>
      </c>
      <c r="E83" s="209">
        <f>(E78)*E82+E80*J81</f>
        <v>1181783.4461666667</v>
      </c>
      <c r="F83" s="479"/>
    </row>
    <row r="84" spans="1:11" ht="13.5" thickTop="1" x14ac:dyDescent="0.2">
      <c r="A84" s="195"/>
      <c r="B84" s="3"/>
      <c r="C84" s="3"/>
      <c r="D84" s="3"/>
      <c r="E84" s="196"/>
    </row>
    <row r="85" spans="1:11" x14ac:dyDescent="0.2">
      <c r="A85" s="195" t="s">
        <v>131</v>
      </c>
      <c r="B85" s="210">
        <f>B83</f>
        <v>527556.98710000003</v>
      </c>
      <c r="C85" s="210">
        <f>C83</f>
        <v>542096.64943333331</v>
      </c>
      <c r="D85" s="210">
        <f>D83</f>
        <v>498742.99783333333</v>
      </c>
      <c r="E85" s="211">
        <f>E83</f>
        <v>1181783.4461666667</v>
      </c>
    </row>
    <row r="86" spans="1:11" x14ac:dyDescent="0.2">
      <c r="A86" s="195"/>
      <c r="B86" s="137"/>
      <c r="C86" s="137"/>
      <c r="D86" s="137"/>
      <c r="E86" s="204"/>
    </row>
    <row r="87" spans="1:11" ht="13.5" thickBot="1" x14ac:dyDescent="0.25">
      <c r="A87" s="197" t="s">
        <v>126</v>
      </c>
      <c r="B87" s="212">
        <f>B85+C85+D85+E85</f>
        <v>2750180.0805333336</v>
      </c>
      <c r="C87" s="213"/>
      <c r="D87" s="213"/>
      <c r="E87" s="214"/>
    </row>
    <row r="88" spans="1:11" ht="13.5" thickBot="1" x14ac:dyDescent="0.25"/>
    <row r="89" spans="1:11" s="480" customFormat="1" x14ac:dyDescent="0.2">
      <c r="A89" s="202" t="s">
        <v>256</v>
      </c>
      <c r="B89" s="192"/>
      <c r="C89" s="192"/>
      <c r="D89" s="192"/>
      <c r="E89" s="193"/>
    </row>
    <row r="90" spans="1:11" s="480" customFormat="1" x14ac:dyDescent="0.2">
      <c r="A90" s="203" t="s">
        <v>114</v>
      </c>
      <c r="B90" s="481"/>
      <c r="C90" s="481"/>
      <c r="D90" s="481"/>
      <c r="E90" s="196"/>
      <c r="H90" s="256" t="s">
        <v>132</v>
      </c>
      <c r="I90" s="256" t="s">
        <v>139</v>
      </c>
      <c r="J90" s="256" t="s">
        <v>140</v>
      </c>
      <c r="K90" s="256" t="s">
        <v>150</v>
      </c>
    </row>
    <row r="91" spans="1:11" s="480" customFormat="1" x14ac:dyDescent="0.2">
      <c r="A91" s="195"/>
      <c r="B91" s="137" t="s">
        <v>258</v>
      </c>
      <c r="C91" s="137" t="s">
        <v>259</v>
      </c>
      <c r="D91" s="137" t="s">
        <v>260</v>
      </c>
      <c r="E91" s="204" t="s">
        <v>261</v>
      </c>
      <c r="F91" s="256"/>
      <c r="G91" s="256" t="s">
        <v>137</v>
      </c>
      <c r="H91" s="258">
        <v>1.5998000000000001</v>
      </c>
      <c r="I91" s="258">
        <v>1.5858000000000001</v>
      </c>
      <c r="J91" s="258">
        <v>1.6043000000000001</v>
      </c>
      <c r="K91" s="258">
        <v>1.5618000000000001</v>
      </c>
    </row>
    <row r="92" spans="1:11" s="480" customFormat="1" x14ac:dyDescent="0.2">
      <c r="A92" s="399" t="s">
        <v>262</v>
      </c>
      <c r="B92" s="198">
        <v>836755</v>
      </c>
      <c r="C92" s="198">
        <v>849338</v>
      </c>
      <c r="D92" s="198">
        <v>652370</v>
      </c>
      <c r="E92" s="283">
        <f>744141</f>
        <v>744141</v>
      </c>
      <c r="F92" s="472" t="s">
        <v>291</v>
      </c>
    </row>
    <row r="93" spans="1:11" s="480" customFormat="1" x14ac:dyDescent="0.2">
      <c r="A93" s="195"/>
      <c r="B93" s="481"/>
      <c r="C93" s="481"/>
      <c r="D93" s="481"/>
      <c r="E93" s="196"/>
    </row>
    <row r="94" spans="1:11" s="480" customFormat="1" x14ac:dyDescent="0.2">
      <c r="A94" s="195" t="s">
        <v>124</v>
      </c>
      <c r="B94" s="200">
        <f>H91</f>
        <v>1.5998000000000001</v>
      </c>
      <c r="C94" s="207">
        <f>I91</f>
        <v>1.5858000000000001</v>
      </c>
      <c r="D94" s="207">
        <f>J91</f>
        <v>1.6043000000000001</v>
      </c>
      <c r="E94" s="208">
        <f>K91</f>
        <v>1.5618000000000001</v>
      </c>
    </row>
    <row r="95" spans="1:11" s="480" customFormat="1" ht="13.5" thickBot="1" x14ac:dyDescent="0.25">
      <c r="A95" s="194" t="s">
        <v>125</v>
      </c>
      <c r="B95" s="201">
        <f>(B92)*B94</f>
        <v>1338640.6490000002</v>
      </c>
      <c r="C95" s="201">
        <f>(C92)*C94</f>
        <v>1346880.2004</v>
      </c>
      <c r="D95" s="201">
        <f>(D92)*D94</f>
        <v>1046597.191</v>
      </c>
      <c r="E95" s="209">
        <f>(E92)*E94</f>
        <v>1162199.4138</v>
      </c>
      <c r="F95" s="479"/>
    </row>
    <row r="96" spans="1:11" s="480" customFormat="1" ht="13.5" thickTop="1" x14ac:dyDescent="0.2">
      <c r="A96" s="195"/>
      <c r="B96" s="481"/>
      <c r="C96" s="481"/>
      <c r="D96" s="481"/>
      <c r="E96" s="196"/>
    </row>
    <row r="97" spans="1:11" s="480" customFormat="1" x14ac:dyDescent="0.2">
      <c r="A97" s="195" t="s">
        <v>131</v>
      </c>
      <c r="B97" s="210">
        <f>B95</f>
        <v>1338640.6490000002</v>
      </c>
      <c r="C97" s="210">
        <f>C95</f>
        <v>1346880.2004</v>
      </c>
      <c r="D97" s="210">
        <f>D95</f>
        <v>1046597.191</v>
      </c>
      <c r="E97" s="211">
        <f>E95</f>
        <v>1162199.4138</v>
      </c>
      <c r="G97"/>
      <c r="H97"/>
      <c r="I97"/>
      <c r="J97"/>
      <c r="K97"/>
    </row>
    <row r="98" spans="1:11" s="480" customFormat="1" x14ac:dyDescent="0.2">
      <c r="A98" s="195"/>
      <c r="B98" s="137"/>
      <c r="C98" s="137"/>
      <c r="D98" s="137"/>
      <c r="E98" s="204"/>
      <c r="G98"/>
      <c r="H98"/>
      <c r="I98"/>
      <c r="J98"/>
      <c r="K98"/>
    </row>
    <row r="99" spans="1:11" s="480" customFormat="1" ht="13.5" thickBot="1" x14ac:dyDescent="0.25">
      <c r="A99" s="197" t="s">
        <v>126</v>
      </c>
      <c r="B99" s="212">
        <f>B97+C97+D97+E97</f>
        <v>4894317.4542000005</v>
      </c>
      <c r="C99" s="213"/>
      <c r="D99" s="213"/>
      <c r="E99" s="214"/>
      <c r="G99"/>
      <c r="H99"/>
      <c r="I99"/>
      <c r="J99"/>
      <c r="K99"/>
    </row>
    <row r="101" spans="1:11" x14ac:dyDescent="0.2">
      <c r="A101" t="s">
        <v>283</v>
      </c>
      <c r="B101" s="191">
        <v>93708</v>
      </c>
      <c r="C101" s="191">
        <v>84792</v>
      </c>
      <c r="D101" s="191">
        <v>79766</v>
      </c>
      <c r="E101" s="191">
        <v>27303</v>
      </c>
    </row>
    <row r="102" spans="1:11" ht="13.5" thickBot="1" x14ac:dyDescent="0.25">
      <c r="A102" s="194" t="s">
        <v>125</v>
      </c>
      <c r="B102" s="201">
        <f>(B94)*B101</f>
        <v>149914.05840000001</v>
      </c>
      <c r="C102" s="201">
        <f>(C94)*C101</f>
        <v>134463.15360000002</v>
      </c>
      <c r="D102" s="201">
        <f>(D94)*D101</f>
        <v>127968.5938</v>
      </c>
      <c r="E102" s="201">
        <f>(E94)*E101</f>
        <v>42641.825400000002</v>
      </c>
    </row>
    <row r="103" spans="1:11" ht="14.25" thickTop="1" thickBot="1" x14ac:dyDescent="0.25">
      <c r="B103" s="191"/>
      <c r="C103" s="191"/>
      <c r="D103" s="191"/>
      <c r="E103" s="191"/>
    </row>
    <row r="104" spans="1:11" s="480" customFormat="1" x14ac:dyDescent="0.2">
      <c r="A104" s="202" t="s">
        <v>297</v>
      </c>
      <c r="B104" s="192"/>
      <c r="C104" s="192"/>
      <c r="D104" s="192"/>
      <c r="E104" s="193"/>
    </row>
    <row r="105" spans="1:11" s="480" customFormat="1" x14ac:dyDescent="0.2">
      <c r="A105" s="203" t="s">
        <v>114</v>
      </c>
      <c r="B105" s="481"/>
      <c r="C105" s="481"/>
      <c r="D105" s="481"/>
      <c r="E105" s="196"/>
      <c r="H105" s="256" t="s">
        <v>132</v>
      </c>
      <c r="I105" s="256" t="s">
        <v>139</v>
      </c>
      <c r="J105" s="256" t="s">
        <v>140</v>
      </c>
      <c r="K105" s="256" t="s">
        <v>150</v>
      </c>
    </row>
    <row r="106" spans="1:11" s="480" customFormat="1" x14ac:dyDescent="0.2">
      <c r="A106" s="195"/>
      <c r="B106" s="137" t="s">
        <v>299</v>
      </c>
      <c r="C106" s="137" t="s">
        <v>300</v>
      </c>
      <c r="D106" s="137" t="s">
        <v>301</v>
      </c>
      <c r="E106" s="204" t="s">
        <v>302</v>
      </c>
      <c r="F106" s="256"/>
      <c r="G106" s="256" t="s">
        <v>137</v>
      </c>
      <c r="H106" s="258">
        <v>1.5991</v>
      </c>
      <c r="I106" s="258"/>
      <c r="J106" s="258"/>
      <c r="K106" s="258"/>
    </row>
    <row r="107" spans="1:11" s="480" customFormat="1" x14ac:dyDescent="0.2">
      <c r="A107" s="399" t="s">
        <v>262</v>
      </c>
      <c r="B107" s="198">
        <v>983558</v>
      </c>
      <c r="C107" s="198"/>
      <c r="D107" s="198"/>
      <c r="E107" s="283"/>
      <c r="F107" s="472" t="s">
        <v>291</v>
      </c>
    </row>
    <row r="108" spans="1:11" s="480" customFormat="1" x14ac:dyDescent="0.2">
      <c r="A108" s="195"/>
      <c r="B108" s="481"/>
      <c r="C108" s="481"/>
      <c r="D108" s="481"/>
      <c r="E108" s="196"/>
    </row>
    <row r="109" spans="1:11" s="480" customFormat="1" x14ac:dyDescent="0.2">
      <c r="A109" s="195" t="s">
        <v>124</v>
      </c>
      <c r="B109" s="200">
        <f>H106</f>
        <v>1.5991</v>
      </c>
      <c r="C109" s="207">
        <f>I106</f>
        <v>0</v>
      </c>
      <c r="D109" s="207">
        <f>J106</f>
        <v>0</v>
      </c>
      <c r="E109" s="208">
        <f>K106</f>
        <v>0</v>
      </c>
    </row>
    <row r="110" spans="1:11" s="480" customFormat="1" ht="13.5" thickBot="1" x14ac:dyDescent="0.25">
      <c r="A110" s="194" t="s">
        <v>125</v>
      </c>
      <c r="B110" s="201">
        <f>(B107)*B109</f>
        <v>1572807.5977999999</v>
      </c>
      <c r="C110" s="201">
        <f>(C107)*C109</f>
        <v>0</v>
      </c>
      <c r="D110" s="201">
        <f>(D107)*D109</f>
        <v>0</v>
      </c>
      <c r="E110" s="209">
        <f>(E107)*E109</f>
        <v>0</v>
      </c>
      <c r="F110" s="479"/>
    </row>
    <row r="111" spans="1:11" s="480" customFormat="1" ht="13.5" thickTop="1" x14ac:dyDescent="0.2">
      <c r="A111" s="195"/>
      <c r="B111" s="481"/>
      <c r="C111" s="481"/>
      <c r="D111" s="481"/>
      <c r="E111" s="196"/>
    </row>
    <row r="112" spans="1:11" s="480" customFormat="1" x14ac:dyDescent="0.2">
      <c r="A112" s="195" t="s">
        <v>131</v>
      </c>
      <c r="B112" s="210">
        <f>B110</f>
        <v>1572807.5977999999</v>
      </c>
      <c r="C112" s="210">
        <f>C110</f>
        <v>0</v>
      </c>
      <c r="D112" s="210">
        <f>D110</f>
        <v>0</v>
      </c>
      <c r="E112" s="211">
        <f>E110</f>
        <v>0</v>
      </c>
    </row>
    <row r="113" spans="1:5" s="480" customFormat="1" x14ac:dyDescent="0.2">
      <c r="A113" s="195"/>
      <c r="B113" s="137"/>
      <c r="C113" s="137"/>
      <c r="D113" s="137"/>
      <c r="E113" s="204"/>
    </row>
    <row r="114" spans="1:5" s="480" customFormat="1" ht="13.5" thickBot="1" x14ac:dyDescent="0.25">
      <c r="A114" s="197" t="s">
        <v>126</v>
      </c>
      <c r="B114" s="212">
        <f>B112+C112+D112+E112</f>
        <v>1572807.5977999999</v>
      </c>
      <c r="C114" s="213"/>
      <c r="D114" s="213"/>
      <c r="E114" s="214"/>
    </row>
    <row r="115" spans="1:5" s="480" customFormat="1" x14ac:dyDescent="0.2"/>
    <row r="116" spans="1:5" s="480" customFormat="1" x14ac:dyDescent="0.2">
      <c r="A116" s="480" t="s">
        <v>283</v>
      </c>
      <c r="B116" s="191"/>
      <c r="C116" s="191"/>
      <c r="D116" s="191"/>
      <c r="E116" s="191"/>
    </row>
    <row r="117" spans="1:5" s="480" customFormat="1" ht="13.5" thickBot="1" x14ac:dyDescent="0.25">
      <c r="A117" s="194" t="s">
        <v>125</v>
      </c>
      <c r="B117" s="201">
        <f>(B109)*B116</f>
        <v>0</v>
      </c>
      <c r="C117" s="201">
        <f>(C109)*C116</f>
        <v>0</v>
      </c>
      <c r="D117" s="201">
        <f>(D109)*D116</f>
        <v>0</v>
      </c>
      <c r="E117" s="201">
        <f>(E109)*E116</f>
        <v>0</v>
      </c>
    </row>
    <row r="118" spans="1:5" ht="13.5" thickTop="1" x14ac:dyDescent="0.2"/>
  </sheetData>
  <phoneticPr fontId="13" type="noConversion"/>
  <pageMargins left="0.75" right="0.75" top="1" bottom="0.5" header="0.5" footer="0.5"/>
  <pageSetup orientation="landscape" r:id="rId1"/>
  <headerFooter alignWithMargins="0">
    <oddFooter>&amp;L&amp;Z&amp;F&amp;R&amp;D&amp;T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D112"/>
  <sheetViews>
    <sheetView tabSelected="1" topLeftCell="A34" zoomScaleNormal="100" workbookViewId="0">
      <selection activeCell="E42" sqref="E42"/>
    </sheetView>
  </sheetViews>
  <sheetFormatPr defaultColWidth="9.140625" defaultRowHeight="12.75" x14ac:dyDescent="0.2"/>
  <cols>
    <col min="1" max="1" width="2.7109375" style="939" customWidth="1"/>
    <col min="2" max="2" width="45.5703125" style="939" customWidth="1"/>
    <col min="3" max="3" width="14.7109375" style="939" customWidth="1"/>
    <col min="4" max="4" width="11.140625" style="939" customWidth="1"/>
    <col min="5" max="5" width="1.5703125" style="896" customWidth="1"/>
    <col min="6" max="6" width="10" style="896" customWidth="1"/>
    <col min="7" max="7" width="10" style="940" customWidth="1"/>
    <col min="8" max="8" width="10.42578125" style="940" customWidth="1"/>
    <col min="9" max="10" width="10.140625" style="940" customWidth="1"/>
    <col min="11" max="13" width="10" style="940" customWidth="1"/>
    <col min="14" max="14" width="11.85546875" style="940" customWidth="1"/>
    <col min="15" max="15" width="3" style="939" customWidth="1"/>
    <col min="16" max="16" width="11.7109375" style="939" hidden="1" customWidth="1"/>
    <col min="17" max="17" width="11.140625" style="939" hidden="1" customWidth="1"/>
    <col min="18" max="19" width="11.7109375" style="939" customWidth="1"/>
    <col min="20" max="20" width="2.85546875" style="939" customWidth="1"/>
    <col min="21" max="23" width="10.28515625" style="939" customWidth="1"/>
    <col min="24" max="25" width="10.7109375" style="939" customWidth="1"/>
    <col min="26" max="26" width="1.5703125" style="939" customWidth="1"/>
    <col min="27" max="28" width="9.140625" style="895"/>
    <col min="29" max="29" width="25.7109375" style="895" bestFit="1" customWidth="1"/>
    <col min="30" max="30" width="13.85546875" style="895" bestFit="1" customWidth="1"/>
    <col min="31" max="16384" width="9.140625" style="895"/>
  </cols>
  <sheetData>
    <row r="2" spans="1:26" x14ac:dyDescent="0.2">
      <c r="C2" s="940"/>
    </row>
    <row r="5" spans="1:26" x14ac:dyDescent="0.2">
      <c r="A5" s="940"/>
      <c r="B5" s="940"/>
      <c r="C5" s="940"/>
      <c r="D5" s="940"/>
    </row>
    <row r="6" spans="1:26" ht="15" x14ac:dyDescent="0.2">
      <c r="A6" s="941" t="s">
        <v>0</v>
      </c>
      <c r="B6" s="942"/>
      <c r="C6" s="942"/>
      <c r="D6" s="942"/>
      <c r="E6" s="898"/>
      <c r="F6" s="898"/>
      <c r="G6" s="942"/>
      <c r="H6" s="942"/>
      <c r="I6" s="942"/>
      <c r="J6" s="942"/>
      <c r="K6" s="942"/>
      <c r="L6" s="942"/>
      <c r="M6" s="942"/>
      <c r="N6" s="942"/>
    </row>
    <row r="7" spans="1:26" ht="15" x14ac:dyDescent="0.2">
      <c r="A7" s="943"/>
      <c r="B7" s="942"/>
      <c r="C7" s="942"/>
      <c r="D7" s="942"/>
      <c r="E7" s="898"/>
      <c r="F7" s="898"/>
      <c r="G7" s="942"/>
      <c r="H7" s="942"/>
      <c r="I7" s="942"/>
      <c r="J7" s="942"/>
      <c r="K7" s="942"/>
      <c r="L7" s="942"/>
      <c r="M7" s="942"/>
      <c r="N7" s="942"/>
    </row>
    <row r="8" spans="1:26" ht="9.75" customHeight="1" x14ac:dyDescent="0.2">
      <c r="B8" s="940"/>
      <c r="C8" s="940"/>
      <c r="D8" s="940"/>
    </row>
    <row r="9" spans="1:26" x14ac:dyDescent="0.2">
      <c r="A9" s="944" t="s">
        <v>1</v>
      </c>
      <c r="B9" s="945"/>
      <c r="C9" s="2306" t="s">
        <v>667</v>
      </c>
      <c r="D9" s="2307"/>
      <c r="E9" s="900"/>
      <c r="F9" s="901"/>
      <c r="G9" s="975"/>
      <c r="H9" s="975"/>
      <c r="I9" s="976"/>
      <c r="J9" s="975"/>
      <c r="K9" s="975"/>
      <c r="L9" s="975"/>
      <c r="M9" s="976"/>
      <c r="N9" s="977"/>
      <c r="O9" s="979"/>
      <c r="P9" s="980" t="s">
        <v>668</v>
      </c>
      <c r="Q9" s="981"/>
      <c r="R9" s="981" t="s">
        <v>551</v>
      </c>
      <c r="S9" s="982"/>
      <c r="T9" s="983"/>
      <c r="U9" s="984"/>
      <c r="V9" s="984"/>
      <c r="W9" s="984"/>
      <c r="X9" s="984"/>
      <c r="Y9" s="984"/>
      <c r="Z9" s="948"/>
    </row>
    <row r="10" spans="1:26" ht="13.5" x14ac:dyDescent="0.2">
      <c r="A10" s="944" t="s">
        <v>2</v>
      </c>
      <c r="B10" s="945"/>
      <c r="C10" s="2308" t="s">
        <v>35</v>
      </c>
      <c r="D10" s="2305"/>
      <c r="E10" s="905"/>
      <c r="F10" s="906" t="s">
        <v>546</v>
      </c>
      <c r="G10" s="985" t="s">
        <v>547</v>
      </c>
      <c r="H10" s="985" t="s">
        <v>548</v>
      </c>
      <c r="I10" s="986" t="s">
        <v>549</v>
      </c>
      <c r="J10" s="985" t="s">
        <v>497</v>
      </c>
      <c r="K10" s="985" t="s">
        <v>496</v>
      </c>
      <c r="L10" s="985" t="s">
        <v>495</v>
      </c>
      <c r="M10" s="986" t="s">
        <v>494</v>
      </c>
      <c r="N10" s="985" t="s">
        <v>363</v>
      </c>
      <c r="O10" s="989"/>
      <c r="P10" s="985" t="s">
        <v>546</v>
      </c>
      <c r="Q10" s="985" t="s">
        <v>497</v>
      </c>
      <c r="R10" s="2304" t="s">
        <v>35</v>
      </c>
      <c r="S10" s="2305"/>
      <c r="T10" s="990"/>
      <c r="U10" s="987" t="s">
        <v>550</v>
      </c>
      <c r="V10" s="987" t="s">
        <v>498</v>
      </c>
      <c r="W10" s="987" t="s">
        <v>490</v>
      </c>
      <c r="X10" s="987" t="s">
        <v>360</v>
      </c>
      <c r="Y10" s="987" t="s">
        <v>342</v>
      </c>
      <c r="Z10" s="948"/>
    </row>
    <row r="11" spans="1:26" ht="12.75" customHeight="1" x14ac:dyDescent="0.2">
      <c r="A11" s="946" t="s">
        <v>3</v>
      </c>
      <c r="B11" s="947"/>
      <c r="C11" s="948"/>
      <c r="D11" s="949"/>
      <c r="E11" s="903"/>
      <c r="F11" s="904"/>
      <c r="I11" s="949"/>
      <c r="N11" s="977"/>
      <c r="O11" s="979"/>
      <c r="P11" s="940"/>
      <c r="Q11" s="940"/>
      <c r="R11" s="940"/>
      <c r="S11" s="949"/>
      <c r="U11" s="978"/>
      <c r="V11" s="979"/>
      <c r="W11" s="979"/>
      <c r="X11" s="979"/>
      <c r="Y11" s="979"/>
      <c r="Z11" s="948"/>
    </row>
    <row r="12" spans="1:26" ht="12.75" customHeight="1" x14ac:dyDescent="0.2">
      <c r="A12" s="945"/>
      <c r="B12" s="945" t="s">
        <v>4</v>
      </c>
      <c r="C12" s="950">
        <v>-37272</v>
      </c>
      <c r="D12" s="951">
        <v>-0.11572280178837556</v>
      </c>
      <c r="E12" s="908"/>
      <c r="F12" s="897">
        <v>284808</v>
      </c>
      <c r="G12" s="971">
        <v>331600</v>
      </c>
      <c r="H12" s="971">
        <v>300036</v>
      </c>
      <c r="I12" s="991">
        <v>274123</v>
      </c>
      <c r="J12" s="971">
        <v>322080</v>
      </c>
      <c r="K12" s="971">
        <v>309442</v>
      </c>
      <c r="L12" s="971">
        <v>191547</v>
      </c>
      <c r="M12" s="971">
        <v>199808</v>
      </c>
      <c r="N12" s="950">
        <v>271656</v>
      </c>
      <c r="O12" s="993"/>
      <c r="P12" s="994">
        <v>1190567</v>
      </c>
      <c r="Q12" s="994">
        <v>1022877</v>
      </c>
      <c r="R12" s="971">
        <v>167690</v>
      </c>
      <c r="S12" s="952">
        <v>0.16393955480473213</v>
      </c>
      <c r="T12" s="995"/>
      <c r="U12" s="992">
        <v>1190567</v>
      </c>
      <c r="V12" s="992">
        <v>1022877</v>
      </c>
      <c r="W12" s="992">
        <v>879546</v>
      </c>
      <c r="X12" s="992">
        <v>787805</v>
      </c>
      <c r="Y12" s="992">
        <v>880763</v>
      </c>
      <c r="Z12" s="948"/>
    </row>
    <row r="13" spans="1:26" ht="12.75" customHeight="1" x14ac:dyDescent="0.2">
      <c r="A13" s="945"/>
      <c r="B13" s="945" t="s">
        <v>5</v>
      </c>
      <c r="C13" s="950">
        <v>-45114</v>
      </c>
      <c r="D13" s="951">
        <v>-0.13907805375810395</v>
      </c>
      <c r="E13" s="908"/>
      <c r="F13" s="897">
        <v>279265</v>
      </c>
      <c r="G13" s="971">
        <v>290991</v>
      </c>
      <c r="H13" s="971">
        <v>275414</v>
      </c>
      <c r="I13" s="991">
        <v>252241</v>
      </c>
      <c r="J13" s="971">
        <v>324379</v>
      </c>
      <c r="K13" s="971">
        <v>262559</v>
      </c>
      <c r="L13" s="971">
        <v>198613</v>
      </c>
      <c r="M13" s="971">
        <v>201580</v>
      </c>
      <c r="N13" s="950">
        <v>234251</v>
      </c>
      <c r="O13" s="993"/>
      <c r="P13" s="994">
        <v>1097911</v>
      </c>
      <c r="Q13" s="994">
        <v>987131</v>
      </c>
      <c r="R13" s="971">
        <v>110780</v>
      </c>
      <c r="S13" s="952">
        <v>0.11222421340227386</v>
      </c>
      <c r="T13" s="995"/>
      <c r="U13" s="992">
        <v>1097911</v>
      </c>
      <c r="V13" s="992">
        <v>987131</v>
      </c>
      <c r="W13" s="992">
        <v>825662</v>
      </c>
      <c r="X13" s="992">
        <v>1151776</v>
      </c>
      <c r="Y13" s="992">
        <v>886420</v>
      </c>
      <c r="Z13" s="948"/>
    </row>
    <row r="14" spans="1:26" ht="12.75" customHeight="1" x14ac:dyDescent="0.2">
      <c r="A14" s="945"/>
      <c r="B14" s="945" t="s">
        <v>6</v>
      </c>
      <c r="C14" s="950">
        <v>-4317</v>
      </c>
      <c r="D14" s="951">
        <v>-0.58306320907617504</v>
      </c>
      <c r="E14" s="908"/>
      <c r="F14" s="897">
        <v>3087</v>
      </c>
      <c r="G14" s="971">
        <v>8151</v>
      </c>
      <c r="H14" s="971">
        <v>6603</v>
      </c>
      <c r="I14" s="991">
        <v>3233</v>
      </c>
      <c r="J14" s="971">
        <v>7404</v>
      </c>
      <c r="K14" s="971">
        <v>10285</v>
      </c>
      <c r="L14" s="971">
        <v>192</v>
      </c>
      <c r="M14" s="971">
        <v>788</v>
      </c>
      <c r="N14" s="950">
        <v>6418</v>
      </c>
      <c r="O14" s="993"/>
      <c r="P14" s="994">
        <v>21074</v>
      </c>
      <c r="Q14" s="994">
        <v>18669</v>
      </c>
      <c r="R14" s="971">
        <v>2405</v>
      </c>
      <c r="S14" s="952">
        <v>0.12882318281643365</v>
      </c>
      <c r="T14" s="995"/>
      <c r="U14" s="992">
        <v>21074</v>
      </c>
      <c r="V14" s="992">
        <v>18669</v>
      </c>
      <c r="W14" s="992">
        <v>10698</v>
      </c>
      <c r="X14" s="992">
        <v>-5404</v>
      </c>
      <c r="Y14" s="992">
        <v>5661</v>
      </c>
      <c r="Z14" s="948"/>
    </row>
    <row r="15" spans="1:26" ht="12.75" customHeight="1" x14ac:dyDescent="0.2">
      <c r="A15" s="945"/>
      <c r="B15" s="945" t="s">
        <v>7</v>
      </c>
      <c r="C15" s="950">
        <v>12159</v>
      </c>
      <c r="D15" s="951">
        <v>-1.2531175924971658</v>
      </c>
      <c r="E15" s="908"/>
      <c r="F15" s="897">
        <v>2456</v>
      </c>
      <c r="G15" s="971">
        <v>32458</v>
      </c>
      <c r="H15" s="971">
        <v>18019</v>
      </c>
      <c r="I15" s="991">
        <v>18649</v>
      </c>
      <c r="J15" s="971">
        <v>-9703</v>
      </c>
      <c r="K15" s="971">
        <v>36598</v>
      </c>
      <c r="L15" s="971">
        <v>-7258</v>
      </c>
      <c r="M15" s="971">
        <v>-2560</v>
      </c>
      <c r="N15" s="950">
        <v>30987</v>
      </c>
      <c r="O15" s="993"/>
      <c r="P15" s="994">
        <v>71582</v>
      </c>
      <c r="Q15" s="994">
        <v>17077</v>
      </c>
      <c r="R15" s="971">
        <v>54505</v>
      </c>
      <c r="S15" s="952" t="s">
        <v>38</v>
      </c>
      <c r="T15" s="995"/>
      <c r="U15" s="992">
        <v>71582</v>
      </c>
      <c r="V15" s="992">
        <v>17077</v>
      </c>
      <c r="W15" s="992">
        <v>43186</v>
      </c>
      <c r="X15" s="992">
        <v>-358567</v>
      </c>
      <c r="Y15" s="992">
        <v>-11318</v>
      </c>
      <c r="Z15" s="948"/>
    </row>
    <row r="16" spans="1:26" ht="12.75" customHeight="1" x14ac:dyDescent="0.2">
      <c r="A16" s="945"/>
      <c r="B16" s="945" t="s">
        <v>324</v>
      </c>
      <c r="C16" s="950">
        <v>14324</v>
      </c>
      <c r="D16" s="951">
        <v>-1.2283680644884658</v>
      </c>
      <c r="E16" s="908"/>
      <c r="F16" s="897">
        <v>2663</v>
      </c>
      <c r="G16" s="971">
        <v>32457</v>
      </c>
      <c r="H16" s="971">
        <v>17794</v>
      </c>
      <c r="I16" s="991">
        <v>17616</v>
      </c>
      <c r="J16" s="971">
        <v>-11661</v>
      </c>
      <c r="K16" s="971">
        <v>34432</v>
      </c>
      <c r="L16" s="971">
        <v>-7485</v>
      </c>
      <c r="M16" s="971">
        <v>-2262</v>
      </c>
      <c r="N16" s="950">
        <v>28886</v>
      </c>
      <c r="O16" s="993"/>
      <c r="P16" s="994">
        <v>70530</v>
      </c>
      <c r="Q16" s="994">
        <v>13024</v>
      </c>
      <c r="R16" s="971">
        <v>57506</v>
      </c>
      <c r="S16" s="952" t="s">
        <v>38</v>
      </c>
      <c r="T16" s="995"/>
      <c r="U16" s="992">
        <v>70530</v>
      </c>
      <c r="V16" s="992">
        <v>13024</v>
      </c>
      <c r="W16" s="992">
        <v>38103</v>
      </c>
      <c r="X16" s="992">
        <v>-358471</v>
      </c>
      <c r="Y16" s="992">
        <v>-13184</v>
      </c>
      <c r="Z16" s="948"/>
    </row>
    <row r="17" spans="1:26" ht="12.75" customHeight="1" x14ac:dyDescent="0.2">
      <c r="A17" s="945"/>
      <c r="B17" s="945" t="s">
        <v>330</v>
      </c>
      <c r="C17" s="950">
        <v>14324</v>
      </c>
      <c r="D17" s="951">
        <v>-1.0222666286040536</v>
      </c>
      <c r="E17" s="908"/>
      <c r="F17" s="897">
        <v>312</v>
      </c>
      <c r="G17" s="971">
        <v>30106</v>
      </c>
      <c r="H17" s="971">
        <v>15443</v>
      </c>
      <c r="I17" s="991">
        <v>15265</v>
      </c>
      <c r="J17" s="971">
        <v>-14012</v>
      </c>
      <c r="K17" s="971">
        <v>32081</v>
      </c>
      <c r="L17" s="971">
        <v>-9836</v>
      </c>
      <c r="M17" s="971">
        <v>-4802</v>
      </c>
      <c r="N17" s="950">
        <v>26346</v>
      </c>
      <c r="O17" s="993"/>
      <c r="P17" s="994">
        <v>61126</v>
      </c>
      <c r="Q17" s="994">
        <v>3431</v>
      </c>
      <c r="R17" s="971">
        <v>57695</v>
      </c>
      <c r="S17" s="952" t="s">
        <v>38</v>
      </c>
      <c r="T17" s="995"/>
      <c r="U17" s="992">
        <v>61126</v>
      </c>
      <c r="V17" s="992">
        <v>3431</v>
      </c>
      <c r="W17" s="992">
        <v>27025</v>
      </c>
      <c r="X17" s="992">
        <v>-370463</v>
      </c>
      <c r="Y17" s="992">
        <v>-25061</v>
      </c>
      <c r="Z17" s="948"/>
    </row>
    <row r="18" spans="1:26" ht="9.75" customHeight="1" x14ac:dyDescent="0.2">
      <c r="A18" s="945"/>
      <c r="B18" s="945"/>
      <c r="C18" s="950"/>
      <c r="D18" s="952"/>
      <c r="E18" s="908"/>
      <c r="F18" s="1657"/>
      <c r="G18" s="997"/>
      <c r="H18" s="971"/>
      <c r="I18" s="991"/>
      <c r="J18" s="997"/>
      <c r="K18" s="997"/>
      <c r="L18" s="971"/>
      <c r="M18" s="971"/>
      <c r="N18" s="1651"/>
      <c r="O18" s="993"/>
      <c r="P18" s="968"/>
      <c r="Q18" s="968"/>
      <c r="R18" s="971"/>
      <c r="S18" s="952"/>
      <c r="T18" s="995"/>
      <c r="U18" s="992"/>
      <c r="V18" s="992"/>
      <c r="W18" s="992"/>
      <c r="X18" s="992"/>
      <c r="Y18" s="992"/>
      <c r="Z18" s="948"/>
    </row>
    <row r="19" spans="1:26" ht="12.75" customHeight="1" x14ac:dyDescent="0.2">
      <c r="A19" s="946" t="s">
        <v>8</v>
      </c>
      <c r="B19" s="945"/>
      <c r="C19" s="950"/>
      <c r="D19" s="952"/>
      <c r="E19" s="908"/>
      <c r="F19" s="910"/>
      <c r="G19" s="996"/>
      <c r="H19" s="971"/>
      <c r="I19" s="991"/>
      <c r="J19" s="996"/>
      <c r="K19" s="996"/>
      <c r="L19" s="971"/>
      <c r="M19" s="971"/>
      <c r="N19" s="1068"/>
      <c r="O19" s="993"/>
      <c r="P19" s="968"/>
      <c r="Q19" s="968"/>
      <c r="R19" s="971"/>
      <c r="S19" s="952"/>
      <c r="T19" s="995"/>
      <c r="U19" s="992"/>
      <c r="V19" s="992"/>
      <c r="W19" s="992"/>
      <c r="X19" s="992"/>
      <c r="Y19" s="992"/>
      <c r="Z19" s="948"/>
    </row>
    <row r="20" spans="1:26" ht="12.75" customHeight="1" x14ac:dyDescent="0.2">
      <c r="A20" s="947"/>
      <c r="B20" s="945" t="s">
        <v>9</v>
      </c>
      <c r="C20" s="950">
        <v>728558</v>
      </c>
      <c r="D20" s="951">
        <v>0.18120015837896344</v>
      </c>
      <c r="E20" s="908"/>
      <c r="F20" s="897">
        <v>4749294</v>
      </c>
      <c r="G20" s="971">
        <v>3998083</v>
      </c>
      <c r="H20" s="971">
        <v>4220131</v>
      </c>
      <c r="I20" s="991">
        <v>4221836</v>
      </c>
      <c r="J20" s="971">
        <v>4020736</v>
      </c>
      <c r="K20" s="971">
        <v>3317204</v>
      </c>
      <c r="L20" s="971">
        <v>3413398</v>
      </c>
      <c r="M20" s="971">
        <v>3623250</v>
      </c>
      <c r="N20" s="950">
        <v>5203516</v>
      </c>
      <c r="O20" s="993"/>
      <c r="P20" s="994">
        <v>4749294</v>
      </c>
      <c r="Q20" s="994">
        <v>4020736</v>
      </c>
      <c r="R20" s="971">
        <v>728558</v>
      </c>
      <c r="S20" s="952">
        <v>0.18120015837896344</v>
      </c>
      <c r="T20" s="995"/>
      <c r="U20" s="992">
        <v>4749294</v>
      </c>
      <c r="V20" s="992">
        <v>4020736</v>
      </c>
      <c r="W20" s="992">
        <v>5203516</v>
      </c>
      <c r="X20" s="992">
        <v>3424546</v>
      </c>
      <c r="Y20" s="992">
        <v>4369905</v>
      </c>
      <c r="Z20" s="948"/>
    </row>
    <row r="21" spans="1:26" ht="12.75" customHeight="1" x14ac:dyDescent="0.2">
      <c r="A21" s="947"/>
      <c r="B21" s="945" t="s">
        <v>10</v>
      </c>
      <c r="C21" s="950">
        <v>705121</v>
      </c>
      <c r="D21" s="951">
        <v>0.22272983274754385</v>
      </c>
      <c r="E21" s="908"/>
      <c r="F21" s="897">
        <v>3870934</v>
      </c>
      <c r="G21" s="971">
        <v>3156579</v>
      </c>
      <c r="H21" s="971">
        <v>3420074</v>
      </c>
      <c r="I21" s="991">
        <v>3387010</v>
      </c>
      <c r="J21" s="971">
        <v>3165813</v>
      </c>
      <c r="K21" s="971">
        <v>2538841</v>
      </c>
      <c r="L21" s="971">
        <v>2679660</v>
      </c>
      <c r="M21" s="971">
        <v>2868892</v>
      </c>
      <c r="N21" s="950">
        <v>4426873</v>
      </c>
      <c r="O21" s="993"/>
      <c r="P21" s="994">
        <v>3870934</v>
      </c>
      <c r="Q21" s="994">
        <v>3165813</v>
      </c>
      <c r="R21" s="971">
        <v>705121</v>
      </c>
      <c r="S21" s="952">
        <v>0.22272983274754385</v>
      </c>
      <c r="T21" s="995"/>
      <c r="U21" s="992">
        <v>3870934</v>
      </c>
      <c r="V21" s="992">
        <v>3165813</v>
      </c>
      <c r="W21" s="992">
        <v>4426873</v>
      </c>
      <c r="X21" s="992">
        <v>2665895</v>
      </c>
      <c r="Y21" s="992">
        <v>3242088</v>
      </c>
      <c r="Z21" s="948"/>
    </row>
    <row r="22" spans="1:26" ht="12.75" customHeight="1" x14ac:dyDescent="0.2">
      <c r="A22" s="947"/>
      <c r="B22" s="945" t="s">
        <v>227</v>
      </c>
      <c r="C22" s="950">
        <v>-11574</v>
      </c>
      <c r="D22" s="951">
        <v>-0.85284798467320022</v>
      </c>
      <c r="E22" s="908"/>
      <c r="F22" s="1658">
        <v>1997</v>
      </c>
      <c r="G22" s="1000">
        <v>2338</v>
      </c>
      <c r="H22" s="1000">
        <v>2004</v>
      </c>
      <c r="I22" s="991">
        <v>15259</v>
      </c>
      <c r="J22" s="1000">
        <v>13571</v>
      </c>
      <c r="K22" s="1000">
        <v>12031</v>
      </c>
      <c r="L22" s="1000">
        <v>13354</v>
      </c>
      <c r="M22" s="971">
        <v>12481</v>
      </c>
      <c r="N22" s="1021">
        <v>11858</v>
      </c>
      <c r="O22" s="993"/>
      <c r="P22" s="994">
        <v>1997</v>
      </c>
      <c r="Q22" s="994">
        <v>13571</v>
      </c>
      <c r="R22" s="971">
        <v>-11574</v>
      </c>
      <c r="S22" s="952">
        <v>-0.85284798467320022</v>
      </c>
      <c r="T22" s="995"/>
      <c r="U22" s="992">
        <v>1997</v>
      </c>
      <c r="V22" s="992">
        <v>13571</v>
      </c>
      <c r="W22" s="992">
        <v>11858</v>
      </c>
      <c r="X22" s="992">
        <v>8722</v>
      </c>
      <c r="Y22" s="992">
        <v>10275</v>
      </c>
      <c r="Z22" s="948"/>
    </row>
    <row r="23" spans="1:26" ht="12.75" customHeight="1" x14ac:dyDescent="0.2">
      <c r="A23" s="947"/>
      <c r="B23" s="945" t="s">
        <v>11</v>
      </c>
      <c r="C23" s="950">
        <v>35011</v>
      </c>
      <c r="D23" s="951">
        <v>4.1612785136304425E-2</v>
      </c>
      <c r="E23" s="908"/>
      <c r="F23" s="1658">
        <v>876363</v>
      </c>
      <c r="G23" s="1000">
        <v>839166</v>
      </c>
      <c r="H23" s="1000">
        <v>798053</v>
      </c>
      <c r="I23" s="991">
        <v>819567</v>
      </c>
      <c r="J23" s="1000">
        <v>841352</v>
      </c>
      <c r="K23" s="1000">
        <v>766332</v>
      </c>
      <c r="L23" s="1000">
        <v>720384</v>
      </c>
      <c r="M23" s="971">
        <v>741877</v>
      </c>
      <c r="N23" s="1021">
        <v>764785</v>
      </c>
      <c r="O23" s="993"/>
      <c r="P23" s="994">
        <v>876363</v>
      </c>
      <c r="Q23" s="994">
        <v>841352</v>
      </c>
      <c r="R23" s="971">
        <v>35011</v>
      </c>
      <c r="S23" s="952">
        <v>4.1612785136304425E-2</v>
      </c>
      <c r="T23" s="995"/>
      <c r="U23" s="992">
        <v>876363</v>
      </c>
      <c r="V23" s="992">
        <v>841352</v>
      </c>
      <c r="W23" s="992">
        <v>764785</v>
      </c>
      <c r="X23" s="992">
        <v>749929</v>
      </c>
      <c r="Y23" s="992">
        <v>1117542</v>
      </c>
      <c r="Z23" s="948"/>
    </row>
    <row r="24" spans="1:26" ht="9.75" customHeight="1" x14ac:dyDescent="0.2">
      <c r="A24" s="947"/>
      <c r="B24" s="945"/>
      <c r="C24" s="950"/>
      <c r="D24" s="952"/>
      <c r="E24" s="908"/>
      <c r="F24" s="910"/>
      <c r="G24" s="996"/>
      <c r="H24" s="968"/>
      <c r="I24" s="1003"/>
      <c r="J24" s="996"/>
      <c r="K24" s="996"/>
      <c r="L24" s="968"/>
      <c r="M24" s="968"/>
      <c r="N24" s="1068"/>
      <c r="O24" s="993"/>
      <c r="P24" s="968"/>
      <c r="Q24" s="968"/>
      <c r="R24" s="971"/>
      <c r="S24" s="952"/>
      <c r="T24" s="995"/>
      <c r="U24" s="992"/>
      <c r="V24" s="992"/>
      <c r="W24" s="992"/>
      <c r="X24" s="992"/>
      <c r="Y24" s="992"/>
      <c r="Z24" s="948"/>
    </row>
    <row r="25" spans="1:26" ht="12.75" customHeight="1" x14ac:dyDescent="0.2">
      <c r="A25" s="946" t="s">
        <v>238</v>
      </c>
      <c r="B25" s="945"/>
      <c r="C25" s="950"/>
      <c r="D25" s="952"/>
      <c r="E25" s="908"/>
      <c r="F25" s="910"/>
      <c r="G25" s="996"/>
      <c r="H25" s="968"/>
      <c r="I25" s="1003"/>
      <c r="J25" s="996"/>
      <c r="K25" s="996"/>
      <c r="L25" s="968"/>
      <c r="M25" s="968"/>
      <c r="N25" s="1068"/>
      <c r="O25" s="993"/>
      <c r="P25" s="968"/>
      <c r="Q25" s="968"/>
      <c r="R25" s="971"/>
      <c r="S25" s="952"/>
      <c r="T25" s="995"/>
      <c r="U25" s="992"/>
      <c r="V25" s="992"/>
      <c r="W25" s="992"/>
      <c r="X25" s="992"/>
      <c r="Y25" s="992"/>
      <c r="Z25" s="948"/>
    </row>
    <row r="26" spans="1:26" ht="13.5" customHeight="1" x14ac:dyDescent="0.2">
      <c r="A26" s="946"/>
      <c r="B26" s="945" t="s">
        <v>239</v>
      </c>
      <c r="C26" s="950">
        <v>1406</v>
      </c>
      <c r="D26" s="951">
        <v>0.49946714031971579</v>
      </c>
      <c r="E26" s="915"/>
      <c r="F26" s="897">
        <v>4221</v>
      </c>
      <c r="G26" s="971">
        <v>3954</v>
      </c>
      <c r="H26" s="971">
        <v>4158</v>
      </c>
      <c r="I26" s="991">
        <v>3721</v>
      </c>
      <c r="J26" s="971">
        <v>2815</v>
      </c>
      <c r="K26" s="971">
        <v>2838</v>
      </c>
      <c r="L26" s="971">
        <v>2688</v>
      </c>
      <c r="M26" s="971">
        <v>2647</v>
      </c>
      <c r="N26" s="950">
        <v>2637</v>
      </c>
      <c r="O26" s="993"/>
      <c r="P26" s="994">
        <v>4221</v>
      </c>
      <c r="Q26" s="994">
        <v>2815</v>
      </c>
      <c r="R26" s="971">
        <v>1406</v>
      </c>
      <c r="S26" s="952">
        <v>0.49946714031971579</v>
      </c>
      <c r="T26" s="995"/>
      <c r="U26" s="992">
        <v>4221</v>
      </c>
      <c r="V26" s="992">
        <v>2815</v>
      </c>
      <c r="W26" s="992">
        <v>2637</v>
      </c>
      <c r="X26" s="992">
        <v>1257</v>
      </c>
      <c r="Y26" s="992">
        <v>1561</v>
      </c>
      <c r="Z26" s="948"/>
    </row>
    <row r="27" spans="1:26" ht="13.5" customHeight="1" x14ac:dyDescent="0.2">
      <c r="A27" s="947"/>
      <c r="B27" s="953" t="s">
        <v>357</v>
      </c>
      <c r="C27" s="950">
        <v>5107</v>
      </c>
      <c r="D27" s="951">
        <v>0.32806578017601334</v>
      </c>
      <c r="E27" s="908"/>
      <c r="F27" s="897">
        <v>20674</v>
      </c>
      <c r="G27" s="971">
        <v>18260</v>
      </c>
      <c r="H27" s="971">
        <v>19746</v>
      </c>
      <c r="I27" s="991">
        <v>18921</v>
      </c>
      <c r="J27" s="971">
        <v>15567</v>
      </c>
      <c r="K27" s="971">
        <v>14451</v>
      </c>
      <c r="L27" s="971">
        <v>12801</v>
      </c>
      <c r="M27" s="971">
        <v>12669</v>
      </c>
      <c r="N27" s="950">
        <v>13228</v>
      </c>
      <c r="O27" s="993"/>
      <c r="P27" s="994">
        <v>20674</v>
      </c>
      <c r="Q27" s="994">
        <v>15567</v>
      </c>
      <c r="R27" s="971">
        <v>5107</v>
      </c>
      <c r="S27" s="952">
        <v>0.32806578017601334</v>
      </c>
      <c r="T27" s="995"/>
      <c r="U27" s="992">
        <v>20674</v>
      </c>
      <c r="V27" s="992">
        <v>15567</v>
      </c>
      <c r="W27" s="992">
        <v>13228</v>
      </c>
      <c r="X27" s="992">
        <v>9192</v>
      </c>
      <c r="Y27" s="992">
        <v>10729</v>
      </c>
      <c r="Z27" s="948"/>
    </row>
    <row r="28" spans="1:26" ht="13.5" customHeight="1" x14ac:dyDescent="0.2">
      <c r="A28" s="947"/>
      <c r="B28" s="953" t="s">
        <v>243</v>
      </c>
      <c r="C28" s="950">
        <v>-682</v>
      </c>
      <c r="D28" s="951">
        <v>-1.5197094279920671E-2</v>
      </c>
      <c r="E28" s="908"/>
      <c r="F28" s="897">
        <v>44195</v>
      </c>
      <c r="G28" s="971">
        <v>41153</v>
      </c>
      <c r="H28" s="971">
        <v>45230</v>
      </c>
      <c r="I28" s="991">
        <v>46434</v>
      </c>
      <c r="J28" s="971">
        <v>44877</v>
      </c>
      <c r="K28" s="971">
        <v>43791</v>
      </c>
      <c r="L28" s="971">
        <v>40797</v>
      </c>
      <c r="M28" s="971">
        <v>25755</v>
      </c>
      <c r="N28" s="950">
        <v>24526</v>
      </c>
      <c r="O28" s="993"/>
      <c r="P28" s="994">
        <v>44195</v>
      </c>
      <c r="Q28" s="994">
        <v>44877</v>
      </c>
      <c r="R28" s="971">
        <v>-682</v>
      </c>
      <c r="S28" s="952">
        <v>-1.5197094279920671E-2</v>
      </c>
      <c r="T28" s="995"/>
      <c r="U28" s="992">
        <v>44195</v>
      </c>
      <c r="V28" s="992">
        <v>44877</v>
      </c>
      <c r="W28" s="992">
        <v>24526</v>
      </c>
      <c r="X28" s="992">
        <v>22791</v>
      </c>
      <c r="Y28" s="992">
        <v>21763</v>
      </c>
      <c r="Z28" s="948"/>
    </row>
    <row r="29" spans="1:26" ht="13.5" customHeight="1" x14ac:dyDescent="0.2">
      <c r="A29" s="947"/>
      <c r="B29" s="953" t="s">
        <v>350</v>
      </c>
      <c r="C29" s="950">
        <v>24</v>
      </c>
      <c r="D29" s="951">
        <v>2.891566265060241E-2</v>
      </c>
      <c r="E29" s="908"/>
      <c r="F29" s="897">
        <v>854</v>
      </c>
      <c r="G29" s="971">
        <v>771</v>
      </c>
      <c r="H29" s="971">
        <v>834</v>
      </c>
      <c r="I29" s="991">
        <v>845</v>
      </c>
      <c r="J29" s="971">
        <v>830</v>
      </c>
      <c r="K29" s="971">
        <v>928</v>
      </c>
      <c r="L29" s="971">
        <v>866</v>
      </c>
      <c r="M29" s="971">
        <v>860</v>
      </c>
      <c r="N29" s="950">
        <v>862</v>
      </c>
      <c r="O29" s="993"/>
      <c r="P29" s="994">
        <v>854</v>
      </c>
      <c r="Q29" s="994">
        <v>830</v>
      </c>
      <c r="R29" s="971">
        <v>24</v>
      </c>
      <c r="S29" s="952">
        <v>2.891566265060241E-2</v>
      </c>
      <c r="T29" s="995"/>
      <c r="U29" s="992">
        <v>854</v>
      </c>
      <c r="V29" s="992">
        <v>830</v>
      </c>
      <c r="W29" s="992">
        <v>862</v>
      </c>
      <c r="X29" s="992">
        <v>731</v>
      </c>
      <c r="Y29" s="992">
        <v>836</v>
      </c>
      <c r="Z29" s="948"/>
    </row>
    <row r="30" spans="1:26" ht="22.5" customHeight="1" x14ac:dyDescent="0.2">
      <c r="A30" s="947"/>
      <c r="B30" s="1960" t="s">
        <v>534</v>
      </c>
      <c r="C30" s="950">
        <v>4449</v>
      </c>
      <c r="D30" s="951">
        <v>7.2608284100923723E-2</v>
      </c>
      <c r="E30" s="908"/>
      <c r="F30" s="897">
        <v>65723</v>
      </c>
      <c r="G30" s="971">
        <v>60184</v>
      </c>
      <c r="H30" s="971">
        <v>65810</v>
      </c>
      <c r="I30" s="991">
        <v>66200</v>
      </c>
      <c r="J30" s="971">
        <v>61274</v>
      </c>
      <c r="K30" s="971">
        <v>59170</v>
      </c>
      <c r="L30" s="971">
        <v>54464</v>
      </c>
      <c r="M30" s="971">
        <v>39284</v>
      </c>
      <c r="N30" s="950">
        <v>38616</v>
      </c>
      <c r="O30" s="993"/>
      <c r="P30" s="994">
        <v>65723</v>
      </c>
      <c r="Q30" s="994">
        <v>61274</v>
      </c>
      <c r="R30" s="971">
        <v>4449</v>
      </c>
      <c r="S30" s="952">
        <v>7.2608284100923723E-2</v>
      </c>
      <c r="T30" s="995"/>
      <c r="U30" s="992">
        <v>65723</v>
      </c>
      <c r="V30" s="992">
        <v>61274</v>
      </c>
      <c r="W30" s="992">
        <v>38616</v>
      </c>
      <c r="X30" s="992">
        <v>32714</v>
      </c>
      <c r="Y30" s="992">
        <v>33328</v>
      </c>
      <c r="Z30" s="948"/>
    </row>
    <row r="31" spans="1:26" ht="14.25" customHeight="1" x14ac:dyDescent="0.2">
      <c r="A31" s="947"/>
      <c r="B31" s="945"/>
      <c r="C31" s="950"/>
      <c r="D31" s="952"/>
      <c r="E31" s="908"/>
      <c r="F31" s="910"/>
      <c r="G31" s="996"/>
      <c r="H31" s="968"/>
      <c r="I31" s="1003"/>
      <c r="J31" s="996"/>
      <c r="K31" s="996"/>
      <c r="L31" s="968"/>
      <c r="M31" s="968"/>
      <c r="N31" s="1068"/>
      <c r="O31" s="993"/>
      <c r="P31" s="968"/>
      <c r="Q31" s="968"/>
      <c r="R31" s="971"/>
      <c r="S31" s="952"/>
      <c r="T31" s="995"/>
      <c r="U31" s="992"/>
      <c r="V31" s="992"/>
      <c r="W31" s="992"/>
      <c r="X31" s="992"/>
      <c r="Y31" s="992"/>
      <c r="Z31" s="948"/>
    </row>
    <row r="32" spans="1:26" ht="24.75" customHeight="1" x14ac:dyDescent="0.2">
      <c r="A32" s="946" t="s">
        <v>12</v>
      </c>
      <c r="B32" s="945"/>
      <c r="C32" s="950"/>
      <c r="D32" s="952"/>
      <c r="E32" s="908"/>
      <c r="F32" s="907"/>
      <c r="G32" s="996"/>
      <c r="H32" s="968"/>
      <c r="I32" s="1003"/>
      <c r="J32" s="996"/>
      <c r="K32" s="996"/>
      <c r="L32" s="968"/>
      <c r="M32" s="968"/>
      <c r="N32" s="1068"/>
      <c r="O32" s="993"/>
      <c r="P32" s="968"/>
      <c r="Q32" s="968"/>
      <c r="R32" s="971"/>
      <c r="S32" s="952"/>
      <c r="T32" s="995"/>
      <c r="U32" s="992"/>
      <c r="V32" s="992"/>
      <c r="W32" s="992"/>
      <c r="X32" s="992"/>
      <c r="Y32" s="992"/>
      <c r="Z32" s="948"/>
    </row>
    <row r="33" spans="1:29" ht="12.75" customHeight="1" x14ac:dyDescent="0.2">
      <c r="A33" s="945" t="s">
        <v>13</v>
      </c>
      <c r="B33" s="945"/>
      <c r="C33" s="2200"/>
      <c r="D33" s="952"/>
      <c r="E33" s="908"/>
      <c r="F33" s="910"/>
      <c r="G33" s="996"/>
      <c r="H33" s="968"/>
      <c r="I33" s="1003"/>
      <c r="J33" s="996"/>
      <c r="K33" s="996"/>
      <c r="L33" s="968"/>
      <c r="M33" s="968"/>
      <c r="N33" s="1068"/>
      <c r="O33" s="993"/>
      <c r="P33" s="968"/>
      <c r="Q33" s="968"/>
      <c r="R33" s="971"/>
      <c r="S33" s="952"/>
      <c r="T33" s="995"/>
      <c r="U33" s="992"/>
      <c r="V33" s="992"/>
      <c r="W33" s="992"/>
      <c r="X33" s="992"/>
      <c r="Y33" s="992"/>
      <c r="Z33" s="948"/>
    </row>
    <row r="34" spans="1:29" ht="12.75" customHeight="1" x14ac:dyDescent="0.2">
      <c r="A34" s="945"/>
      <c r="B34" s="945" t="s">
        <v>620</v>
      </c>
      <c r="C34" s="2200">
        <v>0.15</v>
      </c>
      <c r="D34" s="951">
        <v>-1</v>
      </c>
      <c r="E34" s="908"/>
      <c r="F34" s="1199">
        <v>0</v>
      </c>
      <c r="G34" s="1004">
        <v>0.31</v>
      </c>
      <c r="H34" s="1004">
        <v>0.11</v>
      </c>
      <c r="I34" s="1005">
        <v>0.16</v>
      </c>
      <c r="J34" s="1004">
        <v>-0.15</v>
      </c>
      <c r="K34" s="1004">
        <v>0.35</v>
      </c>
      <c r="L34" s="1004">
        <v>-0.11</v>
      </c>
      <c r="M34" s="1682">
        <v>-0.05</v>
      </c>
      <c r="N34" s="1069">
        <v>0.28999999999999998</v>
      </c>
      <c r="O34" s="993"/>
      <c r="P34" s="1004">
        <v>0.57999999999999996</v>
      </c>
      <c r="Q34" s="1004">
        <v>0.04</v>
      </c>
      <c r="R34" s="1009">
        <v>0.53999999999999992</v>
      </c>
      <c r="S34" s="952" t="s">
        <v>38</v>
      </c>
      <c r="T34" s="995"/>
      <c r="U34" s="1012">
        <v>0.57999999999999996</v>
      </c>
      <c r="V34" s="1008">
        <v>0.04</v>
      </c>
      <c r="W34" s="1008">
        <v>0.28999999999999998</v>
      </c>
      <c r="X34" s="1008">
        <v>-4.09</v>
      </c>
      <c r="Y34" s="1008">
        <v>-0.27</v>
      </c>
      <c r="Z34" s="948"/>
    </row>
    <row r="35" spans="1:29" ht="12.75" customHeight="1" x14ac:dyDescent="0.2">
      <c r="A35" s="945"/>
      <c r="B35" s="945" t="s">
        <v>621</v>
      </c>
      <c r="C35" s="2200">
        <v>0.15</v>
      </c>
      <c r="D35" s="951">
        <v>-1</v>
      </c>
      <c r="E35" s="908"/>
      <c r="F35" s="1199">
        <v>0</v>
      </c>
      <c r="G35" s="1004">
        <v>0.25</v>
      </c>
      <c r="H35" s="1004">
        <v>0.09</v>
      </c>
      <c r="I35" s="1005">
        <v>0.14000000000000001</v>
      </c>
      <c r="J35" s="1004">
        <v>-0.15</v>
      </c>
      <c r="K35" s="1004">
        <v>0.28999999999999998</v>
      </c>
      <c r="L35" s="1004">
        <v>-0.11</v>
      </c>
      <c r="M35" s="1682">
        <v>-0.05</v>
      </c>
      <c r="N35" s="1069">
        <v>0.26</v>
      </c>
      <c r="O35" s="993"/>
      <c r="P35" s="1004">
        <v>0.48</v>
      </c>
      <c r="Q35" s="1004">
        <v>0.03</v>
      </c>
      <c r="R35" s="1009">
        <v>0.44999999999999996</v>
      </c>
      <c r="S35" s="952" t="s">
        <v>38</v>
      </c>
      <c r="T35" s="995"/>
      <c r="U35" s="1012">
        <v>0.48</v>
      </c>
      <c r="V35" s="1008">
        <v>0.03</v>
      </c>
      <c r="W35" s="1008">
        <v>0.27</v>
      </c>
      <c r="X35" s="1008">
        <v>-4.09</v>
      </c>
      <c r="Y35" s="1008">
        <v>-0.27</v>
      </c>
      <c r="Z35" s="948"/>
    </row>
    <row r="36" spans="1:29" ht="12.75" customHeight="1" x14ac:dyDescent="0.2">
      <c r="A36" s="945"/>
      <c r="B36" s="945" t="s">
        <v>244</v>
      </c>
      <c r="C36" s="2200">
        <v>0.53641202782014563</v>
      </c>
      <c r="D36" s="951">
        <v>9.3911960822420149E-2</v>
      </c>
      <c r="E36" s="908"/>
      <c r="F36" s="916">
        <v>6.2482726164245834</v>
      </c>
      <c r="G36" s="1004">
        <v>6.0416730694648724</v>
      </c>
      <c r="H36" s="1004">
        <v>5.6938819959198783</v>
      </c>
      <c r="I36" s="1005">
        <v>5.5223031625563594</v>
      </c>
      <c r="J36" s="1004">
        <v>5.7118605886044378</v>
      </c>
      <c r="K36" s="1004">
        <v>5.1104589844536221</v>
      </c>
      <c r="L36" s="1004">
        <v>4.7418338824401287</v>
      </c>
      <c r="M36" s="1682">
        <v>4.9081597347945385</v>
      </c>
      <c r="N36" s="1069">
        <v>5.0842821672786878</v>
      </c>
      <c r="O36" s="993"/>
      <c r="P36" s="1010">
        <v>6.2482726164245834</v>
      </c>
      <c r="Q36" s="1010">
        <v>5.71</v>
      </c>
      <c r="R36" s="1009">
        <v>0.53827261642458346</v>
      </c>
      <c r="S36" s="952">
        <v>9.4268409181187993E-2</v>
      </c>
      <c r="T36" s="995"/>
      <c r="U36" s="1012">
        <v>6.2482726164245834</v>
      </c>
      <c r="V36" s="1008">
        <v>5.7118605886044378</v>
      </c>
      <c r="W36" s="1008">
        <v>5.0842821672786878</v>
      </c>
      <c r="X36" s="1008">
        <v>4.990171629749157</v>
      </c>
      <c r="Y36" s="1008">
        <v>8.7100000000000009</v>
      </c>
      <c r="Z36" s="948"/>
    </row>
    <row r="37" spans="1:29" ht="9.75" customHeight="1" x14ac:dyDescent="0.2">
      <c r="A37" s="947"/>
      <c r="B37" s="945"/>
      <c r="C37" s="2200"/>
      <c r="D37" s="952"/>
      <c r="E37" s="908"/>
      <c r="F37" s="910"/>
      <c r="G37" s="996"/>
      <c r="H37" s="968"/>
      <c r="I37" s="1003"/>
      <c r="J37" s="996"/>
      <c r="K37" s="996"/>
      <c r="L37" s="968"/>
      <c r="M37" s="968"/>
      <c r="N37" s="1068"/>
      <c r="O37" s="993"/>
      <c r="P37" s="968"/>
      <c r="Q37" s="968"/>
      <c r="R37" s="1013"/>
      <c r="S37" s="952"/>
      <c r="T37" s="995"/>
      <c r="U37" s="992"/>
      <c r="V37" s="992"/>
      <c r="W37" s="992"/>
      <c r="X37" s="992"/>
      <c r="Y37" s="992"/>
      <c r="Z37" s="948"/>
    </row>
    <row r="38" spans="1:29" ht="12.75" customHeight="1" x14ac:dyDescent="0.2">
      <c r="A38" s="945" t="s">
        <v>14</v>
      </c>
      <c r="B38" s="945"/>
      <c r="C38" s="2200"/>
      <c r="D38" s="952"/>
      <c r="E38" s="908"/>
      <c r="F38" s="910"/>
      <c r="G38" s="996"/>
      <c r="H38" s="968"/>
      <c r="I38" s="1003"/>
      <c r="J38" s="996"/>
      <c r="K38" s="996"/>
      <c r="L38" s="968"/>
      <c r="M38" s="968"/>
      <c r="N38" s="1068"/>
      <c r="O38" s="993"/>
      <c r="P38" s="968"/>
      <c r="Q38" s="968"/>
      <c r="R38" s="1013"/>
      <c r="S38" s="952"/>
      <c r="T38" s="995"/>
      <c r="U38" s="992"/>
      <c r="V38" s="992"/>
      <c r="W38" s="992"/>
      <c r="X38" s="992"/>
      <c r="Y38" s="992"/>
      <c r="Z38" s="948"/>
    </row>
    <row r="39" spans="1:29" ht="12.75" customHeight="1" x14ac:dyDescent="0.2">
      <c r="A39" s="947"/>
      <c r="B39" s="945" t="s">
        <v>15</v>
      </c>
      <c r="C39" s="2200">
        <v>-0.83999999999999986</v>
      </c>
      <c r="D39" s="951">
        <v>-0.11214953271028036</v>
      </c>
      <c r="E39" s="908"/>
      <c r="F39" s="1649">
        <v>6.65</v>
      </c>
      <c r="G39" s="1006">
        <v>7.11</v>
      </c>
      <c r="H39" s="1006">
        <v>7.47</v>
      </c>
      <c r="I39" s="1007">
        <v>7.44</v>
      </c>
      <c r="J39" s="1006">
        <v>7.49</v>
      </c>
      <c r="K39" s="1006">
        <v>5.91</v>
      </c>
      <c r="L39" s="1006">
        <v>6.68</v>
      </c>
      <c r="M39" s="1006">
        <v>5.42</v>
      </c>
      <c r="N39" s="1659">
        <v>5.7</v>
      </c>
      <c r="O39" s="993"/>
      <c r="P39" s="1667">
        <v>7.47</v>
      </c>
      <c r="Q39" s="1667">
        <v>7.49</v>
      </c>
      <c r="R39" s="1009">
        <v>-2.0000000000000462E-2</v>
      </c>
      <c r="S39" s="952">
        <v>-2.6702269692924514E-3</v>
      </c>
      <c r="T39" s="995"/>
      <c r="U39" s="1012">
        <v>7.47</v>
      </c>
      <c r="V39" s="1012">
        <v>7.49</v>
      </c>
      <c r="W39" s="1012">
        <v>5.7</v>
      </c>
      <c r="X39" s="1012">
        <v>8.58</v>
      </c>
      <c r="Y39" s="1012">
        <v>13.49</v>
      </c>
      <c r="Z39" s="948"/>
    </row>
    <row r="40" spans="1:29" ht="12.75" customHeight="1" x14ac:dyDescent="0.2">
      <c r="A40" s="947"/>
      <c r="B40" s="945" t="s">
        <v>16</v>
      </c>
      <c r="C40" s="2200">
        <v>0.15000000000000036</v>
      </c>
      <c r="D40" s="951">
        <v>2.7272727272727337E-2</v>
      </c>
      <c r="E40" s="908"/>
      <c r="F40" s="1649">
        <v>5.65</v>
      </c>
      <c r="G40" s="1006">
        <v>5.54</v>
      </c>
      <c r="H40" s="1006">
        <v>6.83</v>
      </c>
      <c r="I40" s="1007">
        <v>5.76</v>
      </c>
      <c r="J40" s="1006">
        <v>5.5</v>
      </c>
      <c r="K40" s="1006">
        <v>4.08</v>
      </c>
      <c r="L40" s="1006">
        <v>4.26</v>
      </c>
      <c r="M40" s="1006">
        <v>4.17</v>
      </c>
      <c r="N40" s="1659">
        <v>4.1100000000000003</v>
      </c>
      <c r="O40" s="993"/>
      <c r="P40" s="1667">
        <v>5.54</v>
      </c>
      <c r="Q40" s="1667">
        <v>4.08</v>
      </c>
      <c r="R40" s="1009">
        <v>1.46</v>
      </c>
      <c r="S40" s="952">
        <v>0.35784313725490197</v>
      </c>
      <c r="T40" s="995"/>
      <c r="U40" s="1012">
        <v>5.54</v>
      </c>
      <c r="V40" s="1012">
        <v>4.08</v>
      </c>
      <c r="W40" s="1012">
        <v>3.53</v>
      </c>
      <c r="X40" s="1012">
        <v>3.5</v>
      </c>
      <c r="Y40" s="1012">
        <v>5.98</v>
      </c>
      <c r="Z40" s="948"/>
    </row>
    <row r="41" spans="1:29" ht="12.75" customHeight="1" x14ac:dyDescent="0.2">
      <c r="A41" s="947"/>
      <c r="B41" s="945" t="s">
        <v>17</v>
      </c>
      <c r="C41" s="2200">
        <v>-1.0899999999999999</v>
      </c>
      <c r="D41" s="951">
        <v>-0.15728715728715728</v>
      </c>
      <c r="E41" s="908"/>
      <c r="F41" s="1649">
        <v>5.84</v>
      </c>
      <c r="G41" s="1006">
        <v>5.77</v>
      </c>
      <c r="H41" s="1006">
        <v>6.9</v>
      </c>
      <c r="I41" s="1007">
        <v>7.26</v>
      </c>
      <c r="J41" s="1006">
        <v>6.93</v>
      </c>
      <c r="K41" s="1006">
        <v>5.8</v>
      </c>
      <c r="L41" s="1006">
        <v>4.29</v>
      </c>
      <c r="M41" s="1006">
        <v>5.33</v>
      </c>
      <c r="N41" s="1659">
        <v>5.09</v>
      </c>
      <c r="O41" s="993"/>
      <c r="P41" s="1667">
        <v>5.84</v>
      </c>
      <c r="Q41" s="1667">
        <v>6.93</v>
      </c>
      <c r="R41" s="1009">
        <v>-1.0899999999999999</v>
      </c>
      <c r="S41" s="952">
        <v>-0.15728715728715728</v>
      </c>
      <c r="T41" s="995"/>
      <c r="U41" s="1012">
        <v>5.84</v>
      </c>
      <c r="V41" s="1012">
        <v>6.93</v>
      </c>
      <c r="W41" s="1012">
        <v>5.09</v>
      </c>
      <c r="X41" s="1012">
        <v>4.01</v>
      </c>
      <c r="Y41" s="1012">
        <v>6.52</v>
      </c>
      <c r="Z41" s="948"/>
    </row>
    <row r="42" spans="1:29" ht="9.75" customHeight="1" x14ac:dyDescent="0.2">
      <c r="A42" s="947"/>
      <c r="B42" s="945"/>
      <c r="C42" s="2200"/>
      <c r="D42" s="952"/>
      <c r="E42" s="908"/>
      <c r="F42" s="910"/>
      <c r="G42" s="996"/>
      <c r="H42" s="968"/>
      <c r="I42" s="1003"/>
      <c r="J42" s="996"/>
      <c r="K42" s="996"/>
      <c r="L42" s="968"/>
      <c r="M42" s="968"/>
      <c r="N42" s="1068"/>
      <c r="O42" s="993"/>
      <c r="P42" s="968"/>
      <c r="Q42" s="971"/>
      <c r="R42" s="971"/>
      <c r="S42" s="952"/>
      <c r="T42" s="995"/>
      <c r="U42" s="992"/>
      <c r="V42" s="992"/>
      <c r="W42" s="992"/>
      <c r="X42" s="992"/>
      <c r="Y42" s="992"/>
      <c r="Z42" s="948"/>
    </row>
    <row r="43" spans="1:29" ht="12.75" customHeight="1" x14ac:dyDescent="0.2">
      <c r="A43" s="945" t="s">
        <v>18</v>
      </c>
      <c r="B43" s="945"/>
      <c r="C43" s="2200"/>
      <c r="D43" s="952"/>
      <c r="E43" s="908"/>
      <c r="F43" s="910"/>
      <c r="G43" s="996"/>
      <c r="H43" s="968"/>
      <c r="I43" s="1003"/>
      <c r="J43" s="996"/>
      <c r="K43" s="996"/>
      <c r="L43" s="968"/>
      <c r="M43" s="968"/>
      <c r="N43" s="1068"/>
      <c r="O43" s="993"/>
      <c r="P43" s="968"/>
      <c r="Q43" s="968"/>
      <c r="R43" s="971"/>
      <c r="S43" s="952"/>
      <c r="T43" s="995"/>
      <c r="U43" s="992"/>
      <c r="V43" s="992"/>
      <c r="W43" s="992"/>
      <c r="X43" s="992"/>
      <c r="Y43" s="992"/>
      <c r="Z43" s="948"/>
    </row>
    <row r="44" spans="1:29" s="921" customFormat="1" ht="13.5" customHeight="1" x14ac:dyDescent="0.2">
      <c r="A44" s="947"/>
      <c r="B44" s="945" t="s">
        <v>19</v>
      </c>
      <c r="C44" s="950">
        <v>4526</v>
      </c>
      <c r="D44" s="951">
        <v>4.8638425000537319E-2</v>
      </c>
      <c r="E44" s="917"/>
      <c r="F44" s="912">
        <v>97580</v>
      </c>
      <c r="G44" s="998">
        <v>96259</v>
      </c>
      <c r="H44" s="998">
        <v>97055</v>
      </c>
      <c r="I44" s="1014">
        <v>96502</v>
      </c>
      <c r="J44" s="998">
        <v>93054</v>
      </c>
      <c r="K44" s="998">
        <v>92281</v>
      </c>
      <c r="L44" s="998">
        <v>91602</v>
      </c>
      <c r="M44" s="998">
        <v>92904</v>
      </c>
      <c r="N44" s="955">
        <v>92780</v>
      </c>
      <c r="O44" s="1016"/>
      <c r="P44" s="994">
        <v>97580</v>
      </c>
      <c r="Q44" s="998">
        <v>93054</v>
      </c>
      <c r="R44" s="971">
        <v>4526</v>
      </c>
      <c r="S44" s="1017">
        <v>4.8638425000537319E-2</v>
      </c>
      <c r="T44" s="1018"/>
      <c r="U44" s="992">
        <v>97580</v>
      </c>
      <c r="V44" s="1015">
        <v>93054</v>
      </c>
      <c r="W44" s="1015">
        <v>92780</v>
      </c>
      <c r="X44" s="1015">
        <v>89084</v>
      </c>
      <c r="Y44" s="1015">
        <v>91794.667000000001</v>
      </c>
      <c r="Z44" s="1856"/>
    </row>
    <row r="45" spans="1:29" s="921" customFormat="1" ht="13.5" customHeight="1" x14ac:dyDescent="0.2">
      <c r="A45" s="947"/>
      <c r="B45" s="945" t="s">
        <v>20</v>
      </c>
      <c r="C45" s="950">
        <v>2094</v>
      </c>
      <c r="D45" s="951">
        <v>1.8445601331888693E-2</v>
      </c>
      <c r="E45" s="917"/>
      <c r="F45" s="912">
        <v>115617</v>
      </c>
      <c r="G45" s="998">
        <v>114857</v>
      </c>
      <c r="H45" s="998">
        <v>115707</v>
      </c>
      <c r="I45" s="1014">
        <v>113548</v>
      </c>
      <c r="J45" s="998">
        <v>113523</v>
      </c>
      <c r="K45" s="998">
        <v>113511</v>
      </c>
      <c r="L45" s="998">
        <v>113511</v>
      </c>
      <c r="M45" s="998">
        <v>113511</v>
      </c>
      <c r="N45" s="955">
        <v>113511</v>
      </c>
      <c r="O45" s="1016"/>
      <c r="P45" s="994">
        <v>115617</v>
      </c>
      <c r="Q45" s="998">
        <v>113523</v>
      </c>
      <c r="R45" s="971">
        <v>2094</v>
      </c>
      <c r="S45" s="1017">
        <v>1.8445601331888693E-2</v>
      </c>
      <c r="T45" s="1018"/>
      <c r="U45" s="992">
        <v>115617</v>
      </c>
      <c r="V45" s="1015">
        <v>113523</v>
      </c>
      <c r="W45" s="1015">
        <v>113511</v>
      </c>
      <c r="X45" s="1015">
        <v>103812</v>
      </c>
      <c r="Y45" s="1015">
        <v>102607.705</v>
      </c>
      <c r="Z45" s="1856"/>
    </row>
    <row r="46" spans="1:29" s="921" customFormat="1" ht="13.5" customHeight="1" x14ac:dyDescent="0.2">
      <c r="A46" s="947"/>
      <c r="B46" s="945" t="s">
        <v>21</v>
      </c>
      <c r="C46" s="950">
        <v>15947</v>
      </c>
      <c r="D46" s="951">
        <v>0.12830064202616379</v>
      </c>
      <c r="E46" s="917"/>
      <c r="F46" s="912">
        <v>140241</v>
      </c>
      <c r="G46" s="998">
        <v>136659</v>
      </c>
      <c r="H46" s="998">
        <v>137741</v>
      </c>
      <c r="I46" s="1014">
        <v>124646</v>
      </c>
      <c r="J46" s="998">
        <v>124294</v>
      </c>
      <c r="K46" s="998">
        <v>124209</v>
      </c>
      <c r="L46" s="998">
        <v>124141</v>
      </c>
      <c r="M46" s="998">
        <v>124281</v>
      </c>
      <c r="N46" s="955">
        <v>124479</v>
      </c>
      <c r="O46" s="1016"/>
      <c r="P46" s="994">
        <v>140241</v>
      </c>
      <c r="Q46" s="998">
        <v>124294</v>
      </c>
      <c r="R46" s="971">
        <v>15947</v>
      </c>
      <c r="S46" s="1017">
        <v>0.12830064202616379</v>
      </c>
      <c r="T46" s="1018"/>
      <c r="U46" s="992">
        <v>140241</v>
      </c>
      <c r="V46" s="1015">
        <v>124294</v>
      </c>
      <c r="W46" s="1015">
        <v>124479</v>
      </c>
      <c r="X46" s="1015">
        <v>109072</v>
      </c>
      <c r="Y46" s="1015">
        <v>104704.48299999999</v>
      </c>
      <c r="Z46" s="1856"/>
    </row>
    <row r="47" spans="1:29" s="921" customFormat="1" ht="13.5" customHeight="1" x14ac:dyDescent="0.2">
      <c r="A47" s="947"/>
      <c r="B47" s="945" t="s">
        <v>22</v>
      </c>
      <c r="C47" s="950">
        <v>3966</v>
      </c>
      <c r="D47" s="951">
        <v>4.2769330313814302E-2</v>
      </c>
      <c r="E47" s="917"/>
      <c r="F47" s="912">
        <v>96696</v>
      </c>
      <c r="G47" s="998">
        <v>97163</v>
      </c>
      <c r="H47" s="998">
        <v>96583</v>
      </c>
      <c r="I47" s="1014">
        <v>94363</v>
      </c>
      <c r="J47" s="998">
        <v>92730</v>
      </c>
      <c r="K47" s="998">
        <v>92030</v>
      </c>
      <c r="L47" s="998">
        <v>92529</v>
      </c>
      <c r="M47" s="998">
        <v>93069</v>
      </c>
      <c r="N47" s="955">
        <v>91985</v>
      </c>
      <c r="O47" s="1016"/>
      <c r="P47" s="994">
        <v>96260</v>
      </c>
      <c r="Q47" s="998">
        <v>92587</v>
      </c>
      <c r="R47" s="971">
        <v>3673</v>
      </c>
      <c r="S47" s="1017">
        <v>3.9670796116085413E-2</v>
      </c>
      <c r="T47" s="1018"/>
      <c r="U47" s="992">
        <v>96260</v>
      </c>
      <c r="V47" s="1015">
        <v>92587</v>
      </c>
      <c r="W47" s="1015">
        <v>91657</v>
      </c>
      <c r="X47" s="1015">
        <v>90553</v>
      </c>
      <c r="Y47" s="1015">
        <v>91693</v>
      </c>
      <c r="Z47" s="1856"/>
      <c r="AC47" s="922"/>
    </row>
    <row r="48" spans="1:29" s="921" customFormat="1" ht="13.5" customHeight="1" x14ac:dyDescent="0.2">
      <c r="A48" s="947"/>
      <c r="B48" s="945" t="s">
        <v>230</v>
      </c>
      <c r="C48" s="950">
        <v>6050</v>
      </c>
      <c r="D48" s="951">
        <v>5.3927816948487792E-2</v>
      </c>
      <c r="E48" s="917"/>
      <c r="F48" s="914">
        <v>118237</v>
      </c>
      <c r="G48" s="1001">
        <v>129169</v>
      </c>
      <c r="H48" s="1001">
        <v>115861</v>
      </c>
      <c r="I48" s="1019">
        <v>117541</v>
      </c>
      <c r="J48" s="1001">
        <v>112187</v>
      </c>
      <c r="K48" s="1001">
        <v>113613</v>
      </c>
      <c r="L48" s="1001">
        <v>104741</v>
      </c>
      <c r="M48" s="1001" t="s">
        <v>166</v>
      </c>
      <c r="N48" s="1527">
        <v>102296</v>
      </c>
      <c r="O48" s="1016"/>
      <c r="P48" s="994">
        <v>130944</v>
      </c>
      <c r="Q48" s="1001">
        <v>110862</v>
      </c>
      <c r="R48" s="971">
        <v>20082</v>
      </c>
      <c r="S48" s="1017">
        <v>0.18114412512853817</v>
      </c>
      <c r="T48" s="1018"/>
      <c r="U48" s="992">
        <v>130944</v>
      </c>
      <c r="V48" s="1020">
        <v>110862</v>
      </c>
      <c r="W48" s="1020">
        <v>101149</v>
      </c>
      <c r="X48" s="1020" t="s">
        <v>166</v>
      </c>
      <c r="Y48" s="1020" t="s">
        <v>166</v>
      </c>
      <c r="Z48" s="1856"/>
      <c r="AC48" s="922"/>
    </row>
    <row r="49" spans="1:30" ht="9.75" customHeight="1" x14ac:dyDescent="0.2">
      <c r="A49" s="947"/>
      <c r="B49" s="945"/>
      <c r="C49" s="950"/>
      <c r="D49" s="951"/>
      <c r="E49" s="908"/>
      <c r="F49" s="910"/>
      <c r="G49" s="996"/>
      <c r="H49" s="968"/>
      <c r="I49" s="1003"/>
      <c r="J49" s="996"/>
      <c r="K49" s="996"/>
      <c r="L49" s="968"/>
      <c r="M49" s="968"/>
      <c r="N49" s="1068"/>
      <c r="O49" s="993"/>
      <c r="P49" s="998"/>
      <c r="Q49" s="945"/>
      <c r="R49" s="971"/>
      <c r="S49" s="952"/>
      <c r="T49" s="995"/>
      <c r="U49" s="992"/>
      <c r="V49" s="992"/>
      <c r="W49" s="992"/>
      <c r="X49" s="992"/>
      <c r="Y49" s="992"/>
      <c r="Z49" s="948"/>
    </row>
    <row r="50" spans="1:30" ht="12.75" customHeight="1" x14ac:dyDescent="0.2">
      <c r="A50" s="945" t="s">
        <v>245</v>
      </c>
      <c r="B50" s="945"/>
      <c r="C50" s="950">
        <v>-42349.979999999981</v>
      </c>
      <c r="D50" s="951">
        <v>-4.9166558523405977E-2</v>
      </c>
      <c r="E50" s="908"/>
      <c r="F50" s="1658">
        <v>819007.44</v>
      </c>
      <c r="G50" s="1000">
        <v>788522.42999999993</v>
      </c>
      <c r="H50" s="1000">
        <v>950412.9</v>
      </c>
      <c r="I50" s="1022">
        <v>904929.96</v>
      </c>
      <c r="J50" s="1000">
        <v>861357.41999999993</v>
      </c>
      <c r="K50" s="1000">
        <v>720412.2</v>
      </c>
      <c r="L50" s="1000">
        <v>532564.89</v>
      </c>
      <c r="M50" s="1000">
        <v>662417.73</v>
      </c>
      <c r="N50" s="1021">
        <v>633598.11</v>
      </c>
      <c r="O50" s="993"/>
      <c r="P50" s="994">
        <v>819007.44</v>
      </c>
      <c r="Q50" s="998">
        <v>861357.41999999993</v>
      </c>
      <c r="R50" s="971">
        <v>-42349.979999999981</v>
      </c>
      <c r="S50" s="952">
        <v>-4.9166558523405977E-2</v>
      </c>
      <c r="T50" s="1024"/>
      <c r="U50" s="992">
        <v>819007.44</v>
      </c>
      <c r="V50" s="1023">
        <v>861357.41999999993</v>
      </c>
      <c r="W50" s="1023">
        <v>633598.11</v>
      </c>
      <c r="X50" s="1023">
        <v>437378.72</v>
      </c>
      <c r="Y50" s="1023">
        <v>682673.22915999987</v>
      </c>
      <c r="Z50" s="948"/>
      <c r="AC50" s="923"/>
      <c r="AD50" s="923"/>
    </row>
    <row r="51" spans="1:30" ht="9.75" customHeight="1" x14ac:dyDescent="0.2">
      <c r="A51" s="947"/>
      <c r="B51" s="945"/>
      <c r="C51" s="950"/>
      <c r="D51" s="952"/>
      <c r="E51" s="908"/>
      <c r="F51" s="910"/>
      <c r="G51" s="996"/>
      <c r="H51" s="968"/>
      <c r="I51" s="1003"/>
      <c r="J51" s="996"/>
      <c r="K51" s="996"/>
      <c r="L51" s="968"/>
      <c r="M51" s="968"/>
      <c r="N51" s="1068"/>
      <c r="O51" s="993"/>
      <c r="P51" s="968"/>
      <c r="Q51" s="968"/>
      <c r="R51" s="1025"/>
      <c r="S51" s="1027"/>
      <c r="T51" s="995"/>
      <c r="U51" s="992"/>
      <c r="V51" s="1026"/>
      <c r="W51" s="1026"/>
      <c r="X51" s="1026"/>
      <c r="Y51" s="1026"/>
      <c r="Z51" s="948"/>
    </row>
    <row r="52" spans="1:30" ht="12" customHeight="1" x14ac:dyDescent="0.2">
      <c r="A52" s="946" t="s">
        <v>219</v>
      </c>
      <c r="B52" s="945"/>
      <c r="C52" s="950"/>
      <c r="D52" s="952"/>
      <c r="E52" s="908"/>
      <c r="F52" s="910"/>
      <c r="G52" s="996"/>
      <c r="H52" s="968"/>
      <c r="I52" s="1003"/>
      <c r="J52" s="996"/>
      <c r="K52" s="996"/>
      <c r="L52" s="968"/>
      <c r="M52" s="968"/>
      <c r="N52" s="1068"/>
      <c r="O52" s="993"/>
      <c r="P52" s="968"/>
      <c r="Q52" s="968"/>
      <c r="R52" s="1025"/>
      <c r="S52" s="1027"/>
      <c r="T52" s="995"/>
      <c r="U52" s="992"/>
      <c r="V52" s="1026"/>
      <c r="W52" s="1026"/>
      <c r="X52" s="1026"/>
      <c r="Y52" s="1026"/>
      <c r="Z52" s="948"/>
    </row>
    <row r="53" spans="1:30" ht="12" customHeight="1" x14ac:dyDescent="0.2">
      <c r="A53" s="947"/>
      <c r="B53" s="945" t="s">
        <v>211</v>
      </c>
      <c r="C53" s="950">
        <v>0</v>
      </c>
      <c r="D53" s="951">
        <v>0</v>
      </c>
      <c r="E53" s="908"/>
      <c r="F53" s="924">
        <v>8540</v>
      </c>
      <c r="G53" s="1028">
        <v>8540</v>
      </c>
      <c r="H53" s="1028">
        <v>8540</v>
      </c>
      <c r="I53" s="1029">
        <v>8540</v>
      </c>
      <c r="J53" s="1030">
        <v>8540</v>
      </c>
      <c r="K53" s="1028">
        <v>8540</v>
      </c>
      <c r="L53" s="1028">
        <v>8540</v>
      </c>
      <c r="M53" s="1028">
        <v>8540</v>
      </c>
      <c r="N53" s="1660">
        <v>8540</v>
      </c>
      <c r="O53" s="1034"/>
      <c r="P53" s="994">
        <v>8540</v>
      </c>
      <c r="Q53" s="994">
        <v>8540</v>
      </c>
      <c r="R53" s="1002">
        <v>0</v>
      </c>
      <c r="S53" s="1758">
        <v>0</v>
      </c>
      <c r="T53" s="1032"/>
      <c r="U53" s="992">
        <v>8540</v>
      </c>
      <c r="V53" s="1035">
        <v>8540</v>
      </c>
      <c r="W53" s="1035">
        <v>8540</v>
      </c>
      <c r="X53" s="1035">
        <v>8540</v>
      </c>
      <c r="Y53" s="1035">
        <v>8540</v>
      </c>
      <c r="Z53" s="948"/>
    </row>
    <row r="54" spans="1:30" ht="9.75" customHeight="1" x14ac:dyDescent="0.2">
      <c r="A54" s="947"/>
      <c r="B54" s="945"/>
      <c r="C54" s="950"/>
      <c r="D54" s="952"/>
      <c r="E54" s="908"/>
      <c r="F54" s="910"/>
      <c r="G54" s="996"/>
      <c r="H54" s="968"/>
      <c r="I54" s="1003"/>
      <c r="J54" s="996"/>
      <c r="K54" s="996"/>
      <c r="L54" s="968"/>
      <c r="M54" s="968"/>
      <c r="N54" s="1068"/>
      <c r="O54" s="993"/>
      <c r="P54" s="968"/>
      <c r="Q54" s="968"/>
      <c r="R54" s="1025"/>
      <c r="S54" s="1027"/>
      <c r="T54" s="995"/>
      <c r="U54" s="992"/>
      <c r="V54" s="1026"/>
      <c r="W54" s="1026"/>
      <c r="X54" s="1026"/>
      <c r="Y54" s="1026"/>
      <c r="Z54" s="948"/>
    </row>
    <row r="55" spans="1:30" ht="12.75" customHeight="1" x14ac:dyDescent="0.2">
      <c r="A55" s="946" t="s">
        <v>584</v>
      </c>
      <c r="B55" s="945"/>
      <c r="C55" s="950"/>
      <c r="D55" s="952"/>
      <c r="E55" s="908"/>
      <c r="F55" s="1631"/>
      <c r="G55" s="951"/>
      <c r="H55" s="945"/>
      <c r="I55" s="1036"/>
      <c r="J55" s="1632"/>
      <c r="K55" s="951"/>
      <c r="L55" s="945"/>
      <c r="M55" s="945"/>
      <c r="N55" s="1661"/>
      <c r="O55" s="1016"/>
      <c r="P55" s="945"/>
      <c r="Q55" s="968"/>
      <c r="R55" s="1025"/>
      <c r="S55" s="1027"/>
      <c r="T55" s="995"/>
      <c r="U55" s="992"/>
      <c r="V55" s="1026"/>
      <c r="W55" s="1026"/>
      <c r="X55" s="1026"/>
      <c r="Y55" s="1026"/>
      <c r="Z55" s="948"/>
    </row>
    <row r="56" spans="1:30" ht="13.5" customHeight="1" x14ac:dyDescent="0.2">
      <c r="A56" s="956"/>
      <c r="B56" s="945" t="s">
        <v>212</v>
      </c>
      <c r="C56" s="2200">
        <v>0.05</v>
      </c>
      <c r="D56" s="951">
        <v>0.41666666666666669</v>
      </c>
      <c r="E56" s="908"/>
      <c r="F56" s="1630">
        <v>0.17</v>
      </c>
      <c r="G56" s="2201">
        <v>0.01</v>
      </c>
      <c r="H56" s="2201">
        <v>0.01</v>
      </c>
      <c r="I56" s="1039">
        <v>0.01</v>
      </c>
      <c r="J56" s="1044">
        <v>0.12</v>
      </c>
      <c r="K56" s="2201">
        <v>0.01</v>
      </c>
      <c r="L56" s="2201">
        <v>0.01</v>
      </c>
      <c r="M56" s="1038">
        <v>0.01</v>
      </c>
      <c r="N56" s="2202">
        <v>0.1</v>
      </c>
      <c r="O56" s="1016"/>
      <c r="P56" s="1042">
        <v>0.04</v>
      </c>
      <c r="Q56" s="1038">
        <v>0.15000000000000002</v>
      </c>
      <c r="R56" s="1009">
        <v>-0.11000000000000001</v>
      </c>
      <c r="S56" s="952">
        <v>-0.73333333333333328</v>
      </c>
      <c r="T56" s="995"/>
      <c r="U56" s="1012">
        <v>0.2</v>
      </c>
      <c r="V56" s="1180">
        <v>0.15000000000000002</v>
      </c>
      <c r="W56" s="1180">
        <v>0.1</v>
      </c>
      <c r="X56" s="1043">
        <v>0.1</v>
      </c>
      <c r="Y56" s="1043">
        <v>0.25</v>
      </c>
      <c r="Z56" s="948"/>
    </row>
    <row r="57" spans="1:30" ht="13.5" hidden="1" customHeight="1" x14ac:dyDescent="0.2">
      <c r="A57" s="956"/>
      <c r="B57" s="945" t="s">
        <v>23</v>
      </c>
      <c r="C57" s="1780">
        <v>0</v>
      </c>
      <c r="D57" s="1031"/>
      <c r="E57" s="908"/>
      <c r="F57" s="1630"/>
      <c r="G57" s="1044"/>
      <c r="H57" s="1040"/>
      <c r="I57" s="1017"/>
      <c r="J57" s="1044"/>
      <c r="K57" s="1044"/>
      <c r="L57" s="1040"/>
      <c r="M57" s="951"/>
      <c r="N57" s="2202"/>
      <c r="O57" s="1016"/>
      <c r="P57" s="1042">
        <v>0</v>
      </c>
      <c r="Q57" s="968"/>
      <c r="R57" s="1009">
        <v>0</v>
      </c>
      <c r="S57" s="952" t="e">
        <v>#DIV/0!</v>
      </c>
      <c r="T57" s="995"/>
      <c r="U57" s="992">
        <v>0</v>
      </c>
      <c r="V57" s="1041">
        <v>0</v>
      </c>
      <c r="W57" s="1041">
        <v>0</v>
      </c>
      <c r="X57" s="1041"/>
      <c r="Y57" s="1041"/>
      <c r="Z57" s="948"/>
    </row>
    <row r="58" spans="1:30" ht="13.5" customHeight="1" x14ac:dyDescent="0.2">
      <c r="A58" s="956"/>
      <c r="B58" s="957" t="s">
        <v>213</v>
      </c>
      <c r="C58" s="958">
        <v>1.1793571725078575</v>
      </c>
      <c r="D58" s="1031"/>
      <c r="E58" s="908"/>
      <c r="F58" s="1883">
        <v>2.9109589041095892E-2</v>
      </c>
      <c r="G58" s="1883">
        <v>6.9324090121317163E-3</v>
      </c>
      <c r="H58" s="1883">
        <v>5.7971014492753624E-3</v>
      </c>
      <c r="I58" s="1973">
        <v>5.5096418732782371E-3</v>
      </c>
      <c r="J58" s="1883">
        <v>1.7316017316017316E-2</v>
      </c>
      <c r="K58" s="1883">
        <v>6.8965517241379318E-3</v>
      </c>
      <c r="L58" s="1883">
        <v>9.324009324009324E-3</v>
      </c>
      <c r="M58" s="1883">
        <v>7.5046904315196998E-3</v>
      </c>
      <c r="N58" s="1661">
        <v>1.964636542239686E-2</v>
      </c>
      <c r="O58" s="1016"/>
      <c r="P58" s="1047">
        <v>6.8493150684931512E-3</v>
      </c>
      <c r="Q58" s="957">
        <v>2.1645021645021644E-2</v>
      </c>
      <c r="R58" s="1009">
        <v>0</v>
      </c>
      <c r="S58" s="952">
        <v>0</v>
      </c>
      <c r="T58" s="995"/>
      <c r="U58" s="2285">
        <v>3.4000000000000002E-2</v>
      </c>
      <c r="V58" s="1051">
        <v>2.1645021645021644E-2</v>
      </c>
      <c r="W58" s="1051">
        <v>1.964636542239686E-2</v>
      </c>
      <c r="X58" s="1051">
        <v>2.4937655860349128E-2</v>
      </c>
      <c r="Y58" s="1051">
        <v>3.834355828220859E-2</v>
      </c>
      <c r="Z58" s="948"/>
    </row>
    <row r="59" spans="1:30" ht="13.5" customHeight="1" x14ac:dyDescent="0.2">
      <c r="A59" s="956"/>
      <c r="B59" s="957" t="s">
        <v>214</v>
      </c>
      <c r="C59" s="958" t="s">
        <v>38</v>
      </c>
      <c r="D59" s="1031"/>
      <c r="E59" s="908"/>
      <c r="F59" s="1883">
        <v>62.996442307692305</v>
      </c>
      <c r="G59" s="1883">
        <v>3.8150866936823222E-2</v>
      </c>
      <c r="H59" s="1018">
        <v>7.492520883248073E-2</v>
      </c>
      <c r="I59" s="1049">
        <v>7.4384539796921056E-2</v>
      </c>
      <c r="J59" s="1632">
        <v>-0.97222095346845561</v>
      </c>
      <c r="K59" s="1883">
        <v>3.5382625229886847E-2</v>
      </c>
      <c r="L59" s="1018">
        <v>-0.11540361935746238</v>
      </c>
      <c r="M59" s="1018">
        <v>-0.23638275718450646</v>
      </c>
      <c r="N59" s="1661">
        <v>0.43084718742883171</v>
      </c>
      <c r="O59" s="1016"/>
      <c r="P59" s="1934">
        <v>7.5210057913162973E-2</v>
      </c>
      <c r="Q59" s="1018">
        <v>4.96301078402798</v>
      </c>
      <c r="R59" s="1127">
        <v>-13.3</v>
      </c>
      <c r="S59" s="1027"/>
      <c r="T59" s="995"/>
      <c r="U59" s="2285">
        <v>0.378</v>
      </c>
      <c r="V59" s="1048">
        <v>4.96301078402798</v>
      </c>
      <c r="W59" s="1048">
        <v>0.42002220166512488</v>
      </c>
      <c r="X59" s="1048">
        <v>-2.7836355452501328E-2</v>
      </c>
      <c r="Y59" s="1048">
        <v>-1.0191131339531543</v>
      </c>
      <c r="Z59" s="948"/>
    </row>
    <row r="60" spans="1:30" ht="9.75" customHeight="1" x14ac:dyDescent="0.2">
      <c r="A60" s="940"/>
      <c r="B60" s="940"/>
      <c r="C60" s="960"/>
      <c r="D60" s="961"/>
      <c r="E60" s="909"/>
      <c r="F60" s="1633"/>
      <c r="G60" s="1052"/>
      <c r="H60" s="1052"/>
      <c r="I60" s="961"/>
      <c r="J60" s="1662"/>
      <c r="K60" s="1052"/>
      <c r="L60" s="1052"/>
      <c r="M60" s="1052"/>
      <c r="N60" s="2203"/>
      <c r="O60" s="993"/>
      <c r="P60" s="960"/>
      <c r="Q60" s="1052"/>
      <c r="R60" s="1054"/>
      <c r="S60" s="1055"/>
      <c r="T60" s="962"/>
      <c r="U60" s="2240">
        <v>0</v>
      </c>
      <c r="V60" s="960"/>
      <c r="W60" s="960"/>
      <c r="X60" s="960"/>
      <c r="Y60" s="960"/>
      <c r="Z60" s="948"/>
    </row>
    <row r="61" spans="1:30" ht="9.75" customHeight="1" x14ac:dyDescent="0.2">
      <c r="A61" s="940"/>
      <c r="B61" s="940"/>
      <c r="C61" s="962"/>
      <c r="D61" s="962"/>
      <c r="E61" s="911"/>
      <c r="F61" s="911"/>
      <c r="G61" s="968"/>
      <c r="H61" s="968"/>
      <c r="I61" s="968"/>
      <c r="J61" s="968"/>
      <c r="K61" s="968"/>
      <c r="L61" s="968"/>
      <c r="M61" s="968"/>
      <c r="N61" s="968"/>
      <c r="O61" s="962"/>
      <c r="P61" s="962"/>
      <c r="Q61" s="962"/>
      <c r="R61" s="962"/>
      <c r="S61" s="962"/>
      <c r="T61" s="962"/>
      <c r="U61" s="962"/>
      <c r="V61" s="962"/>
      <c r="W61" s="962"/>
      <c r="X61" s="962"/>
      <c r="Y61" s="962"/>
    </row>
    <row r="62" spans="1:30" ht="18" customHeight="1" x14ac:dyDescent="0.2">
      <c r="A62" s="963" t="s">
        <v>622</v>
      </c>
      <c r="B62" s="940"/>
      <c r="C62" s="962"/>
      <c r="D62" s="962"/>
      <c r="E62" s="911"/>
      <c r="F62" s="911"/>
      <c r="G62" s="968"/>
      <c r="H62" s="968"/>
      <c r="I62" s="968"/>
      <c r="J62" s="968"/>
      <c r="K62" s="968"/>
      <c r="L62" s="968"/>
      <c r="M62" s="968"/>
      <c r="N62" s="968"/>
      <c r="O62" s="962"/>
      <c r="P62" s="962"/>
      <c r="Q62" s="962"/>
      <c r="R62" s="962"/>
      <c r="S62" s="962"/>
      <c r="T62" s="962"/>
      <c r="U62" s="962"/>
      <c r="V62" s="962"/>
      <c r="W62" s="962"/>
      <c r="X62" s="962"/>
      <c r="Y62" s="962"/>
    </row>
    <row r="63" spans="1:30" ht="9.75" customHeight="1" x14ac:dyDescent="0.2">
      <c r="A63" s="963"/>
      <c r="B63" s="940"/>
      <c r="C63" s="962"/>
      <c r="D63" s="962"/>
      <c r="E63" s="911"/>
      <c r="F63" s="932"/>
      <c r="G63" s="968"/>
      <c r="H63" s="1052"/>
      <c r="I63" s="968"/>
      <c r="J63" s="1052"/>
      <c r="K63" s="968"/>
      <c r="L63" s="1052"/>
      <c r="M63" s="968"/>
      <c r="N63" s="1052"/>
      <c r="O63" s="962"/>
      <c r="P63" s="962"/>
      <c r="Q63" s="962"/>
      <c r="R63" s="962"/>
      <c r="S63" s="962"/>
      <c r="T63" s="962"/>
      <c r="U63" s="962"/>
      <c r="V63" s="962"/>
      <c r="W63" s="962"/>
      <c r="X63" s="962"/>
      <c r="Y63" s="962"/>
    </row>
    <row r="64" spans="1:30" x14ac:dyDescent="0.2">
      <c r="A64" s="944" t="s">
        <v>1</v>
      </c>
      <c r="B64" s="940"/>
      <c r="C64" s="2306" t="s">
        <v>667</v>
      </c>
      <c r="D64" s="2307"/>
      <c r="E64" s="933"/>
      <c r="F64" s="934"/>
      <c r="G64" s="975"/>
      <c r="H64" s="1056"/>
      <c r="I64" s="965"/>
      <c r="J64" s="1057"/>
      <c r="K64" s="975"/>
      <c r="L64" s="1056"/>
      <c r="M64" s="965"/>
      <c r="N64" s="1057"/>
      <c r="O64" s="993"/>
      <c r="P64" s="980" t="s">
        <v>668</v>
      </c>
      <c r="Q64" s="981"/>
      <c r="R64" s="981" t="s">
        <v>551</v>
      </c>
      <c r="S64" s="982"/>
      <c r="T64" s="1058"/>
      <c r="U64" s="964"/>
      <c r="V64" s="964"/>
      <c r="W64" s="964"/>
      <c r="X64" s="964"/>
      <c r="Y64" s="964"/>
      <c r="Z64" s="948"/>
    </row>
    <row r="65" spans="1:26" ht="13.5" x14ac:dyDescent="0.2">
      <c r="A65" s="944" t="s">
        <v>2</v>
      </c>
      <c r="B65" s="940"/>
      <c r="C65" s="2308" t="s">
        <v>35</v>
      </c>
      <c r="D65" s="2309"/>
      <c r="E65" s="925"/>
      <c r="F65" s="906" t="s">
        <v>546</v>
      </c>
      <c r="G65" s="985" t="s">
        <v>547</v>
      </c>
      <c r="H65" s="985" t="s">
        <v>548</v>
      </c>
      <c r="I65" s="986" t="s">
        <v>549</v>
      </c>
      <c r="J65" s="985" t="s">
        <v>497</v>
      </c>
      <c r="K65" s="985" t="s">
        <v>496</v>
      </c>
      <c r="L65" s="985" t="s">
        <v>495</v>
      </c>
      <c r="M65" s="986" t="s">
        <v>494</v>
      </c>
      <c r="N65" s="985" t="s">
        <v>363</v>
      </c>
      <c r="O65" s="1060"/>
      <c r="P65" s="985" t="s">
        <v>546</v>
      </c>
      <c r="Q65" s="985" t="s">
        <v>497</v>
      </c>
      <c r="R65" s="2304" t="s">
        <v>35</v>
      </c>
      <c r="S65" s="2305"/>
      <c r="T65" s="1033"/>
      <c r="U65" s="987" t="s">
        <v>550</v>
      </c>
      <c r="V65" s="987" t="s">
        <v>498</v>
      </c>
      <c r="W65" s="987" t="s">
        <v>490</v>
      </c>
      <c r="X65" s="987" t="s">
        <v>360</v>
      </c>
      <c r="Y65" s="987" t="s">
        <v>342</v>
      </c>
      <c r="Z65" s="948"/>
    </row>
    <row r="66" spans="1:26" ht="12.75" customHeight="1" x14ac:dyDescent="0.2">
      <c r="A66" s="946" t="s">
        <v>3</v>
      </c>
      <c r="B66" s="947"/>
      <c r="C66" s="964"/>
      <c r="D66" s="965"/>
      <c r="E66" s="909"/>
      <c r="F66" s="935"/>
      <c r="G66" s="968"/>
      <c r="H66" s="968"/>
      <c r="I66" s="1003"/>
      <c r="J66" s="1061"/>
      <c r="K66" s="968"/>
      <c r="L66" s="968"/>
      <c r="M66" s="1003"/>
      <c r="N66" s="1061"/>
      <c r="O66" s="993"/>
      <c r="P66" s="968"/>
      <c r="Q66" s="968"/>
      <c r="R66" s="968"/>
      <c r="S66" s="1003"/>
      <c r="T66" s="962"/>
      <c r="U66" s="1059"/>
      <c r="V66" s="1059"/>
      <c r="W66" s="1059"/>
      <c r="X66" s="1059"/>
      <c r="Y66" s="1059"/>
      <c r="Z66" s="948"/>
    </row>
    <row r="67" spans="1:26" ht="12.75" customHeight="1" x14ac:dyDescent="0.2">
      <c r="A67" s="945"/>
      <c r="B67" s="945" t="s">
        <v>4</v>
      </c>
      <c r="C67" s="950">
        <v>-37272</v>
      </c>
      <c r="D67" s="951">
        <v>-0.11572280178837556</v>
      </c>
      <c r="E67" s="929"/>
      <c r="F67" s="1653">
        <v>284808</v>
      </c>
      <c r="G67" s="1064">
        <v>331600</v>
      </c>
      <c r="H67" s="971">
        <v>300036</v>
      </c>
      <c r="I67" s="1063">
        <v>274123</v>
      </c>
      <c r="J67" s="1064">
        <v>322080</v>
      </c>
      <c r="K67" s="1064">
        <v>309442</v>
      </c>
      <c r="L67" s="971">
        <v>191547</v>
      </c>
      <c r="M67" s="1063">
        <v>199808</v>
      </c>
      <c r="N67" s="1064">
        <v>271656</v>
      </c>
      <c r="O67" s="993"/>
      <c r="P67" s="994">
        <v>1190567</v>
      </c>
      <c r="Q67" s="1062">
        <v>1022877</v>
      </c>
      <c r="R67" s="971">
        <v>167690</v>
      </c>
      <c r="S67" s="952">
        <v>0.16393955480473213</v>
      </c>
      <c r="T67" s="962"/>
      <c r="U67" s="992">
        <v>1190567</v>
      </c>
      <c r="V67" s="992">
        <v>1022877</v>
      </c>
      <c r="W67" s="992">
        <v>878353</v>
      </c>
      <c r="X67" s="992">
        <v>787805</v>
      </c>
      <c r="Y67" s="992">
        <v>880763</v>
      </c>
      <c r="Z67" s="948"/>
    </row>
    <row r="68" spans="1:26" ht="12.75" customHeight="1" x14ac:dyDescent="0.2">
      <c r="A68" s="945"/>
      <c r="B68" s="945" t="s">
        <v>5</v>
      </c>
      <c r="C68" s="950">
        <v>-7327</v>
      </c>
      <c r="D68" s="951">
        <v>-2.714568343991049E-2</v>
      </c>
      <c r="E68" s="929"/>
      <c r="F68" s="1653">
        <v>262587</v>
      </c>
      <c r="G68" s="1064">
        <v>285702</v>
      </c>
      <c r="H68" s="971">
        <v>261918</v>
      </c>
      <c r="I68" s="1063">
        <v>244774</v>
      </c>
      <c r="J68" s="1064">
        <v>269914</v>
      </c>
      <c r="K68" s="1064">
        <v>259160</v>
      </c>
      <c r="L68" s="971">
        <v>186152</v>
      </c>
      <c r="M68" s="1063">
        <v>197044</v>
      </c>
      <c r="N68" s="1064">
        <v>232161</v>
      </c>
      <c r="O68" s="993"/>
      <c r="P68" s="994">
        <v>1054981</v>
      </c>
      <c r="Q68" s="1062">
        <v>912270</v>
      </c>
      <c r="R68" s="971">
        <v>142711</v>
      </c>
      <c r="S68" s="952">
        <v>0.15643504664189331</v>
      </c>
      <c r="T68" s="962"/>
      <c r="U68" s="992">
        <v>1054981</v>
      </c>
      <c r="V68" s="992">
        <v>912270</v>
      </c>
      <c r="W68" s="992">
        <v>817096</v>
      </c>
      <c r="X68" s="992">
        <v>793862</v>
      </c>
      <c r="Y68" s="992">
        <v>827458</v>
      </c>
      <c r="Z68" s="948"/>
    </row>
    <row r="69" spans="1:26" ht="12.75" customHeight="1" x14ac:dyDescent="0.2">
      <c r="A69" s="945"/>
      <c r="B69" s="945" t="s">
        <v>6</v>
      </c>
      <c r="C69" s="950">
        <v>-9243</v>
      </c>
      <c r="D69" s="951">
        <v>-0.62225663121044839</v>
      </c>
      <c r="E69" s="929"/>
      <c r="F69" s="1653">
        <v>5611</v>
      </c>
      <c r="G69" s="1064">
        <v>9055</v>
      </c>
      <c r="H69" s="971">
        <v>9251</v>
      </c>
      <c r="I69" s="1063">
        <v>4314</v>
      </c>
      <c r="J69" s="1064">
        <v>14854</v>
      </c>
      <c r="K69" s="1064">
        <v>11100</v>
      </c>
      <c r="L69" s="971">
        <v>1847</v>
      </c>
      <c r="M69" s="1063">
        <v>1149</v>
      </c>
      <c r="N69" s="1064">
        <v>6755</v>
      </c>
      <c r="O69" s="993"/>
      <c r="P69" s="994">
        <v>28231</v>
      </c>
      <c r="Q69" s="1062">
        <v>28950</v>
      </c>
      <c r="R69" s="971">
        <v>-719</v>
      </c>
      <c r="S69" s="952">
        <v>-2.4835924006908462E-2</v>
      </c>
      <c r="T69" s="962"/>
      <c r="U69" s="992">
        <v>28231</v>
      </c>
      <c r="V69" s="992">
        <v>28950</v>
      </c>
      <c r="W69" s="992">
        <v>12061</v>
      </c>
      <c r="X69" s="992">
        <v>-62</v>
      </c>
      <c r="Y69" s="992">
        <v>13975</v>
      </c>
      <c r="Z69" s="948"/>
    </row>
    <row r="70" spans="1:26" ht="12.75" customHeight="1" x14ac:dyDescent="0.2">
      <c r="A70" s="945"/>
      <c r="B70" s="945" t="s">
        <v>7</v>
      </c>
      <c r="C70" s="950">
        <v>-20702</v>
      </c>
      <c r="D70" s="951">
        <v>-0.55483490566037741</v>
      </c>
      <c r="E70" s="929"/>
      <c r="F70" s="1653">
        <v>16610</v>
      </c>
      <c r="G70" s="1064">
        <v>36843</v>
      </c>
      <c r="H70" s="971">
        <v>28867</v>
      </c>
      <c r="I70" s="1065">
        <v>25035</v>
      </c>
      <c r="J70" s="1064">
        <v>37312</v>
      </c>
      <c r="K70" s="1064">
        <v>39182</v>
      </c>
      <c r="L70" s="971">
        <v>3548</v>
      </c>
      <c r="M70" s="1065">
        <v>1615</v>
      </c>
      <c r="N70" s="1064">
        <v>32740</v>
      </c>
      <c r="O70" s="993"/>
      <c r="P70" s="994">
        <v>107355</v>
      </c>
      <c r="Q70" s="1062">
        <v>81657</v>
      </c>
      <c r="R70" s="1064">
        <v>25698</v>
      </c>
      <c r="S70" s="952">
        <v>0.31470663874499433</v>
      </c>
      <c r="T70" s="962"/>
      <c r="U70" s="992">
        <v>107355</v>
      </c>
      <c r="V70" s="992">
        <v>81657</v>
      </c>
      <c r="W70" s="992">
        <v>49196</v>
      </c>
      <c r="X70" s="992">
        <v>-5995</v>
      </c>
      <c r="Y70" s="992">
        <v>39330</v>
      </c>
      <c r="Z70" s="948"/>
    </row>
    <row r="71" spans="1:26" ht="12.75" customHeight="1" x14ac:dyDescent="0.2">
      <c r="A71" s="945"/>
      <c r="B71" s="945" t="s">
        <v>324</v>
      </c>
      <c r="C71" s="950">
        <v>-18537</v>
      </c>
      <c r="D71" s="951">
        <v>-0.5243253945805284</v>
      </c>
      <c r="E71" s="908"/>
      <c r="F71" s="1653">
        <v>16817</v>
      </c>
      <c r="G71" s="1064">
        <v>36842</v>
      </c>
      <c r="H71" s="971">
        <v>28642</v>
      </c>
      <c r="I71" s="1065">
        <v>24002</v>
      </c>
      <c r="J71" s="1064">
        <v>35354</v>
      </c>
      <c r="K71" s="1064">
        <v>37016</v>
      </c>
      <c r="L71" s="971">
        <v>3321</v>
      </c>
      <c r="M71" s="1065">
        <v>1913</v>
      </c>
      <c r="N71" s="1064">
        <v>30639</v>
      </c>
      <c r="O71" s="993"/>
      <c r="P71" s="994">
        <v>106303</v>
      </c>
      <c r="Q71" s="1062">
        <v>77604</v>
      </c>
      <c r="R71" s="1064">
        <v>28699</v>
      </c>
      <c r="S71" s="952">
        <v>0.3698134116798103</v>
      </c>
      <c r="T71" s="995"/>
      <c r="U71" s="992">
        <v>106303</v>
      </c>
      <c r="V71" s="992">
        <v>77604</v>
      </c>
      <c r="W71" s="992">
        <v>43902.86</v>
      </c>
      <c r="X71" s="992">
        <v>-6620.4799999999959</v>
      </c>
      <c r="Y71" s="992">
        <v>36447.949999999997</v>
      </c>
      <c r="Z71" s="948"/>
    </row>
    <row r="72" spans="1:26" ht="12.75" customHeight="1" x14ac:dyDescent="0.2">
      <c r="A72" s="945"/>
      <c r="B72" s="945" t="s">
        <v>330</v>
      </c>
      <c r="C72" s="950">
        <v>-18537</v>
      </c>
      <c r="D72" s="951">
        <v>-0.56167621125352241</v>
      </c>
      <c r="E72" s="929"/>
      <c r="F72" s="1653">
        <v>14466</v>
      </c>
      <c r="G72" s="1064">
        <v>34491</v>
      </c>
      <c r="H72" s="971">
        <v>26291</v>
      </c>
      <c r="I72" s="1065">
        <v>21651</v>
      </c>
      <c r="J72" s="1064">
        <v>33003</v>
      </c>
      <c r="K72" s="1064">
        <v>34665</v>
      </c>
      <c r="L72" s="971">
        <v>970</v>
      </c>
      <c r="M72" s="1065">
        <v>-627</v>
      </c>
      <c r="N72" s="1064">
        <v>28099</v>
      </c>
      <c r="O72" s="993"/>
      <c r="P72" s="994">
        <v>96899</v>
      </c>
      <c r="Q72" s="1062">
        <v>68011</v>
      </c>
      <c r="R72" s="971">
        <v>28888</v>
      </c>
      <c r="S72" s="952">
        <v>0.42475481907338519</v>
      </c>
      <c r="T72" s="962"/>
      <c r="U72" s="992">
        <v>96899</v>
      </c>
      <c r="V72" s="992">
        <v>68011</v>
      </c>
      <c r="W72" s="992">
        <v>32824.86</v>
      </c>
      <c r="X72" s="992">
        <v>-18612.479999999996</v>
      </c>
      <c r="Y72" s="992">
        <v>24570.949999999997</v>
      </c>
      <c r="Z72" s="948"/>
    </row>
    <row r="73" spans="1:26" ht="9.75" customHeight="1" x14ac:dyDescent="0.2">
      <c r="A73" s="963"/>
      <c r="B73" s="940"/>
      <c r="C73" s="966"/>
      <c r="D73" s="967"/>
      <c r="E73" s="929"/>
      <c r="F73" s="936"/>
      <c r="G73" s="1064"/>
      <c r="H73" s="1050"/>
      <c r="I73" s="1003"/>
      <c r="J73" s="1066"/>
      <c r="K73" s="1064"/>
      <c r="L73" s="1050"/>
      <c r="M73" s="1003"/>
      <c r="N73" s="1066"/>
      <c r="O73" s="993"/>
      <c r="P73" s="968"/>
      <c r="Q73" s="1064"/>
      <c r="R73" s="1004"/>
      <c r="S73" s="1027"/>
      <c r="T73" s="962"/>
      <c r="U73" s="993"/>
      <c r="V73" s="993"/>
      <c r="W73" s="993"/>
      <c r="X73" s="993"/>
      <c r="Y73" s="993"/>
      <c r="Z73" s="948"/>
    </row>
    <row r="74" spans="1:26" ht="12.75" customHeight="1" x14ac:dyDescent="0.2">
      <c r="A74" s="946" t="s">
        <v>12</v>
      </c>
      <c r="B74" s="945"/>
      <c r="C74" s="966"/>
      <c r="D74" s="967"/>
      <c r="E74" s="929"/>
      <c r="F74" s="936"/>
      <c r="G74" s="1050"/>
      <c r="H74" s="1050"/>
      <c r="I74" s="1063"/>
      <c r="J74" s="1066"/>
      <c r="K74" s="1050"/>
      <c r="L74" s="1050"/>
      <c r="M74" s="1063"/>
      <c r="N74" s="1066"/>
      <c r="O74" s="993"/>
      <c r="P74" s="945"/>
      <c r="Q74" s="968"/>
      <c r="R74" s="1004"/>
      <c r="S74" s="1027"/>
      <c r="T74" s="962"/>
      <c r="U74" s="993"/>
      <c r="V74" s="993"/>
      <c r="W74" s="993"/>
      <c r="X74" s="993"/>
      <c r="Y74" s="993"/>
    </row>
    <row r="75" spans="1:26" ht="12.75" customHeight="1" x14ac:dyDescent="0.2">
      <c r="A75" s="945" t="s">
        <v>13</v>
      </c>
      <c r="B75" s="945"/>
      <c r="C75" s="966"/>
      <c r="D75" s="967"/>
      <c r="E75" s="929"/>
      <c r="F75" s="1635"/>
      <c r="G75" s="1050"/>
      <c r="H75" s="1050"/>
      <c r="I75" s="1003"/>
      <c r="J75" s="954"/>
      <c r="K75" s="1050"/>
      <c r="L75" s="1050"/>
      <c r="M75" s="1003"/>
      <c r="N75" s="954"/>
      <c r="O75" s="993"/>
      <c r="P75" s="945"/>
      <c r="Q75" s="945"/>
      <c r="R75" s="1004"/>
      <c r="S75" s="1027"/>
      <c r="T75" s="962"/>
      <c r="U75" s="993"/>
      <c r="V75" s="993"/>
      <c r="W75" s="993"/>
      <c r="X75" s="993"/>
      <c r="Y75" s="993"/>
    </row>
    <row r="76" spans="1:26" ht="12.75" customHeight="1" x14ac:dyDescent="0.2">
      <c r="A76" s="945"/>
      <c r="B76" s="945" t="s">
        <v>620</v>
      </c>
      <c r="C76" s="2200">
        <v>-0.21</v>
      </c>
      <c r="D76" s="951">
        <v>-0.58333333333333337</v>
      </c>
      <c r="E76" s="908"/>
      <c r="F76" s="1635">
        <v>0.15</v>
      </c>
      <c r="G76" s="1067">
        <v>0.35</v>
      </c>
      <c r="H76" s="1067">
        <v>0.27</v>
      </c>
      <c r="I76" s="1005">
        <v>0.23</v>
      </c>
      <c r="J76" s="954">
        <v>0.36</v>
      </c>
      <c r="K76" s="1004">
        <v>0.38</v>
      </c>
      <c r="L76" s="1067">
        <v>0.01</v>
      </c>
      <c r="M76" s="1005">
        <v>-0.01</v>
      </c>
      <c r="N76" s="954">
        <v>0.31</v>
      </c>
      <c r="O76" s="993"/>
      <c r="P76" s="1011">
        <v>1.01</v>
      </c>
      <c r="Q76" s="1011">
        <v>0.73</v>
      </c>
      <c r="R76" s="1009">
        <v>0.28000000000000003</v>
      </c>
      <c r="S76" s="952">
        <v>0.38356164383561647</v>
      </c>
      <c r="T76" s="962"/>
      <c r="U76" s="1012">
        <v>1.01</v>
      </c>
      <c r="V76" s="1008">
        <v>0.73</v>
      </c>
      <c r="W76" s="1008">
        <v>0.36</v>
      </c>
      <c r="X76" s="1008">
        <v>-0.21</v>
      </c>
      <c r="Y76" s="1008">
        <v>0.27</v>
      </c>
    </row>
    <row r="77" spans="1:26" ht="12.75" customHeight="1" x14ac:dyDescent="0.2">
      <c r="A77" s="945"/>
      <c r="B77" s="945" t="s">
        <v>621</v>
      </c>
      <c r="C77" s="2200">
        <v>-0.16000000000000003</v>
      </c>
      <c r="D77" s="951">
        <v>-0.57142857142857151</v>
      </c>
      <c r="E77" s="908"/>
      <c r="F77" s="1635">
        <v>0.12</v>
      </c>
      <c r="G77" s="1067">
        <v>0.28000000000000003</v>
      </c>
      <c r="H77" s="1067">
        <v>0.23</v>
      </c>
      <c r="I77" s="1005">
        <v>0.19</v>
      </c>
      <c r="J77" s="954">
        <v>0.28000000000000003</v>
      </c>
      <c r="K77" s="1004">
        <v>0.31</v>
      </c>
      <c r="L77" s="1067">
        <v>0.01</v>
      </c>
      <c r="M77" s="1005">
        <v>-0.01</v>
      </c>
      <c r="N77" s="954">
        <v>0.27</v>
      </c>
      <c r="O77" s="993"/>
      <c r="P77" s="1011">
        <v>0.8</v>
      </c>
      <c r="Q77" s="1011">
        <v>0.59</v>
      </c>
      <c r="R77" s="1009">
        <v>0.21000000000000008</v>
      </c>
      <c r="S77" s="952">
        <v>0.35593220338983067</v>
      </c>
      <c r="T77" s="962"/>
      <c r="U77" s="1012">
        <v>0.8</v>
      </c>
      <c r="V77" s="1008">
        <v>0.59</v>
      </c>
      <c r="W77" s="1008">
        <v>0.32</v>
      </c>
      <c r="X77" s="1008">
        <v>-0.21</v>
      </c>
      <c r="Y77" s="1008">
        <v>0.25</v>
      </c>
    </row>
    <row r="78" spans="1:26" ht="12.75" customHeight="1" x14ac:dyDescent="0.2">
      <c r="A78" s="945"/>
      <c r="B78" s="945"/>
      <c r="C78" s="954"/>
      <c r="D78" s="951"/>
      <c r="E78" s="908"/>
      <c r="F78" s="1635"/>
      <c r="G78" s="1004"/>
      <c r="H78" s="1067"/>
      <c r="I78" s="1005"/>
      <c r="J78" s="954"/>
      <c r="K78" s="1004"/>
      <c r="L78" s="1067"/>
      <c r="M78" s="1005"/>
      <c r="N78" s="954"/>
      <c r="O78" s="993"/>
      <c r="P78" s="1011"/>
      <c r="Q78" s="1010"/>
      <c r="R78" s="1009"/>
      <c r="S78" s="952"/>
      <c r="T78" s="962"/>
      <c r="U78" s="1008"/>
      <c r="V78" s="1008"/>
      <c r="W78" s="1008"/>
      <c r="X78" s="1008"/>
      <c r="Y78" s="1008"/>
    </row>
    <row r="79" spans="1:26" ht="12.75" customHeight="1" x14ac:dyDescent="0.2">
      <c r="A79" s="945"/>
      <c r="B79" s="945" t="s">
        <v>532</v>
      </c>
      <c r="C79" s="950">
        <v>3966</v>
      </c>
      <c r="D79" s="951">
        <v>4.2769330313814302E-2</v>
      </c>
      <c r="E79" s="908"/>
      <c r="F79" s="1956">
        <v>96696</v>
      </c>
      <c r="G79" s="1064">
        <v>97163</v>
      </c>
      <c r="H79" s="1064">
        <v>96583</v>
      </c>
      <c r="I79" s="1065">
        <v>94363</v>
      </c>
      <c r="J79" s="1955">
        <v>92730</v>
      </c>
      <c r="K79" s="1064">
        <v>92030</v>
      </c>
      <c r="L79" s="1064">
        <v>92529</v>
      </c>
      <c r="M79" s="1065">
        <v>93069</v>
      </c>
      <c r="N79" s="1955">
        <v>91985</v>
      </c>
      <c r="O79" s="993"/>
      <c r="P79" s="998">
        <v>96260</v>
      </c>
      <c r="Q79" s="998">
        <v>92587</v>
      </c>
      <c r="R79" s="1064">
        <v>3673</v>
      </c>
      <c r="S79" s="1017">
        <v>3.9670796116085413E-2</v>
      </c>
      <c r="T79" s="962"/>
      <c r="U79" s="992">
        <v>96260</v>
      </c>
      <c r="V79" s="1958">
        <v>92587</v>
      </c>
      <c r="W79" s="1958">
        <v>91657</v>
      </c>
      <c r="X79" s="1958">
        <v>90553</v>
      </c>
      <c r="Y79" s="1958">
        <v>91693</v>
      </c>
    </row>
    <row r="80" spans="1:26" ht="12.75" customHeight="1" x14ac:dyDescent="0.2">
      <c r="A80" s="945"/>
      <c r="B80" s="945" t="s">
        <v>533</v>
      </c>
      <c r="C80" s="950">
        <v>10092</v>
      </c>
      <c r="D80" s="951">
        <v>8.3117824375298549E-2</v>
      </c>
      <c r="E80" s="908"/>
      <c r="F80" s="1956">
        <v>131510</v>
      </c>
      <c r="G80" s="1064">
        <v>129169</v>
      </c>
      <c r="H80" s="1064">
        <v>129133</v>
      </c>
      <c r="I80" s="1957">
        <v>117541</v>
      </c>
      <c r="J80" s="1955">
        <v>121418</v>
      </c>
      <c r="K80" s="1064">
        <v>113613</v>
      </c>
      <c r="L80" s="1064">
        <v>104741</v>
      </c>
      <c r="M80" s="1957" t="s">
        <v>166</v>
      </c>
      <c r="N80" s="1955">
        <v>102296</v>
      </c>
      <c r="O80" s="993"/>
      <c r="P80" s="1001">
        <v>130944</v>
      </c>
      <c r="Q80" s="998">
        <v>120093</v>
      </c>
      <c r="R80" s="1064">
        <v>10851</v>
      </c>
      <c r="S80" s="1017">
        <v>9.0354974894456791E-2</v>
      </c>
      <c r="T80" s="962"/>
      <c r="U80" s="992">
        <v>130944</v>
      </c>
      <c r="V80" s="1958">
        <v>120093</v>
      </c>
      <c r="W80" s="1958">
        <v>101149</v>
      </c>
      <c r="X80" s="1959" t="s">
        <v>166</v>
      </c>
      <c r="Y80" s="1959" t="s">
        <v>166</v>
      </c>
    </row>
    <row r="81" spans="1:25" ht="12.75" customHeight="1" x14ac:dyDescent="0.2">
      <c r="A81" s="945"/>
      <c r="B81" s="945"/>
      <c r="C81" s="954"/>
      <c r="D81" s="951"/>
      <c r="E81" s="908"/>
      <c r="F81" s="1635"/>
      <c r="G81" s="1004"/>
      <c r="H81" s="1067"/>
      <c r="I81" s="1005"/>
      <c r="J81" s="954"/>
      <c r="K81" s="1004"/>
      <c r="L81" s="1067"/>
      <c r="M81" s="1005"/>
      <c r="N81" s="1955"/>
      <c r="O81" s="993"/>
      <c r="P81" s="1011"/>
      <c r="Q81" s="1010"/>
      <c r="R81" s="1009"/>
      <c r="S81" s="952"/>
      <c r="T81" s="962"/>
      <c r="U81" s="1008"/>
      <c r="V81" s="1008"/>
      <c r="W81" s="1008"/>
      <c r="X81" s="1008"/>
      <c r="Y81" s="1008"/>
    </row>
    <row r="82" spans="1:25" ht="12.75" customHeight="1" x14ac:dyDescent="0.2">
      <c r="A82" s="963"/>
      <c r="B82" s="940"/>
      <c r="C82" s="960"/>
      <c r="D82" s="961"/>
      <c r="E82" s="909"/>
      <c r="F82" s="931"/>
      <c r="G82" s="1052"/>
      <c r="H82" s="1052"/>
      <c r="I82" s="961"/>
      <c r="J82" s="960"/>
      <c r="K82" s="1052"/>
      <c r="L82" s="1052"/>
      <c r="M82" s="961"/>
      <c r="N82" s="960"/>
      <c r="O82" s="993"/>
      <c r="P82" s="1683"/>
      <c r="Q82" s="1201"/>
      <c r="R82" s="1070"/>
      <c r="S82" s="1071"/>
      <c r="T82" s="962"/>
      <c r="U82" s="1053"/>
      <c r="V82" s="1053"/>
      <c r="W82" s="1053"/>
      <c r="X82" s="1053"/>
      <c r="Y82" s="1053"/>
    </row>
    <row r="83" spans="1:25" x14ac:dyDescent="0.2">
      <c r="A83" s="945" t="s">
        <v>339</v>
      </c>
      <c r="B83" s="940"/>
      <c r="C83" s="968"/>
      <c r="D83" s="968"/>
      <c r="E83" s="911"/>
      <c r="F83" s="911"/>
      <c r="G83" s="968"/>
      <c r="H83" s="968"/>
      <c r="I83" s="968"/>
      <c r="J83" s="968"/>
      <c r="K83" s="968"/>
      <c r="L83" s="968"/>
      <c r="M83" s="968"/>
      <c r="N83" s="968"/>
      <c r="O83" s="962"/>
      <c r="P83" s="962"/>
      <c r="Q83" s="962"/>
      <c r="R83" s="962"/>
      <c r="S83" s="962"/>
      <c r="T83" s="962"/>
      <c r="U83" s="962"/>
      <c r="V83" s="962"/>
      <c r="W83" s="962"/>
      <c r="X83" s="962"/>
      <c r="Y83" s="962"/>
    </row>
    <row r="84" spans="1:25" x14ac:dyDescent="0.2">
      <c r="A84" s="968" t="s">
        <v>25</v>
      </c>
      <c r="B84" s="940"/>
      <c r="C84" s="968"/>
      <c r="D84" s="968"/>
      <c r="E84" s="911"/>
      <c r="F84" s="911"/>
      <c r="G84" s="968"/>
      <c r="H84" s="968"/>
      <c r="I84" s="968"/>
      <c r="J84" s="968"/>
      <c r="K84" s="968"/>
      <c r="L84" s="968"/>
      <c r="M84" s="968"/>
      <c r="N84" s="968"/>
    </row>
    <row r="85" spans="1:25" ht="9.75" customHeight="1" x14ac:dyDescent="0.2">
      <c r="A85" s="940"/>
      <c r="B85" s="940"/>
      <c r="C85" s="968"/>
      <c r="D85" s="968"/>
      <c r="E85" s="911"/>
      <c r="F85" s="911"/>
      <c r="G85" s="968"/>
      <c r="H85" s="968"/>
      <c r="I85" s="968"/>
      <c r="J85" s="968"/>
      <c r="K85" s="968"/>
      <c r="L85" s="968"/>
      <c r="M85" s="968"/>
      <c r="N85" s="968"/>
      <c r="O85" s="940"/>
      <c r="P85" s="940"/>
      <c r="Q85" s="940"/>
    </row>
    <row r="86" spans="1:25" x14ac:dyDescent="0.2">
      <c r="A86" s="945" t="s">
        <v>552</v>
      </c>
      <c r="B86" s="969"/>
      <c r="C86" s="969"/>
      <c r="D86" s="969"/>
      <c r="E86" s="937"/>
      <c r="F86" s="937"/>
      <c r="G86" s="969"/>
      <c r="H86" s="969"/>
      <c r="I86" s="969"/>
      <c r="J86" s="969"/>
      <c r="K86" s="969"/>
      <c r="L86" s="969"/>
      <c r="M86" s="969"/>
      <c r="N86" s="969"/>
      <c r="O86" s="940"/>
      <c r="P86" s="940"/>
      <c r="Q86" s="940"/>
    </row>
    <row r="87" spans="1:25" x14ac:dyDescent="0.2">
      <c r="A87" s="940"/>
      <c r="B87" s="940"/>
      <c r="C87" s="940"/>
      <c r="D87" s="940"/>
      <c r="O87" s="940"/>
      <c r="P87" s="940"/>
      <c r="Q87" s="940"/>
    </row>
    <row r="88" spans="1:25" ht="15" x14ac:dyDescent="0.2">
      <c r="A88" s="956"/>
      <c r="B88" s="970"/>
      <c r="O88" s="940"/>
      <c r="P88" s="940"/>
      <c r="Q88" s="940"/>
    </row>
    <row r="89" spans="1:25" x14ac:dyDescent="0.2">
      <c r="O89" s="940"/>
      <c r="P89" s="940"/>
      <c r="Q89" s="940"/>
    </row>
    <row r="90" spans="1:25" x14ac:dyDescent="0.2">
      <c r="O90" s="940"/>
      <c r="P90" s="940"/>
      <c r="Q90" s="940"/>
    </row>
    <row r="91" spans="1:25" x14ac:dyDescent="0.2">
      <c r="O91" s="940"/>
      <c r="P91" s="940"/>
      <c r="Q91" s="940"/>
    </row>
    <row r="92" spans="1:25" x14ac:dyDescent="0.2">
      <c r="O92" s="940"/>
      <c r="P92" s="940"/>
      <c r="Q92" s="940"/>
    </row>
    <row r="93" spans="1:25" x14ac:dyDescent="0.2">
      <c r="O93" s="940"/>
      <c r="P93" s="940"/>
      <c r="Q93" s="940"/>
    </row>
    <row r="94" spans="1:25" x14ac:dyDescent="0.2">
      <c r="O94" s="940"/>
      <c r="P94" s="940"/>
      <c r="Q94" s="940"/>
    </row>
    <row r="95" spans="1:25" x14ac:dyDescent="0.2">
      <c r="O95" s="940"/>
      <c r="P95" s="940"/>
      <c r="Q95" s="940"/>
    </row>
    <row r="96" spans="1:25" x14ac:dyDescent="0.2">
      <c r="O96" s="940"/>
      <c r="P96" s="940"/>
      <c r="Q96" s="940"/>
    </row>
    <row r="97" spans="15:17" x14ac:dyDescent="0.2">
      <c r="O97" s="940"/>
      <c r="P97" s="940"/>
      <c r="Q97" s="940"/>
    </row>
    <row r="98" spans="15:17" x14ac:dyDescent="0.2">
      <c r="O98" s="940"/>
      <c r="P98" s="940"/>
      <c r="Q98" s="940"/>
    </row>
    <row r="99" spans="15:17" x14ac:dyDescent="0.2">
      <c r="O99" s="940"/>
      <c r="P99" s="940"/>
      <c r="Q99" s="940"/>
    </row>
    <row r="100" spans="15:17" x14ac:dyDescent="0.2">
      <c r="O100" s="940"/>
      <c r="P100" s="940"/>
      <c r="Q100" s="940"/>
    </row>
    <row r="101" spans="15:17" x14ac:dyDescent="0.2">
      <c r="O101" s="940"/>
      <c r="P101" s="940"/>
      <c r="Q101" s="940"/>
    </row>
    <row r="102" spans="15:17" x14ac:dyDescent="0.2">
      <c r="O102" s="940"/>
      <c r="P102" s="940"/>
      <c r="Q102" s="940"/>
    </row>
    <row r="103" spans="15:17" x14ac:dyDescent="0.2">
      <c r="O103" s="940"/>
      <c r="P103" s="940"/>
      <c r="Q103" s="940"/>
    </row>
    <row r="104" spans="15:17" x14ac:dyDescent="0.2">
      <c r="O104" s="940"/>
      <c r="P104" s="940"/>
      <c r="Q104" s="940"/>
    </row>
    <row r="105" spans="15:17" x14ac:dyDescent="0.2">
      <c r="O105" s="940"/>
      <c r="P105" s="940"/>
      <c r="Q105" s="940"/>
    </row>
    <row r="106" spans="15:17" x14ac:dyDescent="0.2">
      <c r="O106" s="940"/>
      <c r="P106" s="940"/>
      <c r="Q106" s="940"/>
    </row>
    <row r="107" spans="15:17" x14ac:dyDescent="0.2">
      <c r="O107" s="940"/>
      <c r="P107" s="940"/>
      <c r="Q107" s="940"/>
    </row>
    <row r="108" spans="15:17" x14ac:dyDescent="0.2">
      <c r="O108" s="940"/>
      <c r="P108" s="940"/>
      <c r="Q108" s="940"/>
    </row>
    <row r="109" spans="15:17" x14ac:dyDescent="0.2">
      <c r="O109" s="940"/>
      <c r="P109" s="940"/>
      <c r="Q109" s="940"/>
    </row>
    <row r="110" spans="15:17" x14ac:dyDescent="0.2">
      <c r="O110" s="940"/>
      <c r="P110" s="940"/>
      <c r="Q110" s="940"/>
    </row>
    <row r="111" spans="15:17" x14ac:dyDescent="0.2">
      <c r="O111" s="940"/>
      <c r="P111" s="940"/>
      <c r="Q111" s="940"/>
    </row>
    <row r="112" spans="15:17" x14ac:dyDescent="0.2">
      <c r="O112" s="940"/>
      <c r="P112" s="940"/>
      <c r="Q112" s="940"/>
    </row>
  </sheetData>
  <mergeCells count="6">
    <mergeCell ref="R10:S10"/>
    <mergeCell ref="R65:S65"/>
    <mergeCell ref="C9:D9"/>
    <mergeCell ref="C10:D10"/>
    <mergeCell ref="C64:D64"/>
    <mergeCell ref="C65:D65"/>
  </mergeCells>
  <phoneticPr fontId="13" type="noConversion"/>
  <conditionalFormatting sqref="A73 A62:A63 A82">
    <cfRule type="cellIs" dxfId="125" priority="1" stopIfTrue="1" operator="equal">
      <formula>0</formula>
    </cfRule>
  </conditionalFormatting>
  <printOptions horizontalCentered="1" verticalCentered="1"/>
  <pageMargins left="0" right="0" top="0" bottom="0" header="0" footer="0"/>
  <pageSetup scale="53" orientation="landscape" r:id="rId1"/>
  <headerFooter alignWithMargins="0">
    <oddFooter>&amp;L&amp;F&amp;CPage 1</oddFooter>
  </headerFooter>
  <colBreaks count="1" manualBreakCount="1">
    <brk id="2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A98"/>
  <sheetViews>
    <sheetView topLeftCell="B1" zoomScaleNormal="100" workbookViewId="0">
      <selection activeCell="J10" sqref="J10"/>
    </sheetView>
  </sheetViews>
  <sheetFormatPr defaultColWidth="9.140625" defaultRowHeight="12.75" x14ac:dyDescent="0.2"/>
  <cols>
    <col min="1" max="1" width="2.7109375" style="1108" customWidth="1"/>
    <col min="2" max="2" width="52.85546875" style="1108" customWidth="1"/>
    <col min="3" max="3" width="11.140625" style="1627" customWidth="1"/>
    <col min="4" max="4" width="9.7109375" style="1627" customWidth="1"/>
    <col min="5" max="5" width="1.5703125" style="1221" customWidth="1"/>
    <col min="6" max="6" width="10" style="1221" customWidth="1"/>
    <col min="7" max="7" width="11" style="1253" customWidth="1"/>
    <col min="8" max="8" width="12.28515625" style="1253" customWidth="1"/>
    <col min="9" max="9" width="11" style="1253" customWidth="1"/>
    <col min="10" max="10" width="11.28515625" style="1253" customWidth="1"/>
    <col min="11" max="11" width="10.42578125" style="1253" customWidth="1"/>
    <col min="12" max="12" width="9.85546875" style="1253" customWidth="1"/>
    <col min="13" max="13" width="11.140625" style="1253" customWidth="1"/>
    <col min="14" max="14" width="10.7109375" style="1253" customWidth="1"/>
    <col min="15" max="15" width="1.7109375" style="1253" customWidth="1"/>
    <col min="16" max="17" width="12.28515625" style="1627" hidden="1" customWidth="1"/>
    <col min="18" max="18" width="10.42578125" style="1627" customWidth="1"/>
    <col min="19" max="19" width="9.140625" style="1627" customWidth="1"/>
    <col min="20" max="20" width="1.7109375" style="1627" customWidth="1"/>
    <col min="21" max="21" width="11.5703125" style="1627" customWidth="1"/>
    <col min="22" max="24" width="11.5703125" style="1627" bestFit="1" customWidth="1"/>
    <col min="25" max="25" width="9.7109375" style="1627" customWidth="1"/>
    <col min="26" max="27" width="1.5703125" style="1627" customWidth="1"/>
    <col min="28" max="16384" width="9.140625" style="1104"/>
  </cols>
  <sheetData>
    <row r="1" spans="1:27" ht="5.25" customHeight="1" x14ac:dyDescent="0.2">
      <c r="C1" s="1108"/>
      <c r="D1" s="1108"/>
      <c r="E1" s="1075"/>
      <c r="F1" s="1075"/>
      <c r="G1" s="1109"/>
      <c r="H1" s="1109"/>
      <c r="I1" s="1109"/>
      <c r="J1" s="1109"/>
      <c r="K1" s="1109"/>
      <c r="L1" s="1109"/>
      <c r="M1" s="1109"/>
      <c r="N1" s="1109"/>
      <c r="O1" s="1138"/>
      <c r="P1" s="1138"/>
      <c r="Q1" s="1138"/>
      <c r="R1" s="1138"/>
      <c r="S1" s="1138"/>
      <c r="T1" s="1138"/>
      <c r="U1" s="1138"/>
      <c r="V1" s="1138"/>
      <c r="W1" s="1138"/>
      <c r="X1" s="1138"/>
      <c r="Y1" s="1138"/>
      <c r="Z1" s="1108"/>
      <c r="AA1" s="1108"/>
    </row>
    <row r="2" spans="1:27" x14ac:dyDescent="0.2">
      <c r="C2" s="1108"/>
      <c r="D2" s="1108"/>
      <c r="E2" s="1075"/>
      <c r="F2" s="1075"/>
      <c r="G2" s="1109"/>
      <c r="H2" s="1109"/>
      <c r="I2" s="1109"/>
      <c r="J2" s="1109"/>
      <c r="K2" s="1109"/>
      <c r="L2" s="1109"/>
      <c r="M2" s="1109"/>
      <c r="N2" s="1109"/>
      <c r="O2" s="1138"/>
      <c r="P2" s="1138"/>
      <c r="Q2" s="1138"/>
      <c r="R2" s="1138"/>
      <c r="S2" s="1138"/>
      <c r="T2" s="1138"/>
      <c r="U2" s="1138"/>
      <c r="V2" s="1138"/>
      <c r="W2" s="1138"/>
      <c r="X2" s="1138"/>
      <c r="Y2" s="1138"/>
      <c r="Z2" s="1108"/>
      <c r="AA2" s="1108"/>
    </row>
    <row r="3" spans="1:27" x14ac:dyDescent="0.2">
      <c r="C3" s="1108"/>
      <c r="D3" s="1108"/>
      <c r="E3" s="1075"/>
      <c r="F3" s="1075"/>
      <c r="G3" s="1109"/>
      <c r="H3" s="1109"/>
      <c r="I3" s="1109"/>
      <c r="J3" s="1109"/>
      <c r="K3" s="1109"/>
      <c r="L3" s="1109"/>
      <c r="M3" s="1109"/>
      <c r="N3" s="1109"/>
      <c r="O3" s="1109"/>
      <c r="P3" s="1109"/>
      <c r="Q3" s="1109"/>
      <c r="R3" s="1109"/>
      <c r="S3" s="1138"/>
      <c r="T3" s="1138"/>
      <c r="U3" s="1138"/>
      <c r="V3" s="1138"/>
      <c r="W3" s="1138"/>
      <c r="X3" s="1138"/>
      <c r="Y3" s="1138"/>
      <c r="Z3" s="1108"/>
      <c r="AA3" s="1108"/>
    </row>
    <row r="4" spans="1:27" x14ac:dyDescent="0.2">
      <c r="C4" s="1108"/>
      <c r="D4" s="1108"/>
      <c r="E4" s="1075"/>
      <c r="F4" s="1075"/>
      <c r="G4" s="1109"/>
      <c r="H4" s="1109"/>
      <c r="I4" s="1109"/>
      <c r="J4" s="1109"/>
      <c r="K4" s="1109"/>
      <c r="L4" s="1109"/>
      <c r="M4" s="1109"/>
      <c r="N4" s="1109"/>
      <c r="O4" s="1109"/>
      <c r="P4" s="1109"/>
      <c r="Q4" s="1109"/>
      <c r="R4" s="1109"/>
      <c r="S4" s="1138"/>
      <c r="T4" s="1138"/>
      <c r="U4" s="1138"/>
      <c r="V4" s="1138"/>
      <c r="W4" s="1138"/>
      <c r="X4" s="1138"/>
      <c r="Y4" s="1138"/>
      <c r="Z4" s="1108"/>
      <c r="AA4" s="1108"/>
    </row>
    <row r="5" spans="1:27" ht="19.5" customHeight="1" x14ac:dyDescent="0.2">
      <c r="A5" s="1109"/>
      <c r="B5" s="1109"/>
      <c r="C5" s="1109"/>
      <c r="D5" s="1109"/>
      <c r="E5" s="1075"/>
      <c r="F5" s="1075"/>
      <c r="G5" s="1109"/>
      <c r="H5" s="1109"/>
      <c r="I5" s="1109"/>
      <c r="J5" s="1109"/>
      <c r="K5" s="1109"/>
      <c r="L5" s="1109"/>
      <c r="M5" s="1109"/>
      <c r="N5" s="1109"/>
      <c r="O5" s="1109"/>
      <c r="P5" s="1109"/>
      <c r="Q5" s="1109"/>
      <c r="R5" s="1109"/>
      <c r="S5" s="1138"/>
      <c r="T5" s="1138"/>
      <c r="U5" s="1138"/>
      <c r="V5" s="1139"/>
      <c r="W5" s="1139"/>
      <c r="X5" s="1138"/>
      <c r="Y5" s="1138"/>
      <c r="Z5" s="1108"/>
      <c r="AA5" s="1108"/>
    </row>
    <row r="6" spans="1:27" ht="18" customHeight="1" x14ac:dyDescent="0.2">
      <c r="A6" s="1110" t="s">
        <v>345</v>
      </c>
      <c r="B6" s="1109"/>
      <c r="C6" s="998"/>
      <c r="D6" s="951"/>
      <c r="E6" s="1075"/>
      <c r="F6" s="1075"/>
      <c r="G6" s="1109"/>
      <c r="H6" s="1109"/>
      <c r="I6" s="1109"/>
      <c r="J6" s="1109"/>
      <c r="K6" s="1109"/>
      <c r="L6" s="1109"/>
      <c r="M6" s="1109"/>
      <c r="N6" s="1109"/>
      <c r="O6" s="1109"/>
      <c r="P6" s="1109"/>
      <c r="Q6" s="1109"/>
      <c r="R6" s="1109"/>
      <c r="S6" s="1138"/>
      <c r="T6" s="1138"/>
      <c r="U6" s="1138"/>
      <c r="V6" s="1139"/>
      <c r="W6" s="1139"/>
      <c r="X6" s="1138"/>
      <c r="Y6" s="1141"/>
      <c r="Z6" s="1108"/>
      <c r="AA6" s="1108"/>
    </row>
    <row r="7" spans="1:27" ht="18" customHeight="1" x14ac:dyDescent="0.2">
      <c r="A7" s="1111" t="s">
        <v>623</v>
      </c>
      <c r="B7" s="942"/>
      <c r="C7" s="942"/>
      <c r="D7" s="942"/>
      <c r="E7" s="898"/>
      <c r="F7" s="898"/>
      <c r="G7" s="942"/>
      <c r="H7" s="942"/>
      <c r="I7" s="973"/>
      <c r="J7" s="942"/>
      <c r="K7" s="942"/>
      <c r="L7" s="942"/>
      <c r="M7" s="973"/>
      <c r="N7" s="942"/>
      <c r="O7" s="1139"/>
      <c r="P7" s="1139"/>
      <c r="Q7" s="1139"/>
      <c r="R7" s="1138"/>
      <c r="S7" s="1138"/>
      <c r="T7" s="1138"/>
      <c r="U7" s="1138"/>
      <c r="V7" s="1139"/>
      <c r="W7" s="1139"/>
      <c r="X7" s="1138"/>
      <c r="Y7" s="1141"/>
      <c r="Z7" s="1108"/>
      <c r="AA7" s="1108"/>
    </row>
    <row r="8" spans="1:27" ht="15" customHeight="1" x14ac:dyDescent="0.2">
      <c r="A8" s="943" t="s">
        <v>560</v>
      </c>
      <c r="B8" s="942"/>
      <c r="C8" s="942"/>
      <c r="D8" s="942"/>
      <c r="E8" s="898"/>
      <c r="F8" s="898"/>
      <c r="G8" s="942"/>
      <c r="H8" s="942"/>
      <c r="I8" s="942"/>
      <c r="J8" s="942"/>
      <c r="K8" s="942"/>
      <c r="L8" s="942"/>
      <c r="M8" s="942"/>
      <c r="N8" s="942"/>
      <c r="O8" s="1138"/>
      <c r="P8" s="1138"/>
      <c r="Q8" s="1138"/>
      <c r="R8" s="1138"/>
      <c r="S8" s="1138"/>
      <c r="T8" s="1138"/>
      <c r="U8" s="1138"/>
      <c r="V8" s="1138"/>
      <c r="W8" s="1138"/>
      <c r="X8" s="1138"/>
      <c r="Y8" s="1138"/>
      <c r="Z8" s="1108"/>
      <c r="AA8" s="1108"/>
    </row>
    <row r="9" spans="1:27" ht="9.75" customHeight="1" x14ac:dyDescent="0.2">
      <c r="C9" s="940"/>
      <c r="D9" s="940"/>
      <c r="E9" s="896"/>
      <c r="F9" s="896"/>
      <c r="G9" s="940"/>
      <c r="H9" s="940"/>
      <c r="I9" s="940"/>
      <c r="J9" s="940"/>
      <c r="K9" s="940"/>
      <c r="L9" s="940"/>
      <c r="M9" s="940"/>
      <c r="N9" s="940"/>
      <c r="O9" s="1109"/>
      <c r="P9" s="1108"/>
      <c r="Q9" s="1108"/>
      <c r="R9" s="1142"/>
      <c r="S9" s="1142"/>
      <c r="T9" s="1108"/>
      <c r="U9" s="1108"/>
      <c r="V9" s="1108"/>
      <c r="W9" s="1108"/>
      <c r="X9" s="1108"/>
      <c r="Y9" s="1108"/>
      <c r="Z9" s="1108"/>
      <c r="AA9" s="1108"/>
    </row>
    <row r="10" spans="1:27" x14ac:dyDescent="0.2">
      <c r="A10" s="944" t="s">
        <v>1</v>
      </c>
      <c r="B10" s="945"/>
      <c r="C10" s="2306" t="s">
        <v>667</v>
      </c>
      <c r="D10" s="2307"/>
      <c r="E10" s="900"/>
      <c r="F10" s="902"/>
      <c r="G10" s="975"/>
      <c r="H10" s="975"/>
      <c r="I10" s="976"/>
      <c r="J10" s="975"/>
      <c r="K10" s="975"/>
      <c r="L10" s="975"/>
      <c r="M10" s="976"/>
      <c r="N10" s="975"/>
      <c r="O10" s="979"/>
      <c r="P10" s="2306" t="s">
        <v>668</v>
      </c>
      <c r="Q10" s="2314"/>
      <c r="R10" s="981" t="s">
        <v>551</v>
      </c>
      <c r="S10" s="982"/>
      <c r="T10" s="983"/>
      <c r="U10" s="1773"/>
      <c r="V10" s="1773"/>
      <c r="W10" s="1773"/>
      <c r="X10" s="984"/>
      <c r="Y10" s="984"/>
      <c r="Z10" s="1147"/>
      <c r="AA10" s="1109"/>
    </row>
    <row r="11" spans="1:27" ht="13.5" x14ac:dyDescent="0.2">
      <c r="A11" s="944" t="s">
        <v>2</v>
      </c>
      <c r="B11" s="945"/>
      <c r="C11" s="2308" t="s">
        <v>35</v>
      </c>
      <c r="D11" s="2305"/>
      <c r="E11" s="905"/>
      <c r="F11" s="906" t="s">
        <v>546</v>
      </c>
      <c r="G11" s="985" t="s">
        <v>547</v>
      </c>
      <c r="H11" s="985" t="s">
        <v>548</v>
      </c>
      <c r="I11" s="986" t="s">
        <v>549</v>
      </c>
      <c r="J11" s="985" t="s">
        <v>497</v>
      </c>
      <c r="K11" s="985" t="s">
        <v>496</v>
      </c>
      <c r="L11" s="985" t="s">
        <v>495</v>
      </c>
      <c r="M11" s="986" t="s">
        <v>494</v>
      </c>
      <c r="N11" s="985" t="s">
        <v>363</v>
      </c>
      <c r="O11" s="989"/>
      <c r="P11" s="985" t="s">
        <v>546</v>
      </c>
      <c r="Q11" s="985" t="s">
        <v>497</v>
      </c>
      <c r="R11" s="2310" t="s">
        <v>35</v>
      </c>
      <c r="S11" s="2311"/>
      <c r="T11" s="990"/>
      <c r="U11" s="988" t="s">
        <v>550</v>
      </c>
      <c r="V11" s="988" t="s">
        <v>498</v>
      </c>
      <c r="W11" s="988" t="s">
        <v>490</v>
      </c>
      <c r="X11" s="987" t="s">
        <v>360</v>
      </c>
      <c r="Y11" s="987" t="s">
        <v>342</v>
      </c>
      <c r="Z11" s="1147"/>
      <c r="AA11" s="1109"/>
    </row>
    <row r="12" spans="1:27" s="1221" customFormat="1" x14ac:dyDescent="0.2">
      <c r="A12" s="944"/>
      <c r="B12" s="945"/>
      <c r="C12" s="1666"/>
      <c r="D12" s="1112"/>
      <c r="E12" s="905"/>
      <c r="F12" s="1080"/>
      <c r="G12" s="1148"/>
      <c r="H12" s="1148"/>
      <c r="I12" s="1149"/>
      <c r="J12" s="1148"/>
      <c r="K12" s="1148"/>
      <c r="L12" s="1148"/>
      <c r="M12" s="1149"/>
      <c r="N12" s="1148"/>
      <c r="O12" s="989"/>
      <c r="P12" s="1148"/>
      <c r="Q12" s="1148"/>
      <c r="R12" s="1144"/>
      <c r="S12" s="1143"/>
      <c r="T12" s="990"/>
      <c r="U12" s="1151"/>
      <c r="V12" s="1151"/>
      <c r="W12" s="1151"/>
      <c r="X12" s="1150"/>
      <c r="Y12" s="1150"/>
      <c r="Z12" s="1147"/>
      <c r="AA12" s="1109"/>
    </row>
    <row r="13" spans="1:27" ht="12.75" customHeight="1" x14ac:dyDescent="0.2">
      <c r="A13" s="946" t="s">
        <v>56</v>
      </c>
      <c r="B13" s="947"/>
      <c r="C13" s="1113"/>
      <c r="D13" s="1111"/>
      <c r="E13" s="1081"/>
      <c r="F13" s="1082"/>
      <c r="G13" s="945"/>
      <c r="H13" s="1133"/>
      <c r="I13" s="1111"/>
      <c r="J13" s="1133"/>
      <c r="K13" s="945"/>
      <c r="L13" s="1133"/>
      <c r="M13" s="1111"/>
      <c r="N13" s="1133"/>
      <c r="O13" s="1152"/>
      <c r="P13" s="1133"/>
      <c r="Q13" s="1133"/>
      <c r="R13" s="1133"/>
      <c r="S13" s="1111"/>
      <c r="T13" s="1118"/>
      <c r="U13" s="1152"/>
      <c r="V13" s="1152"/>
      <c r="W13" s="1152"/>
      <c r="X13" s="1152"/>
      <c r="Y13" s="1152"/>
      <c r="Z13" s="1147"/>
      <c r="AA13" s="1109"/>
    </row>
    <row r="14" spans="1:27" ht="12.75" customHeight="1" x14ac:dyDescent="0.2">
      <c r="A14" s="945"/>
      <c r="B14" s="945" t="s">
        <v>282</v>
      </c>
      <c r="C14" s="955">
        <v>2430</v>
      </c>
      <c r="D14" s="1017">
        <v>1.798028827655607E-2</v>
      </c>
      <c r="E14" s="917"/>
      <c r="F14" s="1083">
        <v>137578</v>
      </c>
      <c r="G14" s="1130">
        <v>143115</v>
      </c>
      <c r="H14" s="1130">
        <v>139402</v>
      </c>
      <c r="I14" s="1165">
        <v>136380</v>
      </c>
      <c r="J14" s="1130">
        <v>135148</v>
      </c>
      <c r="K14" s="1130">
        <v>125709</v>
      </c>
      <c r="L14" s="1130">
        <v>96125</v>
      </c>
      <c r="M14" s="1165">
        <v>104955</v>
      </c>
      <c r="N14" s="1130">
        <v>105890</v>
      </c>
      <c r="O14" s="1169"/>
      <c r="P14" s="1166">
        <v>556475</v>
      </c>
      <c r="Q14" s="1166">
        <v>461937</v>
      </c>
      <c r="R14" s="1166">
        <v>94538</v>
      </c>
      <c r="S14" s="1017">
        <v>0.20465561321132536</v>
      </c>
      <c r="T14" s="1167"/>
      <c r="U14" s="1169">
        <v>556475</v>
      </c>
      <c r="V14" s="1169">
        <v>461937</v>
      </c>
      <c r="W14" s="1169">
        <v>396741</v>
      </c>
      <c r="X14" s="1958">
        <v>376817</v>
      </c>
      <c r="Y14" s="1958">
        <v>374058</v>
      </c>
      <c r="Z14" s="1147"/>
      <c r="AA14" s="1109"/>
    </row>
    <row r="15" spans="1:27" ht="12.75" customHeight="1" x14ac:dyDescent="0.2">
      <c r="A15" s="945"/>
      <c r="B15" s="945" t="s">
        <v>57</v>
      </c>
      <c r="C15" s="955">
        <v>-35198</v>
      </c>
      <c r="D15" s="1017">
        <v>-0.36851142240928031</v>
      </c>
      <c r="E15" s="917"/>
      <c r="F15" s="1083">
        <v>60316</v>
      </c>
      <c r="G15" s="1130">
        <v>98978</v>
      </c>
      <c r="H15" s="1130">
        <v>67426</v>
      </c>
      <c r="I15" s="1165">
        <v>67521</v>
      </c>
      <c r="J15" s="1130">
        <v>95514</v>
      </c>
      <c r="K15" s="1130">
        <v>112629</v>
      </c>
      <c r="L15" s="1130">
        <v>33356</v>
      </c>
      <c r="M15" s="1165">
        <v>40696</v>
      </c>
      <c r="N15" s="1130">
        <v>71595</v>
      </c>
      <c r="O15" s="1169"/>
      <c r="P15" s="1166">
        <v>294241</v>
      </c>
      <c r="Q15" s="1166">
        <v>282195</v>
      </c>
      <c r="R15" s="1166">
        <v>12046</v>
      </c>
      <c r="S15" s="1017">
        <v>4.2686794592391789E-2</v>
      </c>
      <c r="T15" s="1167"/>
      <c r="U15" s="1169">
        <v>294241</v>
      </c>
      <c r="V15" s="1169">
        <v>282195</v>
      </c>
      <c r="W15" s="1169">
        <v>196129</v>
      </c>
      <c r="X15" s="1958">
        <v>132029</v>
      </c>
      <c r="Y15" s="1958">
        <v>236551</v>
      </c>
      <c r="Z15" s="1147"/>
      <c r="AA15" s="1109"/>
    </row>
    <row r="16" spans="1:27" ht="12.75" customHeight="1" x14ac:dyDescent="0.2">
      <c r="A16" s="945"/>
      <c r="B16" s="945" t="s">
        <v>188</v>
      </c>
      <c r="C16" s="955">
        <v>-8710</v>
      </c>
      <c r="D16" s="1017">
        <v>-0.21280234546787197</v>
      </c>
      <c r="E16" s="917"/>
      <c r="F16" s="1083">
        <v>32220</v>
      </c>
      <c r="G16" s="1130">
        <v>40698</v>
      </c>
      <c r="H16" s="1130">
        <v>44396</v>
      </c>
      <c r="I16" s="1165">
        <v>24914</v>
      </c>
      <c r="J16" s="1130">
        <v>40930</v>
      </c>
      <c r="K16" s="1130">
        <v>31957</v>
      </c>
      <c r="L16" s="1130">
        <v>30589</v>
      </c>
      <c r="M16" s="1165">
        <v>18896</v>
      </c>
      <c r="N16" s="1130">
        <v>52474</v>
      </c>
      <c r="O16" s="1182"/>
      <c r="P16" s="1166">
        <v>142228</v>
      </c>
      <c r="Q16" s="1166">
        <v>122372</v>
      </c>
      <c r="R16" s="1186">
        <v>19856</v>
      </c>
      <c r="S16" s="1017">
        <v>0.16225934037198053</v>
      </c>
      <c r="T16" s="1188"/>
      <c r="U16" s="1169">
        <v>142228</v>
      </c>
      <c r="V16" s="1182">
        <v>122372</v>
      </c>
      <c r="W16" s="1182">
        <v>130749</v>
      </c>
      <c r="X16" s="1958">
        <v>160180</v>
      </c>
      <c r="Y16" s="1958">
        <v>153302</v>
      </c>
      <c r="Z16" s="1147"/>
      <c r="AA16" s="1109"/>
    </row>
    <row r="17" spans="1:27" ht="12.75" customHeight="1" x14ac:dyDescent="0.2">
      <c r="A17" s="945"/>
      <c r="B17" s="945" t="s">
        <v>58</v>
      </c>
      <c r="C17" s="955">
        <v>-850</v>
      </c>
      <c r="D17" s="1017">
        <v>-2.3580325685910061E-2</v>
      </c>
      <c r="E17" s="917"/>
      <c r="F17" s="1083">
        <v>35197</v>
      </c>
      <c r="G17" s="1130">
        <v>30776</v>
      </c>
      <c r="H17" s="1130">
        <v>28949</v>
      </c>
      <c r="I17" s="1165">
        <v>30908</v>
      </c>
      <c r="J17" s="1130">
        <v>36047</v>
      </c>
      <c r="K17" s="1130">
        <v>29138</v>
      </c>
      <c r="L17" s="1130">
        <v>22849</v>
      </c>
      <c r="M17" s="1165">
        <v>25887</v>
      </c>
      <c r="N17" s="1130">
        <v>31066</v>
      </c>
      <c r="O17" s="1182"/>
      <c r="P17" s="1166">
        <v>125830</v>
      </c>
      <c r="Q17" s="1166">
        <v>113921</v>
      </c>
      <c r="R17" s="1186">
        <v>11909</v>
      </c>
      <c r="S17" s="1017">
        <v>0.10453735483361276</v>
      </c>
      <c r="T17" s="1188"/>
      <c r="U17" s="1169">
        <v>125830</v>
      </c>
      <c r="V17" s="1182">
        <v>113921</v>
      </c>
      <c r="W17" s="1182">
        <v>119040</v>
      </c>
      <c r="X17" s="1958">
        <v>85559</v>
      </c>
      <c r="Y17" s="1958">
        <v>75217</v>
      </c>
      <c r="Z17" s="1108"/>
      <c r="AA17" s="1108"/>
    </row>
    <row r="18" spans="1:27" ht="12.75" customHeight="1" x14ac:dyDescent="0.2">
      <c r="A18" s="945"/>
      <c r="B18" s="945" t="s">
        <v>59</v>
      </c>
      <c r="C18" s="955">
        <v>3688</v>
      </c>
      <c r="D18" s="1017">
        <v>0.36714783474365353</v>
      </c>
      <c r="E18" s="917"/>
      <c r="F18" s="1083">
        <v>13733</v>
      </c>
      <c r="G18" s="1130">
        <v>12703</v>
      </c>
      <c r="H18" s="1130">
        <v>15326</v>
      </c>
      <c r="I18" s="1165">
        <v>9246</v>
      </c>
      <c r="J18" s="1130">
        <v>10045</v>
      </c>
      <c r="K18" s="1130">
        <v>6861</v>
      </c>
      <c r="L18" s="1130">
        <v>5793</v>
      </c>
      <c r="M18" s="1165">
        <v>5176</v>
      </c>
      <c r="N18" s="1130">
        <v>5217</v>
      </c>
      <c r="O18" s="1182"/>
      <c r="P18" s="1166">
        <v>51008</v>
      </c>
      <c r="Q18" s="1166">
        <v>27875</v>
      </c>
      <c r="R18" s="1186">
        <v>23133</v>
      </c>
      <c r="S18" s="1017">
        <v>0.82988340807174887</v>
      </c>
      <c r="T18" s="1188"/>
      <c r="U18" s="1169">
        <v>51008</v>
      </c>
      <c r="V18" s="1182">
        <v>27875</v>
      </c>
      <c r="W18" s="1182">
        <v>16847</v>
      </c>
      <c r="X18" s="1958">
        <v>16830</v>
      </c>
      <c r="Y18" s="1958">
        <v>22212</v>
      </c>
      <c r="Z18" s="1108"/>
      <c r="AA18" s="1108"/>
    </row>
    <row r="19" spans="1:27" ht="12.75" customHeight="1" x14ac:dyDescent="0.2">
      <c r="A19" s="945"/>
      <c r="B19" s="945" t="s">
        <v>60</v>
      </c>
      <c r="C19" s="955">
        <v>1368</v>
      </c>
      <c r="D19" s="1017">
        <v>0.31119199272065512</v>
      </c>
      <c r="E19" s="917"/>
      <c r="F19" s="1083">
        <v>5764</v>
      </c>
      <c r="G19" s="1130">
        <v>5330</v>
      </c>
      <c r="H19" s="1130">
        <v>4537</v>
      </c>
      <c r="I19" s="1165">
        <v>5154</v>
      </c>
      <c r="J19" s="1130">
        <v>4396</v>
      </c>
      <c r="K19" s="1130">
        <v>3148</v>
      </c>
      <c r="L19" s="1130">
        <v>2835</v>
      </c>
      <c r="M19" s="1165">
        <v>4198</v>
      </c>
      <c r="N19" s="1130">
        <v>5414</v>
      </c>
      <c r="O19" s="1182"/>
      <c r="P19" s="1166">
        <v>20785</v>
      </c>
      <c r="Q19" s="1166">
        <v>14577</v>
      </c>
      <c r="R19" s="1186">
        <v>6208</v>
      </c>
      <c r="S19" s="1117">
        <v>0.42587638059957467</v>
      </c>
      <c r="T19" s="1188"/>
      <c r="U19" s="1169">
        <v>20785</v>
      </c>
      <c r="V19" s="1182">
        <v>14577</v>
      </c>
      <c r="W19" s="1182">
        <v>20040</v>
      </c>
      <c r="X19" s="1958">
        <v>16390</v>
      </c>
      <c r="Y19" s="1958">
        <v>19423</v>
      </c>
      <c r="Z19" s="1108"/>
      <c r="AA19" s="1108"/>
    </row>
    <row r="20" spans="1:27" ht="12.75" customHeight="1" x14ac:dyDescent="0.2">
      <c r="A20" s="947"/>
      <c r="B20" s="945"/>
      <c r="C20" s="1114">
        <v>-37272</v>
      </c>
      <c r="D20" s="1115">
        <v>-0.11572280178837556</v>
      </c>
      <c r="E20" s="917"/>
      <c r="F20" s="1085">
        <v>284808</v>
      </c>
      <c r="G20" s="1269">
        <v>331600</v>
      </c>
      <c r="H20" s="1269">
        <v>300036</v>
      </c>
      <c r="I20" s="1274">
        <v>274123</v>
      </c>
      <c r="J20" s="1269">
        <v>322080</v>
      </c>
      <c r="K20" s="1269">
        <v>309442</v>
      </c>
      <c r="L20" s="1269">
        <v>191547</v>
      </c>
      <c r="M20" s="1274">
        <v>199808</v>
      </c>
      <c r="N20" s="1269">
        <v>271656</v>
      </c>
      <c r="O20" s="1182"/>
      <c r="P20" s="1269">
        <v>1190567</v>
      </c>
      <c r="Q20" s="1269">
        <v>1022877</v>
      </c>
      <c r="R20" s="1192">
        <v>167690</v>
      </c>
      <c r="S20" s="1115">
        <v>0.16393955480473213</v>
      </c>
      <c r="T20" s="1188"/>
      <c r="U20" s="1277">
        <v>1190567</v>
      </c>
      <c r="V20" s="1277">
        <v>1022877</v>
      </c>
      <c r="W20" s="1277">
        <v>879546</v>
      </c>
      <c r="X20" s="1277">
        <v>787805</v>
      </c>
      <c r="Y20" s="1185">
        <v>880763</v>
      </c>
      <c r="Z20" s="1108"/>
      <c r="AA20" s="1108"/>
    </row>
    <row r="21" spans="1:27" ht="12.75" customHeight="1" x14ac:dyDescent="0.2">
      <c r="A21" s="946" t="s">
        <v>5</v>
      </c>
      <c r="B21" s="945"/>
      <c r="C21" s="1240"/>
      <c r="D21" s="1135"/>
      <c r="E21" s="917"/>
      <c r="F21" s="1083"/>
      <c r="G21" s="1130"/>
      <c r="H21" s="1130"/>
      <c r="I21" s="1165"/>
      <c r="J21" s="1130"/>
      <c r="K21" s="1130"/>
      <c r="L21" s="1130"/>
      <c r="M21" s="1165"/>
      <c r="N21" s="1130"/>
      <c r="O21" s="1182"/>
      <c r="P21" s="1186"/>
      <c r="Q21" s="1186"/>
      <c r="R21" s="1186"/>
      <c r="S21" s="1165"/>
      <c r="T21" s="1188"/>
      <c r="U21" s="1182"/>
      <c r="V21" s="1182"/>
      <c r="W21" s="1182"/>
      <c r="X21" s="1182"/>
      <c r="Y21" s="1182"/>
      <c r="Z21" s="1147"/>
      <c r="AA21" s="1109"/>
    </row>
    <row r="22" spans="1:27" ht="12.75" customHeight="1" x14ac:dyDescent="0.2">
      <c r="A22" s="947"/>
      <c r="B22" s="1126" t="s">
        <v>624</v>
      </c>
      <c r="C22" s="955">
        <v>-16500</v>
      </c>
      <c r="D22" s="1017">
        <v>-0.10286205886203392</v>
      </c>
      <c r="E22" s="917"/>
      <c r="F22" s="1083">
        <v>143909</v>
      </c>
      <c r="G22" s="1130">
        <v>166719</v>
      </c>
      <c r="H22" s="1130">
        <v>151493</v>
      </c>
      <c r="I22" s="1283">
        <v>137746</v>
      </c>
      <c r="J22" s="1130">
        <v>160409</v>
      </c>
      <c r="K22" s="1130">
        <v>158631</v>
      </c>
      <c r="L22" s="1130">
        <v>101270</v>
      </c>
      <c r="M22" s="1283">
        <v>106304</v>
      </c>
      <c r="N22" s="1130">
        <v>136402</v>
      </c>
      <c r="O22" s="1182"/>
      <c r="P22" s="1186">
        <v>599867</v>
      </c>
      <c r="Q22" s="1186">
        <v>526614</v>
      </c>
      <c r="R22" s="1186">
        <v>73253</v>
      </c>
      <c r="S22" s="1017">
        <v>0.13910188487203151</v>
      </c>
      <c r="T22" s="1188"/>
      <c r="U22" s="1169">
        <v>599867</v>
      </c>
      <c r="V22" s="1182">
        <v>526614</v>
      </c>
      <c r="W22" s="1182">
        <v>454998</v>
      </c>
      <c r="X22" s="1958">
        <v>417876</v>
      </c>
      <c r="Y22" s="1182">
        <v>455480</v>
      </c>
      <c r="Z22" s="1147"/>
      <c r="AA22" s="1109"/>
    </row>
    <row r="23" spans="1:27" ht="12.75" customHeight="1" x14ac:dyDescent="0.2">
      <c r="A23" s="947"/>
      <c r="B23" s="945" t="s">
        <v>61</v>
      </c>
      <c r="C23" s="955">
        <v>2722</v>
      </c>
      <c r="D23" s="1017">
        <v>9.5071775348398585E-2</v>
      </c>
      <c r="E23" s="917"/>
      <c r="F23" s="1083">
        <v>31353</v>
      </c>
      <c r="G23" s="1130">
        <v>29220</v>
      </c>
      <c r="H23" s="1130">
        <v>27598</v>
      </c>
      <c r="I23" s="1165">
        <v>28587</v>
      </c>
      <c r="J23" s="1130">
        <v>28631</v>
      </c>
      <c r="K23" s="1130">
        <v>26537</v>
      </c>
      <c r="L23" s="1130">
        <v>21664</v>
      </c>
      <c r="M23" s="1165">
        <v>22407</v>
      </c>
      <c r="N23" s="1130">
        <v>22092</v>
      </c>
      <c r="O23" s="1182"/>
      <c r="P23" s="1186">
        <v>116758</v>
      </c>
      <c r="Q23" s="1186">
        <v>99239</v>
      </c>
      <c r="R23" s="1186">
        <v>17519</v>
      </c>
      <c r="S23" s="1017">
        <v>0.17653341932103306</v>
      </c>
      <c r="T23" s="1188"/>
      <c r="U23" s="1169">
        <v>116758</v>
      </c>
      <c r="V23" s="1182">
        <v>99239</v>
      </c>
      <c r="W23" s="1182">
        <v>85698</v>
      </c>
      <c r="X23" s="1958">
        <v>92981</v>
      </c>
      <c r="Y23" s="1958">
        <v>85770</v>
      </c>
      <c r="Z23" s="1147"/>
      <c r="AA23" s="1109"/>
    </row>
    <row r="24" spans="1:27" s="930" customFormat="1" x14ac:dyDescent="0.2">
      <c r="A24" s="947"/>
      <c r="B24" s="945" t="s">
        <v>88</v>
      </c>
      <c r="C24" s="955">
        <v>-2388</v>
      </c>
      <c r="D24" s="1017">
        <v>-0.11689837477971411</v>
      </c>
      <c r="E24" s="917"/>
      <c r="F24" s="1083">
        <v>18040</v>
      </c>
      <c r="G24" s="1130">
        <v>24575</v>
      </c>
      <c r="H24" s="1130">
        <v>22462</v>
      </c>
      <c r="I24" s="1165">
        <v>18500</v>
      </c>
      <c r="J24" s="1130">
        <v>20428</v>
      </c>
      <c r="K24" s="1130">
        <v>16521</v>
      </c>
      <c r="L24" s="1130">
        <v>14008</v>
      </c>
      <c r="M24" s="1165">
        <v>17252</v>
      </c>
      <c r="N24" s="1130">
        <v>18563</v>
      </c>
      <c r="O24" s="1182"/>
      <c r="P24" s="1186">
        <v>83577</v>
      </c>
      <c r="Q24" s="1186">
        <v>68209</v>
      </c>
      <c r="R24" s="1186">
        <v>15368</v>
      </c>
      <c r="S24" s="1017">
        <v>0.22530751073905203</v>
      </c>
      <c r="T24" s="1188"/>
      <c r="U24" s="1169">
        <v>83577</v>
      </c>
      <c r="V24" s="1182">
        <v>68209</v>
      </c>
      <c r="W24" s="1182">
        <v>65211</v>
      </c>
      <c r="X24" s="1958">
        <v>56998</v>
      </c>
      <c r="Y24" s="1958">
        <v>52795</v>
      </c>
      <c r="Z24" s="948"/>
      <c r="AA24" s="940"/>
    </row>
    <row r="25" spans="1:27" s="930" customFormat="1" x14ac:dyDescent="0.2">
      <c r="A25" s="947"/>
      <c r="B25" s="945" t="s">
        <v>63</v>
      </c>
      <c r="C25" s="955">
        <v>757</v>
      </c>
      <c r="D25" s="1017">
        <v>7.4669560071019922E-2</v>
      </c>
      <c r="E25" s="1091"/>
      <c r="F25" s="1083">
        <v>10895</v>
      </c>
      <c r="G25" s="1130">
        <v>10647</v>
      </c>
      <c r="H25" s="1130">
        <v>10230</v>
      </c>
      <c r="I25" s="1165">
        <v>9947</v>
      </c>
      <c r="J25" s="1130">
        <v>10138</v>
      </c>
      <c r="K25" s="1130">
        <v>10511</v>
      </c>
      <c r="L25" s="1130">
        <v>8847</v>
      </c>
      <c r="M25" s="1165">
        <v>10109</v>
      </c>
      <c r="N25" s="1130">
        <v>10301</v>
      </c>
      <c r="O25" s="1182"/>
      <c r="P25" s="1186">
        <v>41719</v>
      </c>
      <c r="Q25" s="1186">
        <v>39605</v>
      </c>
      <c r="R25" s="1186">
        <v>2114</v>
      </c>
      <c r="S25" s="1017">
        <v>5.3377098851155158E-2</v>
      </c>
      <c r="T25" s="1188"/>
      <c r="U25" s="1169">
        <v>41719</v>
      </c>
      <c r="V25" s="1182">
        <v>39605</v>
      </c>
      <c r="W25" s="1182">
        <v>42286</v>
      </c>
      <c r="X25" s="1958">
        <v>40863</v>
      </c>
      <c r="Y25" s="1958">
        <v>40281</v>
      </c>
      <c r="Z25" s="948"/>
      <c r="AA25" s="940"/>
    </row>
    <row r="26" spans="1:27" s="930" customFormat="1" x14ac:dyDescent="0.2">
      <c r="A26" s="947"/>
      <c r="B26" s="1119" t="s">
        <v>64</v>
      </c>
      <c r="C26" s="955">
        <v>3187</v>
      </c>
      <c r="D26" s="1017">
        <v>0.2129351239393332</v>
      </c>
      <c r="E26" s="917"/>
      <c r="F26" s="1083">
        <v>18154</v>
      </c>
      <c r="G26" s="1130">
        <v>16575</v>
      </c>
      <c r="H26" s="1130">
        <v>15015</v>
      </c>
      <c r="I26" s="1165">
        <v>15186</v>
      </c>
      <c r="J26" s="1130">
        <v>14967</v>
      </c>
      <c r="K26" s="1130">
        <v>14558</v>
      </c>
      <c r="L26" s="1130">
        <v>14163</v>
      </c>
      <c r="M26" s="1165">
        <v>12658</v>
      </c>
      <c r="N26" s="1130">
        <v>13279</v>
      </c>
      <c r="O26" s="1182"/>
      <c r="P26" s="1186">
        <v>64930</v>
      </c>
      <c r="Q26" s="1186">
        <v>56346</v>
      </c>
      <c r="R26" s="1186">
        <v>8584</v>
      </c>
      <c r="S26" s="1017">
        <v>0.15234444326127852</v>
      </c>
      <c r="T26" s="1188"/>
      <c r="U26" s="1169">
        <v>64930</v>
      </c>
      <c r="V26" s="1182">
        <v>56346</v>
      </c>
      <c r="W26" s="1182">
        <v>52381</v>
      </c>
      <c r="X26" s="1958">
        <v>55975</v>
      </c>
      <c r="Y26" s="1958">
        <v>51758</v>
      </c>
      <c r="Z26" s="948"/>
      <c r="AA26" s="940"/>
    </row>
    <row r="27" spans="1:27" s="930" customFormat="1" x14ac:dyDescent="0.2">
      <c r="A27" s="947"/>
      <c r="B27" s="945" t="s">
        <v>59</v>
      </c>
      <c r="C27" s="955">
        <v>-352</v>
      </c>
      <c r="D27" s="1017">
        <v>-5.7799671592775041E-2</v>
      </c>
      <c r="E27" s="917"/>
      <c r="F27" s="1083">
        <v>5738</v>
      </c>
      <c r="G27" s="1130">
        <v>5903</v>
      </c>
      <c r="H27" s="1130">
        <v>8218</v>
      </c>
      <c r="I27" s="1165">
        <v>5594</v>
      </c>
      <c r="J27" s="1130">
        <v>6090</v>
      </c>
      <c r="K27" s="1130">
        <v>4171</v>
      </c>
      <c r="L27" s="1130">
        <v>3731</v>
      </c>
      <c r="M27" s="1165">
        <v>4445</v>
      </c>
      <c r="N27" s="1130">
        <v>3884</v>
      </c>
      <c r="O27" s="1182"/>
      <c r="P27" s="1186">
        <v>25453</v>
      </c>
      <c r="Q27" s="1186">
        <v>18437</v>
      </c>
      <c r="R27" s="1186">
        <v>7016</v>
      </c>
      <c r="S27" s="1017">
        <v>0.3805391332646309</v>
      </c>
      <c r="T27" s="1188"/>
      <c r="U27" s="1169">
        <v>25453</v>
      </c>
      <c r="V27" s="1182">
        <v>18437</v>
      </c>
      <c r="W27" s="1182">
        <v>12744</v>
      </c>
      <c r="X27" s="1958">
        <v>10222</v>
      </c>
      <c r="Y27" s="1958">
        <v>13424</v>
      </c>
      <c r="Z27" s="948"/>
      <c r="AA27" s="940"/>
    </row>
    <row r="28" spans="1:27" s="930" customFormat="1" x14ac:dyDescent="0.2">
      <c r="A28" s="947"/>
      <c r="B28" s="945" t="s">
        <v>65</v>
      </c>
      <c r="C28" s="955">
        <v>4997</v>
      </c>
      <c r="D28" s="1017">
        <v>0.20729279017671948</v>
      </c>
      <c r="E28" s="917"/>
      <c r="F28" s="1083">
        <v>29103</v>
      </c>
      <c r="G28" s="1130">
        <v>26689</v>
      </c>
      <c r="H28" s="1130">
        <v>21292</v>
      </c>
      <c r="I28" s="1165">
        <v>23684</v>
      </c>
      <c r="J28" s="1130">
        <v>24106</v>
      </c>
      <c r="K28" s="1130">
        <v>23108</v>
      </c>
      <c r="L28" s="1130">
        <v>17468</v>
      </c>
      <c r="M28" s="1165">
        <v>19300</v>
      </c>
      <c r="N28" s="1130">
        <v>19250</v>
      </c>
      <c r="O28" s="1182"/>
      <c r="P28" s="1186">
        <v>100768</v>
      </c>
      <c r="Q28" s="1186">
        <v>83982</v>
      </c>
      <c r="R28" s="1186">
        <v>16786</v>
      </c>
      <c r="S28" s="1017">
        <v>0.19987616393989188</v>
      </c>
      <c r="T28" s="1188"/>
      <c r="U28" s="1169">
        <v>100768</v>
      </c>
      <c r="V28" s="1182">
        <v>83982</v>
      </c>
      <c r="W28" s="1182">
        <v>79011</v>
      </c>
      <c r="X28" s="1958">
        <v>87004</v>
      </c>
      <c r="Y28" s="1958">
        <v>94688</v>
      </c>
      <c r="Z28" s="948"/>
      <c r="AA28" s="940"/>
    </row>
    <row r="29" spans="1:27" s="930" customFormat="1" x14ac:dyDescent="0.2">
      <c r="A29" s="947"/>
      <c r="B29" s="945" t="s">
        <v>66</v>
      </c>
      <c r="C29" s="955">
        <v>-1180</v>
      </c>
      <c r="D29" s="1017">
        <v>-0.16980860555475608</v>
      </c>
      <c r="E29" s="917"/>
      <c r="F29" s="1083">
        <v>5769</v>
      </c>
      <c r="G29" s="1130">
        <v>5675</v>
      </c>
      <c r="H29" s="1130">
        <v>6198</v>
      </c>
      <c r="I29" s="1165">
        <v>6638</v>
      </c>
      <c r="J29" s="1130">
        <v>6949</v>
      </c>
      <c r="K29" s="1130">
        <v>6916</v>
      </c>
      <c r="L29" s="1130">
        <v>5148</v>
      </c>
      <c r="M29" s="1165">
        <v>4994</v>
      </c>
      <c r="N29" s="1130">
        <v>5105</v>
      </c>
      <c r="O29" s="1182"/>
      <c r="P29" s="1186">
        <v>24280</v>
      </c>
      <c r="Q29" s="1186">
        <v>24007</v>
      </c>
      <c r="R29" s="1186">
        <v>273</v>
      </c>
      <c r="S29" s="1017">
        <v>1.1371683259049444E-2</v>
      </c>
      <c r="T29" s="1188"/>
      <c r="U29" s="1169">
        <v>24280</v>
      </c>
      <c r="V29" s="1182">
        <v>24007</v>
      </c>
      <c r="W29" s="1182">
        <v>21124</v>
      </c>
      <c r="X29" s="1958">
        <v>25339</v>
      </c>
      <c r="Y29" s="1958">
        <v>28428</v>
      </c>
      <c r="Z29" s="948"/>
      <c r="AA29" s="940"/>
    </row>
    <row r="30" spans="1:27" x14ac:dyDescent="0.2">
      <c r="A30" s="945"/>
      <c r="B30" s="945" t="s">
        <v>67</v>
      </c>
      <c r="C30" s="955">
        <v>-247</v>
      </c>
      <c r="D30" s="1017">
        <v>-7.7502353310323194E-2</v>
      </c>
      <c r="E30" s="917"/>
      <c r="F30" s="1083">
        <v>2940</v>
      </c>
      <c r="G30" s="1130">
        <v>4661</v>
      </c>
      <c r="H30" s="1130">
        <v>4053</v>
      </c>
      <c r="I30" s="1165">
        <v>3859</v>
      </c>
      <c r="J30" s="1130">
        <v>3187</v>
      </c>
      <c r="K30" s="1130">
        <v>1512</v>
      </c>
      <c r="L30" s="1130">
        <v>1486</v>
      </c>
      <c r="M30" s="1165">
        <v>1479</v>
      </c>
      <c r="N30" s="1130">
        <v>5375</v>
      </c>
      <c r="O30" s="1182"/>
      <c r="P30" s="1186">
        <v>15513</v>
      </c>
      <c r="Q30" s="1186">
        <v>7664</v>
      </c>
      <c r="R30" s="1186">
        <v>7849</v>
      </c>
      <c r="S30" s="1017">
        <v>1.0241388308977035</v>
      </c>
      <c r="T30" s="1188"/>
      <c r="U30" s="1169">
        <v>15513</v>
      </c>
      <c r="V30" s="1182">
        <v>7664</v>
      </c>
      <c r="W30" s="1182">
        <v>12209</v>
      </c>
      <c r="X30" s="1958">
        <v>26129</v>
      </c>
      <c r="Y30" s="1958">
        <v>24448</v>
      </c>
      <c r="Z30" s="1147"/>
      <c r="AA30" s="1109"/>
    </row>
    <row r="31" spans="1:27" x14ac:dyDescent="0.2">
      <c r="A31" s="945"/>
      <c r="B31" s="945" t="s">
        <v>149</v>
      </c>
      <c r="C31" s="955">
        <v>10815</v>
      </c>
      <c r="D31" s="1283" t="s">
        <v>38</v>
      </c>
      <c r="E31" s="917"/>
      <c r="F31" s="913">
        <v>11754</v>
      </c>
      <c r="G31" s="1130">
        <v>0</v>
      </c>
      <c r="H31" s="1130">
        <v>0</v>
      </c>
      <c r="I31" s="1165">
        <v>1316</v>
      </c>
      <c r="J31" s="1186">
        <v>939</v>
      </c>
      <c r="K31" s="1186">
        <v>0</v>
      </c>
      <c r="L31" s="1130">
        <v>6256</v>
      </c>
      <c r="M31" s="1165">
        <v>448</v>
      </c>
      <c r="N31" s="1186">
        <v>0</v>
      </c>
      <c r="O31" s="1182"/>
      <c r="P31" s="1186">
        <v>13070</v>
      </c>
      <c r="Q31" s="1186">
        <v>7643</v>
      </c>
      <c r="R31" s="1186">
        <v>5427</v>
      </c>
      <c r="S31" s="1017">
        <v>0.71006149417767894</v>
      </c>
      <c r="T31" s="1188"/>
      <c r="U31" s="1169">
        <v>13070</v>
      </c>
      <c r="V31" s="1285">
        <v>7643</v>
      </c>
      <c r="W31" s="1530">
        <v>0</v>
      </c>
      <c r="X31" s="1958">
        <v>17352</v>
      </c>
      <c r="Y31" s="1182">
        <v>24813</v>
      </c>
      <c r="Z31" s="1147"/>
      <c r="AA31" s="1109"/>
    </row>
    <row r="32" spans="1:27" x14ac:dyDescent="0.2">
      <c r="A32" s="945"/>
      <c r="B32" s="945" t="s">
        <v>169</v>
      </c>
      <c r="C32" s="955">
        <v>1537</v>
      </c>
      <c r="D32" s="1283" t="s">
        <v>38</v>
      </c>
      <c r="E32" s="917"/>
      <c r="F32" s="913">
        <v>1721</v>
      </c>
      <c r="G32" s="1130">
        <v>170</v>
      </c>
      <c r="H32" s="1130">
        <v>0</v>
      </c>
      <c r="I32" s="1165">
        <v>1173</v>
      </c>
      <c r="J32" s="1186">
        <v>184</v>
      </c>
      <c r="K32" s="1186">
        <v>0</v>
      </c>
      <c r="L32" s="1130">
        <v>4364</v>
      </c>
      <c r="M32" s="1165">
        <v>2184</v>
      </c>
      <c r="N32" s="1186">
        <v>0</v>
      </c>
      <c r="O32" s="1182"/>
      <c r="P32" s="1186">
        <v>3064</v>
      </c>
      <c r="Q32" s="1186">
        <v>6732</v>
      </c>
      <c r="R32" s="1186">
        <v>-3668</v>
      </c>
      <c r="S32" s="1017">
        <v>-0.54486036838978014</v>
      </c>
      <c r="T32" s="1188"/>
      <c r="U32" s="1169">
        <v>3064</v>
      </c>
      <c r="V32" s="1285">
        <v>6732</v>
      </c>
      <c r="W32" s="1530">
        <v>0</v>
      </c>
      <c r="X32" s="1958">
        <v>0</v>
      </c>
      <c r="Y32" s="1182">
        <v>0</v>
      </c>
      <c r="Z32" s="1147"/>
      <c r="AA32" s="1109"/>
    </row>
    <row r="33" spans="1:27" ht="13.5" x14ac:dyDescent="0.2">
      <c r="A33" s="945"/>
      <c r="B33" s="1126" t="s">
        <v>625</v>
      </c>
      <c r="C33" s="955">
        <v>-48355</v>
      </c>
      <c r="D33" s="1283">
        <v>-1</v>
      </c>
      <c r="E33" s="917"/>
      <c r="F33" s="913">
        <v>0</v>
      </c>
      <c r="G33" s="1130">
        <v>0</v>
      </c>
      <c r="H33" s="1130">
        <v>0</v>
      </c>
      <c r="I33" s="1165">
        <v>0</v>
      </c>
      <c r="J33" s="1186">
        <v>48355</v>
      </c>
      <c r="K33" s="1186">
        <v>0</v>
      </c>
      <c r="L33" s="1130">
        <v>0</v>
      </c>
      <c r="M33" s="1165">
        <v>0</v>
      </c>
      <c r="N33" s="1186">
        <v>0</v>
      </c>
      <c r="O33" s="1182"/>
      <c r="P33" s="1186">
        <v>0</v>
      </c>
      <c r="Q33" s="1186">
        <v>48355</v>
      </c>
      <c r="R33" s="1186">
        <v>-48355</v>
      </c>
      <c r="S33" s="1017">
        <v>0</v>
      </c>
      <c r="T33" s="1188"/>
      <c r="U33" s="1169">
        <v>0</v>
      </c>
      <c r="V33" s="1285">
        <v>48355</v>
      </c>
      <c r="W33" s="1530"/>
      <c r="X33" s="1958"/>
      <c r="Y33" s="1182"/>
      <c r="Z33" s="1147"/>
      <c r="AA33" s="1109"/>
    </row>
    <row r="34" spans="1:27" x14ac:dyDescent="0.2">
      <c r="A34" s="945"/>
      <c r="B34" s="945" t="s">
        <v>361</v>
      </c>
      <c r="C34" s="955">
        <v>0</v>
      </c>
      <c r="D34" s="1283">
        <v>0</v>
      </c>
      <c r="E34" s="917"/>
      <c r="F34" s="913">
        <v>0</v>
      </c>
      <c r="G34" s="1186">
        <v>0</v>
      </c>
      <c r="H34" s="1186">
        <v>0</v>
      </c>
      <c r="I34" s="1165">
        <v>0</v>
      </c>
      <c r="J34" s="1186">
        <v>0</v>
      </c>
      <c r="K34" s="1186">
        <v>0</v>
      </c>
      <c r="L34" s="1186">
        <v>0</v>
      </c>
      <c r="M34" s="1165">
        <v>0</v>
      </c>
      <c r="N34" s="1186">
        <v>0</v>
      </c>
      <c r="O34" s="1182"/>
      <c r="P34" s="1186">
        <v>0</v>
      </c>
      <c r="Q34" s="1186">
        <v>0</v>
      </c>
      <c r="R34" s="1186">
        <v>0</v>
      </c>
      <c r="S34" s="1017">
        <v>0</v>
      </c>
      <c r="T34" s="1188"/>
      <c r="U34" s="1169">
        <v>0</v>
      </c>
      <c r="V34" s="1285">
        <v>0</v>
      </c>
      <c r="W34" s="1530">
        <v>0</v>
      </c>
      <c r="X34" s="1958">
        <v>321037</v>
      </c>
      <c r="Y34" s="1182">
        <v>14535</v>
      </c>
      <c r="Z34" s="1147"/>
      <c r="AA34" s="1109"/>
    </row>
    <row r="35" spans="1:27" ht="13.5" x14ac:dyDescent="0.2">
      <c r="A35" s="945"/>
      <c r="B35" s="1126" t="s">
        <v>672</v>
      </c>
      <c r="C35" s="955">
        <v>0</v>
      </c>
      <c r="D35" s="1283">
        <v>0</v>
      </c>
      <c r="E35" s="917"/>
      <c r="F35" s="913">
        <v>0</v>
      </c>
      <c r="G35" s="1186">
        <v>0</v>
      </c>
      <c r="H35" s="1186">
        <v>8608</v>
      </c>
      <c r="I35" s="1165">
        <v>0</v>
      </c>
      <c r="J35" s="1186">
        <v>0</v>
      </c>
      <c r="K35" s="1186">
        <v>0</v>
      </c>
      <c r="L35" s="1186">
        <v>0</v>
      </c>
      <c r="M35" s="1165">
        <v>0</v>
      </c>
      <c r="N35" s="1186">
        <v>0</v>
      </c>
      <c r="O35" s="1182"/>
      <c r="P35" s="1186">
        <v>8608</v>
      </c>
      <c r="Q35" s="1186">
        <v>0</v>
      </c>
      <c r="R35" s="1186">
        <v>8608</v>
      </c>
      <c r="S35" s="1017" t="s">
        <v>38</v>
      </c>
      <c r="T35" s="1188"/>
      <c r="U35" s="1169">
        <v>8608</v>
      </c>
      <c r="V35" s="1285">
        <v>0</v>
      </c>
      <c r="W35" s="1530">
        <v>0</v>
      </c>
      <c r="X35" s="1958">
        <v>0</v>
      </c>
      <c r="Y35" s="1182">
        <v>0</v>
      </c>
      <c r="Z35" s="1147"/>
      <c r="AA35" s="1109"/>
    </row>
    <row r="36" spans="1:27" x14ac:dyDescent="0.2">
      <c r="A36" s="945"/>
      <c r="B36" s="945" t="s">
        <v>521</v>
      </c>
      <c r="C36" s="955">
        <v>-107</v>
      </c>
      <c r="D36" s="1017" t="s">
        <v>38</v>
      </c>
      <c r="E36" s="917"/>
      <c r="F36" s="913">
        <v>-111</v>
      </c>
      <c r="G36" s="1186">
        <v>157</v>
      </c>
      <c r="H36" s="1186">
        <v>247</v>
      </c>
      <c r="I36" s="1165">
        <v>11</v>
      </c>
      <c r="J36" s="1186">
        <v>-4</v>
      </c>
      <c r="K36" s="1186">
        <v>94</v>
      </c>
      <c r="L36" s="1186">
        <v>208</v>
      </c>
      <c r="M36" s="1165">
        <v>0</v>
      </c>
      <c r="N36" s="1186">
        <v>0</v>
      </c>
      <c r="O36" s="1182"/>
      <c r="P36" s="1186">
        <v>304</v>
      </c>
      <c r="Q36" s="1186">
        <v>298</v>
      </c>
      <c r="R36" s="1186">
        <v>6</v>
      </c>
      <c r="S36" s="1017">
        <v>2.0134228187919462E-2</v>
      </c>
      <c r="T36" s="1188"/>
      <c r="U36" s="1169">
        <v>304</v>
      </c>
      <c r="V36" s="1285">
        <v>298</v>
      </c>
      <c r="W36" s="1530">
        <v>0</v>
      </c>
      <c r="X36" s="1958">
        <v>0</v>
      </c>
      <c r="Y36" s="1182">
        <v>0</v>
      </c>
      <c r="Z36" s="1147"/>
      <c r="AA36" s="1109"/>
    </row>
    <row r="37" spans="1:27" x14ac:dyDescent="0.2">
      <c r="A37" s="947"/>
      <c r="B37" s="945"/>
      <c r="C37" s="1120">
        <v>-45114</v>
      </c>
      <c r="D37" s="1115">
        <v>-0.13907805375810395</v>
      </c>
      <c r="E37" s="917"/>
      <c r="F37" s="1093">
        <v>279265</v>
      </c>
      <c r="G37" s="1192">
        <v>290991</v>
      </c>
      <c r="H37" s="1192">
        <v>275414</v>
      </c>
      <c r="I37" s="1193">
        <v>252241</v>
      </c>
      <c r="J37" s="1192">
        <v>324379</v>
      </c>
      <c r="K37" s="1192">
        <v>262559</v>
      </c>
      <c r="L37" s="1192">
        <v>198613</v>
      </c>
      <c r="M37" s="1193">
        <v>201580</v>
      </c>
      <c r="N37" s="1192">
        <v>234251</v>
      </c>
      <c r="O37" s="1182"/>
      <c r="P37" s="1192">
        <v>1097911</v>
      </c>
      <c r="Q37" s="1192">
        <v>987131</v>
      </c>
      <c r="R37" s="1192">
        <v>110780</v>
      </c>
      <c r="S37" s="1115">
        <v>0.11222421340227386</v>
      </c>
      <c r="T37" s="1188"/>
      <c r="U37" s="1317">
        <v>1097911</v>
      </c>
      <c r="V37" s="1185">
        <v>987131</v>
      </c>
      <c r="W37" s="1185">
        <v>825662</v>
      </c>
      <c r="X37" s="1185">
        <v>1151776</v>
      </c>
      <c r="Y37" s="1185">
        <v>886420</v>
      </c>
      <c r="Z37" s="1147"/>
      <c r="AA37" s="1109"/>
    </row>
    <row r="38" spans="1:27" ht="9" customHeight="1" x14ac:dyDescent="0.2">
      <c r="A38" s="947"/>
      <c r="B38" s="945"/>
      <c r="C38" s="1121"/>
      <c r="D38" s="1017"/>
      <c r="E38" s="917"/>
      <c r="F38" s="1083"/>
      <c r="G38" s="1130"/>
      <c r="H38" s="1130"/>
      <c r="I38" s="1283"/>
      <c r="J38" s="1130"/>
      <c r="K38" s="1130"/>
      <c r="L38" s="1130"/>
      <c r="M38" s="1283"/>
      <c r="N38" s="1130"/>
      <c r="O38" s="1182"/>
      <c r="P38" s="1130"/>
      <c r="Q38" s="1130"/>
      <c r="R38" s="1186"/>
      <c r="S38" s="1017"/>
      <c r="T38" s="1188"/>
      <c r="U38" s="1285"/>
      <c r="V38" s="1285"/>
      <c r="W38" s="1285"/>
      <c r="X38" s="1182"/>
      <c r="Y38" s="1182"/>
      <c r="Z38" s="1147"/>
      <c r="AA38" s="1109"/>
    </row>
    <row r="39" spans="1:27" s="1772" customFormat="1" ht="12.75" customHeight="1" x14ac:dyDescent="0.2">
      <c r="A39" s="1122" t="s">
        <v>69</v>
      </c>
      <c r="B39" s="946"/>
      <c r="C39" s="1123">
        <v>7842</v>
      </c>
      <c r="D39" s="1017" t="s">
        <v>38</v>
      </c>
      <c r="E39" s="917"/>
      <c r="F39" s="1094">
        <v>5543</v>
      </c>
      <c r="G39" s="1186">
        <v>40609</v>
      </c>
      <c r="H39" s="1186">
        <v>24622</v>
      </c>
      <c r="I39" s="1165">
        <v>21882</v>
      </c>
      <c r="J39" s="1186">
        <v>-2299</v>
      </c>
      <c r="K39" s="1186">
        <v>46883</v>
      </c>
      <c r="L39" s="1186">
        <v>-7066</v>
      </c>
      <c r="M39" s="1165">
        <v>-1772</v>
      </c>
      <c r="N39" s="1186">
        <v>37405</v>
      </c>
      <c r="O39" s="1182"/>
      <c r="P39" s="1186">
        <v>92656</v>
      </c>
      <c r="Q39" s="1186">
        <v>35746</v>
      </c>
      <c r="R39" s="1166">
        <v>56910</v>
      </c>
      <c r="S39" s="1017">
        <v>1.5920662451742853</v>
      </c>
      <c r="T39" s="1167"/>
      <c r="U39" s="1169">
        <v>92656</v>
      </c>
      <c r="V39" s="1182">
        <v>35746</v>
      </c>
      <c r="W39" s="1182">
        <v>53884</v>
      </c>
      <c r="X39" s="1182">
        <v>-363971</v>
      </c>
      <c r="Y39" s="1182">
        <v>-5657</v>
      </c>
      <c r="Z39" s="1855"/>
      <c r="AA39" s="1609"/>
    </row>
    <row r="40" spans="1:27" ht="9" customHeight="1" x14ac:dyDescent="0.2">
      <c r="A40" s="947"/>
      <c r="B40" s="945"/>
      <c r="C40" s="1123"/>
      <c r="D40" s="1017"/>
      <c r="E40" s="917"/>
      <c r="F40" s="1083"/>
      <c r="G40" s="1130"/>
      <c r="H40" s="1130"/>
      <c r="I40" s="1165"/>
      <c r="J40" s="1130"/>
      <c r="K40" s="1130"/>
      <c r="L40" s="1130"/>
      <c r="M40" s="1165"/>
      <c r="N40" s="1130"/>
      <c r="O40" s="1182"/>
      <c r="P40" s="1130"/>
      <c r="Q40" s="1130"/>
      <c r="R40" s="1166"/>
      <c r="S40" s="1017"/>
      <c r="T40" s="1167"/>
      <c r="U40" s="1169">
        <v>0</v>
      </c>
      <c r="V40" s="1285">
        <v>0</v>
      </c>
      <c r="W40" s="1285">
        <v>0</v>
      </c>
      <c r="X40" s="1285"/>
      <c r="Y40" s="1169"/>
      <c r="Z40" s="1147"/>
      <c r="AA40" s="1109"/>
    </row>
    <row r="41" spans="1:27" ht="12.75" customHeight="1" x14ac:dyDescent="0.2">
      <c r="A41" s="1118"/>
      <c r="B41" s="1118" t="s">
        <v>6</v>
      </c>
      <c r="C41" s="1123">
        <v>-4317</v>
      </c>
      <c r="D41" s="1017">
        <v>-0.58306320907617504</v>
      </c>
      <c r="E41" s="917"/>
      <c r="F41" s="1086">
        <v>3087</v>
      </c>
      <c r="G41" s="1130">
        <v>8151</v>
      </c>
      <c r="H41" s="1130">
        <v>6603</v>
      </c>
      <c r="I41" s="1165">
        <v>3233</v>
      </c>
      <c r="J41" s="1130">
        <v>7404</v>
      </c>
      <c r="K41" s="1130">
        <v>10285</v>
      </c>
      <c r="L41" s="1130">
        <v>192</v>
      </c>
      <c r="M41" s="1165">
        <v>788</v>
      </c>
      <c r="N41" s="1130">
        <v>6418</v>
      </c>
      <c r="O41" s="1182"/>
      <c r="P41" s="1186">
        <v>21074</v>
      </c>
      <c r="Q41" s="1166">
        <v>18669</v>
      </c>
      <c r="R41" s="1166">
        <v>2405</v>
      </c>
      <c r="S41" s="1017">
        <v>0.12882318281643365</v>
      </c>
      <c r="T41" s="1167"/>
      <c r="U41" s="1169">
        <v>21074</v>
      </c>
      <c r="V41" s="1182">
        <v>18669</v>
      </c>
      <c r="W41" s="1182">
        <v>10698</v>
      </c>
      <c r="X41" s="1958">
        <v>-5404</v>
      </c>
      <c r="Y41" s="1182">
        <v>5661</v>
      </c>
      <c r="Z41" s="1147"/>
      <c r="AA41" s="1109"/>
    </row>
    <row r="42" spans="1:27" ht="9" customHeight="1" x14ac:dyDescent="0.2">
      <c r="A42" s="1118"/>
      <c r="B42" s="1118"/>
      <c r="C42" s="1123"/>
      <c r="D42" s="1017"/>
      <c r="E42" s="917"/>
      <c r="F42" s="1083"/>
      <c r="G42" s="1130"/>
      <c r="H42" s="1130"/>
      <c r="I42" s="1165"/>
      <c r="J42" s="1130"/>
      <c r="K42" s="1130"/>
      <c r="L42" s="1130"/>
      <c r="M42" s="1165"/>
      <c r="N42" s="1130"/>
      <c r="O42" s="1182"/>
      <c r="P42" s="1170"/>
      <c r="Q42" s="1130"/>
      <c r="R42" s="1166"/>
      <c r="S42" s="1017"/>
      <c r="T42" s="1167"/>
      <c r="U42" s="1169">
        <v>0</v>
      </c>
      <c r="V42" s="1324">
        <v>0</v>
      </c>
      <c r="W42" s="1324"/>
      <c r="X42" s="1324"/>
      <c r="Y42" s="1182"/>
      <c r="Z42" s="1147"/>
      <c r="AA42" s="1109"/>
    </row>
    <row r="43" spans="1:27" ht="14.25" customHeight="1" x14ac:dyDescent="0.2">
      <c r="A43" s="1122" t="s">
        <v>70</v>
      </c>
      <c r="B43" s="1118"/>
      <c r="C43" s="1120">
        <v>12159</v>
      </c>
      <c r="D43" s="1115">
        <v>-1.2531175924971658</v>
      </c>
      <c r="E43" s="917"/>
      <c r="F43" s="1096">
        <v>2456</v>
      </c>
      <c r="G43" s="1192">
        <v>32458</v>
      </c>
      <c r="H43" s="1192">
        <v>18019</v>
      </c>
      <c r="I43" s="1193">
        <v>18649</v>
      </c>
      <c r="J43" s="1192">
        <v>-9703</v>
      </c>
      <c r="K43" s="1192">
        <v>36598</v>
      </c>
      <c r="L43" s="1192">
        <v>-7258</v>
      </c>
      <c r="M43" s="1193">
        <v>-2560</v>
      </c>
      <c r="N43" s="1192">
        <v>30987</v>
      </c>
      <c r="O43" s="1182"/>
      <c r="P43" s="1192">
        <v>71582</v>
      </c>
      <c r="Q43" s="1192">
        <v>17077</v>
      </c>
      <c r="R43" s="1197">
        <v>54505</v>
      </c>
      <c r="S43" s="2178" t="s">
        <v>38</v>
      </c>
      <c r="T43" s="1167"/>
      <c r="U43" s="1317">
        <v>71582</v>
      </c>
      <c r="V43" s="1185">
        <v>17077</v>
      </c>
      <c r="W43" s="1185">
        <v>43186</v>
      </c>
      <c r="X43" s="1185">
        <v>-358567</v>
      </c>
      <c r="Y43" s="1185">
        <v>-11318</v>
      </c>
      <c r="Z43" s="1147"/>
      <c r="AA43" s="1109"/>
    </row>
    <row r="44" spans="1:27" ht="9" customHeight="1" x14ac:dyDescent="0.2">
      <c r="A44" s="1122"/>
      <c r="B44" s="1118"/>
      <c r="C44" s="1123"/>
      <c r="D44" s="1017"/>
      <c r="E44" s="917"/>
      <c r="F44" s="1095"/>
      <c r="G44" s="1186"/>
      <c r="H44" s="1186"/>
      <c r="I44" s="1165"/>
      <c r="J44" s="1186"/>
      <c r="K44" s="1186"/>
      <c r="L44" s="1186"/>
      <c r="M44" s="1165"/>
      <c r="N44" s="1186"/>
      <c r="O44" s="1182"/>
      <c r="P44" s="1186"/>
      <c r="Q44" s="1186"/>
      <c r="R44" s="1166"/>
      <c r="S44" s="2177"/>
      <c r="T44" s="1167"/>
      <c r="U44" s="1182"/>
      <c r="V44" s="1182"/>
      <c r="W44" s="1182"/>
      <c r="X44" s="1182"/>
      <c r="Y44" s="1182"/>
      <c r="Z44" s="1147"/>
      <c r="AA44" s="1109"/>
    </row>
    <row r="45" spans="1:27" ht="14.25" customHeight="1" x14ac:dyDescent="0.2">
      <c r="A45" s="1122"/>
      <c r="B45" s="1118" t="s">
        <v>626</v>
      </c>
      <c r="C45" s="1123">
        <v>-2165</v>
      </c>
      <c r="D45" s="1017">
        <v>-1.1057201225740552</v>
      </c>
      <c r="E45" s="917"/>
      <c r="F45" s="1086">
        <v>-207</v>
      </c>
      <c r="G45" s="1130">
        <v>1</v>
      </c>
      <c r="H45" s="1186">
        <v>225</v>
      </c>
      <c r="I45" s="1165">
        <v>1033</v>
      </c>
      <c r="J45" s="1186">
        <v>1958</v>
      </c>
      <c r="K45" s="1186">
        <v>2166</v>
      </c>
      <c r="L45" s="1186">
        <v>227</v>
      </c>
      <c r="M45" s="1165">
        <v>-298</v>
      </c>
      <c r="N45" s="1186">
        <v>2101</v>
      </c>
      <c r="O45" s="1182"/>
      <c r="P45" s="1186">
        <v>1052</v>
      </c>
      <c r="Q45" s="1166">
        <v>4053</v>
      </c>
      <c r="R45" s="1166">
        <v>-3001</v>
      </c>
      <c r="S45" s="1017">
        <v>-0.74043918085368865</v>
      </c>
      <c r="T45" s="1167"/>
      <c r="U45" s="1169">
        <v>1052</v>
      </c>
      <c r="V45" s="1182">
        <v>4053</v>
      </c>
      <c r="W45" s="1182">
        <v>5083</v>
      </c>
      <c r="X45" s="1958">
        <v>-96</v>
      </c>
      <c r="Y45" s="1182">
        <v>1866</v>
      </c>
      <c r="Z45" s="1147"/>
      <c r="AA45" s="1109"/>
    </row>
    <row r="46" spans="1:27" ht="9" customHeight="1" x14ac:dyDescent="0.2">
      <c r="A46" s="1122"/>
      <c r="B46" s="1124"/>
      <c r="C46" s="1123"/>
      <c r="D46" s="1017"/>
      <c r="E46" s="917"/>
      <c r="F46" s="1095"/>
      <c r="G46" s="1186"/>
      <c r="H46" s="1186"/>
      <c r="I46" s="1165"/>
      <c r="J46" s="1186"/>
      <c r="K46" s="1186"/>
      <c r="L46" s="1186"/>
      <c r="M46" s="1165"/>
      <c r="N46" s="1186"/>
      <c r="O46" s="1182"/>
      <c r="P46" s="1186"/>
      <c r="Q46" s="1186"/>
      <c r="R46" s="1166"/>
      <c r="S46" s="2177"/>
      <c r="T46" s="1167"/>
      <c r="U46" s="1182"/>
      <c r="V46" s="1182"/>
      <c r="W46" s="1182"/>
      <c r="X46" s="1182"/>
      <c r="Y46" s="1182"/>
      <c r="Z46" s="1147"/>
      <c r="AA46" s="1109"/>
    </row>
    <row r="47" spans="1:27" ht="14.25" customHeight="1" x14ac:dyDescent="0.2">
      <c r="A47" s="1122" t="s">
        <v>324</v>
      </c>
      <c r="B47" s="1118"/>
      <c r="C47" s="1120">
        <v>14324</v>
      </c>
      <c r="D47" s="1115">
        <v>-1.2283680644884658</v>
      </c>
      <c r="E47" s="917"/>
      <c r="F47" s="1096">
        <v>2663</v>
      </c>
      <c r="G47" s="1192">
        <v>32457</v>
      </c>
      <c r="H47" s="1192">
        <v>17794</v>
      </c>
      <c r="I47" s="1193">
        <v>17616</v>
      </c>
      <c r="J47" s="1192">
        <v>-11661</v>
      </c>
      <c r="K47" s="1192">
        <v>34432</v>
      </c>
      <c r="L47" s="1192">
        <v>-7485</v>
      </c>
      <c r="M47" s="1193">
        <v>-2262</v>
      </c>
      <c r="N47" s="1192">
        <v>28886</v>
      </c>
      <c r="O47" s="1182"/>
      <c r="P47" s="1192">
        <v>70530</v>
      </c>
      <c r="Q47" s="1192">
        <v>13024</v>
      </c>
      <c r="R47" s="1197">
        <v>57506</v>
      </c>
      <c r="S47" s="2178" t="s">
        <v>38</v>
      </c>
      <c r="T47" s="1167"/>
      <c r="U47" s="1317">
        <v>70530</v>
      </c>
      <c r="V47" s="1185">
        <v>13024</v>
      </c>
      <c r="W47" s="1185">
        <v>38103</v>
      </c>
      <c r="X47" s="1185">
        <v>-358471</v>
      </c>
      <c r="Y47" s="1185">
        <v>-13184</v>
      </c>
      <c r="Z47" s="1147"/>
      <c r="AA47" s="1109"/>
    </row>
    <row r="48" spans="1:27" ht="12" customHeight="1" x14ac:dyDescent="0.2">
      <c r="A48" s="947"/>
      <c r="B48" s="945"/>
      <c r="C48" s="1123"/>
      <c r="D48" s="1017"/>
      <c r="E48" s="917"/>
      <c r="F48" s="1083"/>
      <c r="G48" s="1130"/>
      <c r="H48" s="1130"/>
      <c r="I48" s="1165"/>
      <c r="J48" s="1130"/>
      <c r="K48" s="1130"/>
      <c r="L48" s="1130"/>
      <c r="M48" s="1165"/>
      <c r="N48" s="1130"/>
      <c r="O48" s="1182"/>
      <c r="P48" s="1130"/>
      <c r="Q48" s="1130"/>
      <c r="R48" s="1166"/>
      <c r="S48" s="2177"/>
      <c r="T48" s="1167"/>
      <c r="U48" s="1285"/>
      <c r="V48" s="1285"/>
      <c r="W48" s="1285"/>
      <c r="X48" s="1285"/>
      <c r="Y48" s="1169"/>
      <c r="Z48" s="1147"/>
      <c r="AA48" s="1109"/>
    </row>
    <row r="49" spans="1:27" ht="12.75" customHeight="1" x14ac:dyDescent="0.2">
      <c r="A49" s="1118"/>
      <c r="B49" s="1118" t="s">
        <v>242</v>
      </c>
      <c r="C49" s="1123">
        <v>0</v>
      </c>
      <c r="D49" s="1017">
        <v>0</v>
      </c>
      <c r="E49" s="917"/>
      <c r="F49" s="2273">
        <v>-2351</v>
      </c>
      <c r="G49" s="1186">
        <v>-2351</v>
      </c>
      <c r="H49" s="1186">
        <v>-2351</v>
      </c>
      <c r="I49" s="1165">
        <v>-2351</v>
      </c>
      <c r="J49" s="1186">
        <v>-2351</v>
      </c>
      <c r="K49" s="1186">
        <v>-2351</v>
      </c>
      <c r="L49" s="1186">
        <v>-2351</v>
      </c>
      <c r="M49" s="1165">
        <v>-2540</v>
      </c>
      <c r="N49" s="1166">
        <v>-2540</v>
      </c>
      <c r="O49" s="1182"/>
      <c r="P49" s="1186">
        <v>-9404</v>
      </c>
      <c r="Q49" s="1166">
        <v>-9593</v>
      </c>
      <c r="R49" s="1166">
        <v>189</v>
      </c>
      <c r="S49" s="2176">
        <v>1.970186594391744E-2</v>
      </c>
      <c r="T49" s="1167"/>
      <c r="U49" s="1169">
        <v>-9404</v>
      </c>
      <c r="V49" s="1182">
        <v>-9593</v>
      </c>
      <c r="W49" s="1182">
        <v>-11078</v>
      </c>
      <c r="X49" s="1958">
        <v>-11992</v>
      </c>
      <c r="Y49" s="1169">
        <v>-11877</v>
      </c>
      <c r="Z49" s="1147"/>
      <c r="AA49" s="1109"/>
    </row>
    <row r="50" spans="1:27" ht="9" customHeight="1" x14ac:dyDescent="0.2">
      <c r="A50" s="1118"/>
      <c r="B50" s="1118"/>
      <c r="C50" s="2172"/>
      <c r="D50" s="1017"/>
      <c r="E50" s="917"/>
      <c r="F50" s="1083"/>
      <c r="G50" s="1130"/>
      <c r="H50" s="1130"/>
      <c r="I50" s="1165"/>
      <c r="J50" s="1130"/>
      <c r="K50" s="1130"/>
      <c r="L50" s="1130"/>
      <c r="M50" s="1165"/>
      <c r="N50" s="1130"/>
      <c r="O50" s="1169"/>
      <c r="P50" s="1170"/>
      <c r="Q50" s="1130"/>
      <c r="R50" s="1166"/>
      <c r="S50" s="2179"/>
      <c r="T50" s="1167"/>
      <c r="U50" s="1324"/>
      <c r="V50" s="1324"/>
      <c r="W50" s="1324"/>
      <c r="X50" s="1324"/>
      <c r="Y50" s="1182"/>
      <c r="Z50" s="1147"/>
      <c r="AA50" s="1109"/>
    </row>
    <row r="51" spans="1:27" ht="12.75" customHeight="1" thickBot="1" x14ac:dyDescent="0.25">
      <c r="A51" s="1122" t="s">
        <v>330</v>
      </c>
      <c r="B51" s="1118"/>
      <c r="C51" s="1120">
        <v>14324</v>
      </c>
      <c r="D51" s="1115">
        <v>0.44649481001215674</v>
      </c>
      <c r="E51" s="917"/>
      <c r="F51" s="1097">
        <v>312</v>
      </c>
      <c r="G51" s="1195">
        <v>30106</v>
      </c>
      <c r="H51" s="1195">
        <v>15443</v>
      </c>
      <c r="I51" s="1194">
        <v>15265</v>
      </c>
      <c r="J51" s="1195">
        <v>-14012</v>
      </c>
      <c r="K51" s="1195">
        <v>32081</v>
      </c>
      <c r="L51" s="1195">
        <v>-9836</v>
      </c>
      <c r="M51" s="1194">
        <v>-4802</v>
      </c>
      <c r="N51" s="1195">
        <v>26346</v>
      </c>
      <c r="O51" s="1169"/>
      <c r="P51" s="1195">
        <v>61126</v>
      </c>
      <c r="Q51" s="1195">
        <v>3431</v>
      </c>
      <c r="R51" s="2173">
        <v>57695</v>
      </c>
      <c r="S51" s="1125" t="s">
        <v>38</v>
      </c>
      <c r="T51" s="1167"/>
      <c r="U51" s="2174">
        <v>61126</v>
      </c>
      <c r="V51" s="1196">
        <v>3431</v>
      </c>
      <c r="W51" s="1196">
        <v>27025</v>
      </c>
      <c r="X51" s="1196">
        <v>-370463</v>
      </c>
      <c r="Y51" s="1196">
        <v>-25061</v>
      </c>
      <c r="Z51" s="1147"/>
      <c r="AA51" s="1109"/>
    </row>
    <row r="52" spans="1:27" ht="12.75" customHeight="1" thickTop="1" x14ac:dyDescent="0.2">
      <c r="A52" s="1126"/>
      <c r="B52" s="1126"/>
      <c r="C52" s="998"/>
      <c r="D52" s="951"/>
      <c r="E52" s="907"/>
      <c r="F52" s="907"/>
      <c r="G52" s="951"/>
      <c r="H52" s="951"/>
      <c r="I52" s="951"/>
      <c r="J52" s="951"/>
      <c r="K52" s="951"/>
      <c r="L52" s="951"/>
      <c r="M52" s="951"/>
      <c r="N52" s="951"/>
      <c r="O52" s="1133"/>
      <c r="P52" s="1133"/>
      <c r="Q52" s="1133"/>
      <c r="R52" s="998"/>
      <c r="S52" s="951"/>
      <c r="T52" s="1133"/>
      <c r="U52" s="1133"/>
      <c r="V52" s="1133"/>
      <c r="W52" s="1133"/>
      <c r="X52" s="1133"/>
      <c r="Y52" s="1133"/>
      <c r="Z52" s="1108"/>
      <c r="AA52" s="1108"/>
    </row>
    <row r="53" spans="1:27" ht="12.75" customHeight="1" x14ac:dyDescent="0.2">
      <c r="A53" s="1128" t="s">
        <v>71</v>
      </c>
      <c r="B53" s="1129"/>
      <c r="C53" s="1127">
        <v>0.72434022642325346</v>
      </c>
      <c r="D53" s="951"/>
      <c r="E53" s="907"/>
      <c r="F53" s="927">
        <v>0.50528426167804275</v>
      </c>
      <c r="G53" s="1045">
        <v>0.50277141133896264</v>
      </c>
      <c r="H53" s="1045">
        <v>0.5049160767374582</v>
      </c>
      <c r="I53" s="1045">
        <v>0.5024970542420738</v>
      </c>
      <c r="J53" s="1045">
        <v>0.49804085941381021</v>
      </c>
      <c r="K53" s="1045">
        <v>0.51263564739111045</v>
      </c>
      <c r="L53" s="1045">
        <v>0.5286953071569902</v>
      </c>
      <c r="M53" s="1045">
        <v>0.53203074951953877</v>
      </c>
      <c r="N53" s="1045">
        <v>0.50211296639868064</v>
      </c>
      <c r="O53" s="1133"/>
      <c r="P53" s="1045">
        <v>0.50384984633372165</v>
      </c>
      <c r="Q53" s="1045">
        <v>0.51483609466240809</v>
      </c>
      <c r="R53" s="1127">
        <v>-1.0986248328686443</v>
      </c>
      <c r="S53" s="951"/>
      <c r="T53" s="1133"/>
      <c r="U53" s="1255">
        <v>0.50384984633372165</v>
      </c>
      <c r="V53" s="1045">
        <v>0.51483609466240809</v>
      </c>
      <c r="W53" s="1045">
        <v>0.51731006678445468</v>
      </c>
      <c r="X53" s="1045">
        <v>0.53043075380328886</v>
      </c>
      <c r="Y53" s="1045">
        <v>0.51714252301697505</v>
      </c>
      <c r="Z53" s="1108"/>
      <c r="AA53" s="1108"/>
    </row>
    <row r="54" spans="1:27" ht="12.75" customHeight="1" x14ac:dyDescent="0.2">
      <c r="A54" s="1128" t="s">
        <v>627</v>
      </c>
      <c r="B54" s="1129"/>
      <c r="C54" s="1127">
        <v>2.8434027309887755</v>
      </c>
      <c r="D54" s="1130"/>
      <c r="E54" s="907"/>
      <c r="F54" s="927">
        <v>0.61536895031038452</v>
      </c>
      <c r="G54" s="1045">
        <v>0.59088962605548856</v>
      </c>
      <c r="H54" s="1045">
        <v>0.59689837219533659</v>
      </c>
      <c r="I54" s="1045">
        <v>0.60678235682522075</v>
      </c>
      <c r="J54" s="1045">
        <v>0.58693492300049677</v>
      </c>
      <c r="K54" s="1045">
        <v>0.59839323685860357</v>
      </c>
      <c r="L54" s="1045">
        <v>0.64179548622531279</v>
      </c>
      <c r="M54" s="1045">
        <v>0.64417340647021137</v>
      </c>
      <c r="N54" s="1045">
        <v>0.58343640486497628</v>
      </c>
      <c r="O54" s="1133"/>
      <c r="P54" s="1045">
        <v>0.60191908561214946</v>
      </c>
      <c r="Q54" s="1045">
        <v>0.61185557989865835</v>
      </c>
      <c r="R54" s="1127">
        <v>-0.99364942865088901</v>
      </c>
      <c r="S54" s="951"/>
      <c r="T54" s="1133"/>
      <c r="U54" s="1255">
        <v>0.60191908561214946</v>
      </c>
      <c r="V54" s="1045">
        <v>0.61185557989865835</v>
      </c>
      <c r="W54" s="1045">
        <v>0.61474442496469772</v>
      </c>
      <c r="X54" s="1045">
        <v>0.64845615348975949</v>
      </c>
      <c r="Y54" s="1045">
        <v>0.61452399794269286</v>
      </c>
      <c r="Z54" s="1108"/>
      <c r="AA54" s="1108"/>
    </row>
    <row r="55" spans="1:27" ht="12.75" customHeight="1" x14ac:dyDescent="0.2">
      <c r="A55" s="1128" t="s">
        <v>72</v>
      </c>
      <c r="B55" s="1129"/>
      <c r="C55" s="1127">
        <v>-5.5034239658868556</v>
      </c>
      <c r="D55" s="951"/>
      <c r="E55" s="907"/>
      <c r="F55" s="1045">
        <v>0.36516881548271118</v>
      </c>
      <c r="G55" s="1045">
        <v>0.28664656212303979</v>
      </c>
      <c r="H55" s="1045">
        <v>0.3210381420896159</v>
      </c>
      <c r="I55" s="1045">
        <v>0.313392163371917</v>
      </c>
      <c r="J55" s="1045">
        <v>0.42020305514157974</v>
      </c>
      <c r="K55" s="1045">
        <v>0.25009856451289741</v>
      </c>
      <c r="L55" s="1045">
        <v>0.39509363237221151</v>
      </c>
      <c r="M55" s="1045">
        <v>0.36469510730301091</v>
      </c>
      <c r="N55" s="1045">
        <v>0.27887107223841917</v>
      </c>
      <c r="O55" s="1133"/>
      <c r="P55" s="1045">
        <v>0.32025581088674554</v>
      </c>
      <c r="Q55" s="1045">
        <v>0.35319789182863631</v>
      </c>
      <c r="R55" s="1127">
        <v>-3.2942080941890772</v>
      </c>
      <c r="S55" s="951"/>
      <c r="T55" s="1133"/>
      <c r="U55" s="1255">
        <v>0.32025581088674554</v>
      </c>
      <c r="V55" s="1045">
        <v>0.35319789182863631</v>
      </c>
      <c r="W55" s="1045">
        <v>0.32399215049582397</v>
      </c>
      <c r="X55" s="1045">
        <v>0.81355030749995239</v>
      </c>
      <c r="Y55" s="1045">
        <v>0.39189884225381855</v>
      </c>
      <c r="Z55" s="1108"/>
      <c r="AA55" s="1108"/>
    </row>
    <row r="56" spans="1:27" ht="12.75" customHeight="1" x14ac:dyDescent="0.2">
      <c r="A56" s="1128" t="s">
        <v>73</v>
      </c>
      <c r="B56" s="1129"/>
      <c r="C56" s="1127">
        <v>-2.660021234898069</v>
      </c>
      <c r="D56" s="951"/>
      <c r="E56" s="907"/>
      <c r="F56" s="927">
        <v>0.98053776579309571</v>
      </c>
      <c r="G56" s="1045">
        <v>0.8775361881785283</v>
      </c>
      <c r="H56" s="1045">
        <v>0.91793651428495249</v>
      </c>
      <c r="I56" s="1045">
        <v>0.92017452019713775</v>
      </c>
      <c r="J56" s="1045">
        <v>1.0071379781420764</v>
      </c>
      <c r="K56" s="1045">
        <v>0.84849180137150093</v>
      </c>
      <c r="L56" s="1045">
        <v>1.0368891185975244</v>
      </c>
      <c r="M56" s="1045">
        <v>1.0088685137732223</v>
      </c>
      <c r="N56" s="1045">
        <v>0.8623074771033955</v>
      </c>
      <c r="O56" s="945"/>
      <c r="P56" s="1045">
        <v>0.92217489649889506</v>
      </c>
      <c r="Q56" s="1045">
        <v>0.96505347172729472</v>
      </c>
      <c r="R56" s="1127">
        <v>-4.2878575228399658</v>
      </c>
      <c r="S56" s="951"/>
      <c r="T56" s="945"/>
      <c r="U56" s="1255">
        <v>0.92217489649889506</v>
      </c>
      <c r="V56" s="1045">
        <v>0.96505347172729472</v>
      </c>
      <c r="W56" s="1045">
        <v>0.93873657546052169</v>
      </c>
      <c r="X56" s="1045">
        <v>1.4620064609897119</v>
      </c>
      <c r="Y56" s="1045">
        <v>1.0064228401965114</v>
      </c>
      <c r="Z56" s="1108"/>
      <c r="AA56" s="1108"/>
    </row>
    <row r="57" spans="1:27" ht="12.75" customHeight="1" x14ac:dyDescent="0.2">
      <c r="A57" s="1128" t="s">
        <v>74</v>
      </c>
      <c r="B57" s="1129"/>
      <c r="C57" s="1127">
        <v>2.6600212348980805</v>
      </c>
      <c r="D57" s="951"/>
      <c r="E57" s="907"/>
      <c r="F57" s="926">
        <v>1.9462234206904301E-2</v>
      </c>
      <c r="G57" s="957">
        <v>0.12246381182147165</v>
      </c>
      <c r="H57" s="957">
        <v>8.2063485715047527E-2</v>
      </c>
      <c r="I57" s="1595">
        <v>7.9825479802862212E-2</v>
      </c>
      <c r="J57" s="957">
        <v>-7.137978142076503E-3</v>
      </c>
      <c r="K57" s="957">
        <v>0.15150819862849904</v>
      </c>
      <c r="L57" s="957">
        <v>-3.6889118597524369E-2</v>
      </c>
      <c r="M57" s="1595">
        <v>-8.8685137732222932E-3</v>
      </c>
      <c r="N57" s="957">
        <v>0.13769252289660452</v>
      </c>
      <c r="O57" s="945"/>
      <c r="P57" s="957">
        <v>7.7825103501104942E-2</v>
      </c>
      <c r="Q57" s="957">
        <v>3.4946528272705321E-2</v>
      </c>
      <c r="R57" s="1127">
        <v>4.2878575228399622</v>
      </c>
      <c r="S57" s="951"/>
      <c r="T57" s="945"/>
      <c r="U57" s="1255">
        <v>7.7825103501104942E-2</v>
      </c>
      <c r="V57" s="1045">
        <v>3.4946528272705321E-2</v>
      </c>
      <c r="W57" s="1045">
        <v>6.126342453947832E-2</v>
      </c>
      <c r="X57" s="957">
        <v>-0.46200646098971193</v>
      </c>
      <c r="Y57" s="957">
        <v>-6.4228401965114338E-3</v>
      </c>
      <c r="Z57" s="1108"/>
      <c r="AA57" s="1108"/>
    </row>
    <row r="58" spans="1:27" ht="12.75" customHeight="1" x14ac:dyDescent="0.2">
      <c r="A58" s="1129" t="s">
        <v>75</v>
      </c>
      <c r="B58" s="1129"/>
      <c r="C58" s="1127">
        <v>377.74493016243679</v>
      </c>
      <c r="D58" s="951"/>
      <c r="E58" s="907"/>
      <c r="F58" s="926">
        <v>0.55691863611762582</v>
      </c>
      <c r="G58" s="957">
        <v>0.20071905242680194</v>
      </c>
      <c r="H58" s="957">
        <v>0.26817480302168795</v>
      </c>
      <c r="I58" s="1595">
        <v>0.14774700667215063</v>
      </c>
      <c r="J58" s="957">
        <v>-3.2205306655067423</v>
      </c>
      <c r="K58" s="957">
        <v>0.21937589318089712</v>
      </c>
      <c r="L58" s="957">
        <v>-2.7172374752335127E-2</v>
      </c>
      <c r="M58" s="1595">
        <v>-0.44469525959367945</v>
      </c>
      <c r="N58" s="957">
        <v>0.17158133939312925</v>
      </c>
      <c r="O58" s="945"/>
      <c r="P58" s="957">
        <v>0.22744344672768088</v>
      </c>
      <c r="Q58" s="957">
        <v>0.52226822581547583</v>
      </c>
      <c r="R58" s="1127">
        <v>-29.482477908779494</v>
      </c>
      <c r="S58" s="951"/>
      <c r="T58" s="945"/>
      <c r="U58" s="1255">
        <v>0.22744344672768088</v>
      </c>
      <c r="V58" s="1045">
        <v>0.52226822581547583</v>
      </c>
      <c r="W58" s="1045">
        <v>0.19853759928735804</v>
      </c>
      <c r="X58" s="957">
        <v>1.4847336738366518E-2</v>
      </c>
      <c r="Y58" s="957">
        <v>-1.00070708856284</v>
      </c>
      <c r="Z58" s="939"/>
      <c r="AA58" s="939"/>
    </row>
    <row r="59" spans="1:27" ht="12.75" customHeight="1" x14ac:dyDescent="0.2">
      <c r="A59" s="1129" t="s">
        <v>76</v>
      </c>
      <c r="B59" s="1129"/>
      <c r="C59" s="1127">
        <v>3.8749408914944077</v>
      </c>
      <c r="D59" s="951"/>
      <c r="E59" s="907"/>
      <c r="F59" s="926">
        <v>8.6233532765933544E-3</v>
      </c>
      <c r="G59" s="957">
        <v>9.7882991556091675E-2</v>
      </c>
      <c r="H59" s="957">
        <v>6.0056126598141558E-2</v>
      </c>
      <c r="I59" s="1595">
        <v>6.8031504105821108E-2</v>
      </c>
      <c r="J59" s="957">
        <v>-3.0126055638350722E-2</v>
      </c>
      <c r="K59" s="957">
        <v>0.11827095223014329</v>
      </c>
      <c r="L59" s="957">
        <v>-3.7891483552339636E-2</v>
      </c>
      <c r="M59" s="1595">
        <v>-1.2812299807815503E-2</v>
      </c>
      <c r="N59" s="957">
        <v>0.11406705539358601</v>
      </c>
      <c r="O59" s="945"/>
      <c r="P59" s="957">
        <v>6.0124293718875121E-2</v>
      </c>
      <c r="Q59" s="957">
        <v>1.6695066953309148E-2</v>
      </c>
      <c r="R59" s="1127">
        <v>4.3429226765565971</v>
      </c>
      <c r="S59" s="951"/>
      <c r="T59" s="945"/>
      <c r="U59" s="1255">
        <v>6.0124293718875121E-2</v>
      </c>
      <c r="V59" s="1045">
        <v>1.6695066953309148E-2</v>
      </c>
      <c r="W59" s="1045">
        <v>4.9100331307288081E-2</v>
      </c>
      <c r="X59" s="957">
        <v>-0.45514689548809667</v>
      </c>
      <c r="Y59" s="957">
        <v>-1.2850221909866786E-2</v>
      </c>
      <c r="Z59" s="939"/>
      <c r="AA59" s="939"/>
    </row>
    <row r="60" spans="1:27" ht="12.75" customHeight="1" x14ac:dyDescent="0.2">
      <c r="A60" s="1126"/>
      <c r="B60" s="1126"/>
      <c r="C60" s="1131"/>
      <c r="D60" s="951"/>
      <c r="E60" s="907"/>
      <c r="F60" s="907"/>
      <c r="G60" s="951"/>
      <c r="H60" s="951"/>
      <c r="I60" s="945"/>
      <c r="J60" s="951"/>
      <c r="K60" s="951"/>
      <c r="L60" s="951"/>
      <c r="M60" s="945"/>
      <c r="N60" s="951"/>
      <c r="O60" s="945"/>
      <c r="P60" s="945"/>
      <c r="Q60" s="945"/>
      <c r="R60" s="998"/>
      <c r="S60" s="951"/>
      <c r="T60" s="945"/>
      <c r="U60" s="945"/>
      <c r="V60" s="945"/>
      <c r="W60" s="945"/>
      <c r="X60" s="1018"/>
      <c r="Y60" s="1018"/>
      <c r="Z60" s="939"/>
      <c r="AA60" s="939"/>
    </row>
    <row r="61" spans="1:27" s="930" customFormat="1" ht="12.75" customHeight="1" x14ac:dyDescent="0.2">
      <c r="A61" s="1126" t="s">
        <v>628</v>
      </c>
      <c r="B61" s="1126"/>
      <c r="C61" s="1040">
        <v>0.15</v>
      </c>
      <c r="D61" s="951">
        <v>1</v>
      </c>
      <c r="E61" s="907"/>
      <c r="F61" s="1199">
        <v>0</v>
      </c>
      <c r="G61" s="1199">
        <v>0.31</v>
      </c>
      <c r="H61" s="1199">
        <v>0.11</v>
      </c>
      <c r="I61" s="1199">
        <v>0.16</v>
      </c>
      <c r="J61" s="1199">
        <v>-0.15</v>
      </c>
      <c r="K61" s="1199">
        <v>0.35</v>
      </c>
      <c r="L61" s="1199">
        <v>-0.11</v>
      </c>
      <c r="M61" s="1199">
        <v>-0.05</v>
      </c>
      <c r="N61" s="1199">
        <v>0.28999999999999998</v>
      </c>
      <c r="O61" s="945"/>
      <c r="P61" s="1199">
        <v>0.57999999999999996</v>
      </c>
      <c r="Q61" s="1004">
        <v>0.04</v>
      </c>
      <c r="R61" s="1040">
        <v>0.53999999999999992</v>
      </c>
      <c r="S61" s="951" t="s">
        <v>38</v>
      </c>
      <c r="T61" s="945"/>
      <c r="U61" s="2279">
        <v>0.57999999999999996</v>
      </c>
      <c r="V61" s="1199">
        <v>0.04</v>
      </c>
      <c r="W61" s="1199">
        <v>0.28999999999999998</v>
      </c>
      <c r="X61" s="1010">
        <v>-4.09</v>
      </c>
      <c r="Y61" s="1010">
        <v>-0.27</v>
      </c>
      <c r="Z61" s="939"/>
      <c r="AA61" s="939"/>
    </row>
    <row r="62" spans="1:27" s="930" customFormat="1" ht="12.75" customHeight="1" x14ac:dyDescent="0.2">
      <c r="A62" s="1126" t="s">
        <v>629</v>
      </c>
      <c r="B62" s="1126"/>
      <c r="C62" s="1040">
        <v>0.15</v>
      </c>
      <c r="D62" s="951">
        <v>1</v>
      </c>
      <c r="E62" s="907"/>
      <c r="F62" s="1199">
        <v>0</v>
      </c>
      <c r="G62" s="1199">
        <v>0.25</v>
      </c>
      <c r="H62" s="1199">
        <v>0.09</v>
      </c>
      <c r="I62" s="1199">
        <v>0.14000000000000001</v>
      </c>
      <c r="J62" s="1199">
        <v>-0.15</v>
      </c>
      <c r="K62" s="1199">
        <v>0.28999999999999998</v>
      </c>
      <c r="L62" s="1199">
        <v>-0.11</v>
      </c>
      <c r="M62" s="1199">
        <v>-0.05</v>
      </c>
      <c r="N62" s="1199">
        <v>0.26</v>
      </c>
      <c r="O62" s="945"/>
      <c r="P62" s="1199">
        <v>0.48</v>
      </c>
      <c r="Q62" s="1004">
        <v>0.03</v>
      </c>
      <c r="R62" s="1040">
        <v>0.44999999999999996</v>
      </c>
      <c r="S62" s="951" t="s">
        <v>38</v>
      </c>
      <c r="T62" s="945"/>
      <c r="U62" s="2279">
        <v>0.48</v>
      </c>
      <c r="V62" s="1199">
        <v>0.03</v>
      </c>
      <c r="W62" s="1199">
        <v>0.27</v>
      </c>
      <c r="X62" s="1010">
        <v>-4.09</v>
      </c>
      <c r="Y62" s="1010">
        <v>-0.27</v>
      </c>
      <c r="Z62" s="939"/>
      <c r="AA62" s="939"/>
    </row>
    <row r="63" spans="1:27" s="930" customFormat="1" ht="12.75" customHeight="1" x14ac:dyDescent="0.2">
      <c r="A63" s="1126" t="s">
        <v>225</v>
      </c>
      <c r="B63" s="1126"/>
      <c r="C63" s="1040">
        <v>0.53641202782014563</v>
      </c>
      <c r="D63" s="951">
        <v>-9.3911960822420149E-2</v>
      </c>
      <c r="E63" s="907"/>
      <c r="F63" s="1100">
        <v>6.2482726164245834</v>
      </c>
      <c r="G63" s="1199">
        <v>6.0416730694648724</v>
      </c>
      <c r="H63" s="1199">
        <v>5.6938819959198783</v>
      </c>
      <c r="I63" s="1199">
        <v>5.5223031625563594</v>
      </c>
      <c r="J63" s="1199">
        <v>5.7118605886044378</v>
      </c>
      <c r="K63" s="1199">
        <v>5.1104589844536221</v>
      </c>
      <c r="L63" s="1199">
        <v>4.7418338824401287</v>
      </c>
      <c r="M63" s="1199">
        <v>4.9081597347945385</v>
      </c>
      <c r="N63" s="1199">
        <v>5.0842821672786878</v>
      </c>
      <c r="O63" s="945"/>
      <c r="P63" s="1199">
        <v>6.2482726164245834</v>
      </c>
      <c r="Q63" s="1004">
        <v>5.71</v>
      </c>
      <c r="R63" s="1040">
        <v>0.53827261642458346</v>
      </c>
      <c r="S63" s="951">
        <v>9.4268409181187993E-2</v>
      </c>
      <c r="T63" s="945"/>
      <c r="U63" s="2279">
        <v>6.2482726164245834</v>
      </c>
      <c r="V63" s="1040">
        <v>5.7118605886044378</v>
      </c>
      <c r="W63" s="1040">
        <v>5.0842821672786878</v>
      </c>
      <c r="X63" s="1010">
        <v>4.990171629749157</v>
      </c>
      <c r="Y63" s="1010">
        <v>8.7100000000000009</v>
      </c>
      <c r="Z63" s="939"/>
      <c r="AA63" s="939"/>
    </row>
    <row r="64" spans="1:27" s="930" customFormat="1" ht="12.75" customHeight="1" x14ac:dyDescent="0.2">
      <c r="A64" s="945"/>
      <c r="B64" s="945"/>
      <c r="C64" s="945"/>
      <c r="D64" s="945"/>
      <c r="E64" s="899"/>
      <c r="F64" s="899"/>
      <c r="G64" s="945"/>
      <c r="H64" s="945"/>
      <c r="I64" s="945"/>
      <c r="J64" s="945"/>
      <c r="K64" s="945"/>
      <c r="L64" s="945"/>
      <c r="M64" s="945"/>
      <c r="N64" s="945"/>
      <c r="O64" s="945"/>
      <c r="P64" s="945"/>
      <c r="Q64" s="945"/>
      <c r="R64" s="945"/>
      <c r="S64" s="945"/>
      <c r="T64" s="945"/>
      <c r="U64" s="945"/>
      <c r="V64" s="945"/>
      <c r="W64" s="945"/>
      <c r="X64" s="945"/>
      <c r="Y64" s="945"/>
      <c r="Z64" s="939"/>
      <c r="AA64" s="939"/>
    </row>
    <row r="65" spans="1:27" s="930" customFormat="1" ht="18" customHeight="1" x14ac:dyDescent="0.2">
      <c r="A65" s="963" t="s">
        <v>630</v>
      </c>
      <c r="B65" s="945"/>
      <c r="C65" s="1126"/>
      <c r="D65" s="1126"/>
      <c r="E65" s="899"/>
      <c r="F65" s="899"/>
      <c r="G65" s="945"/>
      <c r="H65" s="945"/>
      <c r="I65" s="945"/>
      <c r="J65" s="945"/>
      <c r="K65" s="945"/>
      <c r="L65" s="945"/>
      <c r="M65" s="945"/>
      <c r="N65" s="945"/>
      <c r="O65" s="945"/>
      <c r="P65" s="1200"/>
      <c r="Q65" s="1126"/>
      <c r="R65" s="1126"/>
      <c r="S65" s="1126"/>
      <c r="T65" s="1126"/>
      <c r="U65" s="1200"/>
      <c r="V65" s="1200"/>
      <c r="W65" s="1200"/>
      <c r="X65" s="1188"/>
      <c r="Y65" s="1188"/>
      <c r="Z65" s="939"/>
      <c r="AA65" s="939"/>
    </row>
    <row r="66" spans="1:27" s="930" customFormat="1" ht="12.75" customHeight="1" x14ac:dyDescent="0.2">
      <c r="A66" s="959"/>
      <c r="B66" s="945"/>
      <c r="C66" s="1126"/>
      <c r="D66" s="1126"/>
      <c r="E66" s="899"/>
      <c r="F66" s="1101"/>
      <c r="G66" s="1201"/>
      <c r="H66" s="1201"/>
      <c r="I66" s="945"/>
      <c r="J66" s="1201"/>
      <c r="K66" s="1201"/>
      <c r="L66" s="1201"/>
      <c r="M66" s="945"/>
      <c r="N66" s="1201"/>
      <c r="O66" s="945"/>
      <c r="P66" s="1126"/>
      <c r="Q66" s="1126"/>
      <c r="R66" s="1126"/>
      <c r="S66" s="1126"/>
      <c r="T66" s="1126"/>
      <c r="U66" s="1126"/>
      <c r="V66" s="1126"/>
      <c r="W66" s="1126"/>
      <c r="X66" s="1126"/>
      <c r="Y66" s="1126"/>
      <c r="Z66" s="939"/>
      <c r="AA66" s="939"/>
    </row>
    <row r="67" spans="1:27" s="930" customFormat="1" ht="12.75" customHeight="1" x14ac:dyDescent="0.2">
      <c r="A67" s="944"/>
      <c r="B67" s="945"/>
      <c r="C67" s="2306" t="s">
        <v>667</v>
      </c>
      <c r="D67" s="2307"/>
      <c r="E67" s="900"/>
      <c r="F67" s="1102"/>
      <c r="G67" s="2269"/>
      <c r="H67" s="2269"/>
      <c r="I67" s="1202"/>
      <c r="J67" s="2269"/>
      <c r="K67" s="2269"/>
      <c r="L67" s="2269"/>
      <c r="M67" s="1202"/>
      <c r="N67" s="2269"/>
      <c r="O67" s="1016"/>
      <c r="P67" s="981" t="s">
        <v>668</v>
      </c>
      <c r="Q67" s="981"/>
      <c r="R67" s="981" t="s">
        <v>551</v>
      </c>
      <c r="S67" s="982"/>
      <c r="T67" s="983"/>
      <c r="U67" s="1774"/>
      <c r="V67" s="1774"/>
      <c r="W67" s="1774"/>
      <c r="X67" s="984"/>
      <c r="Y67" s="984"/>
      <c r="Z67" s="948"/>
      <c r="AA67" s="940"/>
    </row>
    <row r="68" spans="1:27" ht="12.75" customHeight="1" x14ac:dyDescent="0.2">
      <c r="A68" s="944" t="s">
        <v>2</v>
      </c>
      <c r="B68" s="945"/>
      <c r="C68" s="2312" t="s">
        <v>35</v>
      </c>
      <c r="D68" s="2313"/>
      <c r="E68" s="1103"/>
      <c r="F68" s="906" t="s">
        <v>546</v>
      </c>
      <c r="G68" s="985" t="s">
        <v>547</v>
      </c>
      <c r="H68" s="985" t="s">
        <v>548</v>
      </c>
      <c r="I68" s="986" t="s">
        <v>549</v>
      </c>
      <c r="J68" s="985" t="s">
        <v>497</v>
      </c>
      <c r="K68" s="985" t="s">
        <v>496</v>
      </c>
      <c r="L68" s="985" t="s">
        <v>495</v>
      </c>
      <c r="M68" s="986" t="s">
        <v>494</v>
      </c>
      <c r="N68" s="985" t="s">
        <v>363</v>
      </c>
      <c r="O68" s="989"/>
      <c r="P68" s="985" t="s">
        <v>546</v>
      </c>
      <c r="Q68" s="985" t="s">
        <v>497</v>
      </c>
      <c r="R68" s="2310" t="s">
        <v>35</v>
      </c>
      <c r="S68" s="2311"/>
      <c r="T68" s="1203"/>
      <c r="U68" s="988" t="s">
        <v>550</v>
      </c>
      <c r="V68" s="988" t="s">
        <v>498</v>
      </c>
      <c r="W68" s="988" t="s">
        <v>490</v>
      </c>
      <c r="X68" s="987" t="s">
        <v>360</v>
      </c>
      <c r="Y68" s="987" t="s">
        <v>342</v>
      </c>
      <c r="Z68" s="948"/>
      <c r="AA68" s="940"/>
    </row>
    <row r="69" spans="1:27" ht="12.75" customHeight="1" x14ac:dyDescent="0.2">
      <c r="A69" s="1132"/>
      <c r="B69" s="945" t="s">
        <v>4</v>
      </c>
      <c r="C69" s="1240">
        <v>-37272</v>
      </c>
      <c r="D69" s="1135">
        <v>-0.11572280178837556</v>
      </c>
      <c r="E69" s="1947"/>
      <c r="F69" s="1092">
        <v>284808</v>
      </c>
      <c r="G69" s="1186">
        <v>331600</v>
      </c>
      <c r="H69" s="1186">
        <v>300036</v>
      </c>
      <c r="I69" s="1165">
        <v>274123</v>
      </c>
      <c r="J69" s="1186">
        <v>322080</v>
      </c>
      <c r="K69" s="1186">
        <v>309442</v>
      </c>
      <c r="L69" s="1186">
        <v>191547</v>
      </c>
      <c r="M69" s="1165">
        <v>199808</v>
      </c>
      <c r="N69" s="1186">
        <v>271656</v>
      </c>
      <c r="O69" s="1182"/>
      <c r="P69" s="2160">
        <v>1190567</v>
      </c>
      <c r="Q69" s="1308">
        <v>1022877</v>
      </c>
      <c r="R69" s="1308">
        <v>167690</v>
      </c>
      <c r="S69" s="2198">
        <v>0.16393955480473213</v>
      </c>
      <c r="T69" s="1188"/>
      <c r="U69" s="1964">
        <v>1190567</v>
      </c>
      <c r="V69" s="1182">
        <v>1022877</v>
      </c>
      <c r="W69" s="1182">
        <v>878353</v>
      </c>
      <c r="X69" s="1958">
        <v>787805</v>
      </c>
      <c r="Y69" s="1182">
        <v>880763</v>
      </c>
      <c r="Z69" s="1147"/>
      <c r="AA69" s="1109"/>
    </row>
    <row r="70" spans="1:27" ht="12.75" customHeight="1" x14ac:dyDescent="0.2">
      <c r="A70" s="1118"/>
      <c r="B70" s="945" t="s">
        <v>77</v>
      </c>
      <c r="C70" s="955">
        <v>-7327</v>
      </c>
      <c r="D70" s="1017">
        <v>-2.714568343991049E-2</v>
      </c>
      <c r="E70" s="1968"/>
      <c r="F70" s="1092">
        <v>262587</v>
      </c>
      <c r="G70" s="1186">
        <v>285702</v>
      </c>
      <c r="H70" s="1186">
        <v>261918</v>
      </c>
      <c r="I70" s="1165">
        <v>244774</v>
      </c>
      <c r="J70" s="1186">
        <v>269914</v>
      </c>
      <c r="K70" s="1186">
        <v>259160</v>
      </c>
      <c r="L70" s="1186">
        <v>186152</v>
      </c>
      <c r="M70" s="1165">
        <v>197044</v>
      </c>
      <c r="N70" s="1186">
        <v>232161</v>
      </c>
      <c r="O70" s="1182"/>
      <c r="P70" s="1123">
        <v>1054981</v>
      </c>
      <c r="Q70" s="1186">
        <v>912270</v>
      </c>
      <c r="R70" s="1186">
        <v>142711</v>
      </c>
      <c r="S70" s="1037">
        <v>0.15643504664189331</v>
      </c>
      <c r="T70" s="1188"/>
      <c r="U70" s="1182">
        <v>1054981</v>
      </c>
      <c r="V70" s="1182">
        <v>912270</v>
      </c>
      <c r="W70" s="1182">
        <v>817096</v>
      </c>
      <c r="X70" s="1958">
        <v>793862</v>
      </c>
      <c r="Y70" s="1182">
        <v>827458</v>
      </c>
      <c r="Z70" s="1147"/>
      <c r="AA70" s="1109"/>
    </row>
    <row r="71" spans="1:27" ht="12.75" customHeight="1" x14ac:dyDescent="0.2">
      <c r="A71" s="1118"/>
      <c r="B71" s="945" t="s">
        <v>192</v>
      </c>
      <c r="C71" s="955">
        <v>-29945</v>
      </c>
      <c r="D71" s="1017">
        <v>-0.57403289498907339</v>
      </c>
      <c r="E71" s="1968"/>
      <c r="F71" s="1094">
        <v>22221</v>
      </c>
      <c r="G71" s="1186">
        <v>45898</v>
      </c>
      <c r="H71" s="1186">
        <v>38118</v>
      </c>
      <c r="I71" s="1165">
        <v>29349</v>
      </c>
      <c r="J71" s="1186">
        <v>52166</v>
      </c>
      <c r="K71" s="1186">
        <v>50282</v>
      </c>
      <c r="L71" s="1186">
        <v>5395</v>
      </c>
      <c r="M71" s="1165">
        <v>2764</v>
      </c>
      <c r="N71" s="1186">
        <v>39495</v>
      </c>
      <c r="O71" s="1182"/>
      <c r="P71" s="1123">
        <v>135586</v>
      </c>
      <c r="Q71" s="1186">
        <v>110607</v>
      </c>
      <c r="R71" s="1186">
        <v>24979</v>
      </c>
      <c r="S71" s="2176">
        <v>0.22583561619065701</v>
      </c>
      <c r="T71" s="1188"/>
      <c r="U71" s="1182">
        <v>135586</v>
      </c>
      <c r="V71" s="1182">
        <v>110607</v>
      </c>
      <c r="W71" s="1182">
        <v>61257</v>
      </c>
      <c r="X71" s="1958">
        <v>-6057</v>
      </c>
      <c r="Y71" s="1182">
        <v>53305</v>
      </c>
      <c r="Z71" s="1147"/>
      <c r="AA71" s="1109"/>
    </row>
    <row r="72" spans="1:27" ht="12.75" customHeight="1" x14ac:dyDescent="0.2">
      <c r="A72" s="1118"/>
      <c r="B72" s="945" t="s">
        <v>7</v>
      </c>
      <c r="C72" s="955">
        <v>-20702</v>
      </c>
      <c r="D72" s="1017">
        <v>-0.55483490566037741</v>
      </c>
      <c r="E72" s="1968"/>
      <c r="F72" s="1094">
        <v>16610</v>
      </c>
      <c r="G72" s="1186">
        <v>36843</v>
      </c>
      <c r="H72" s="1186">
        <v>28867</v>
      </c>
      <c r="I72" s="1165">
        <v>25035</v>
      </c>
      <c r="J72" s="1186">
        <v>37312</v>
      </c>
      <c r="K72" s="1186">
        <v>39182</v>
      </c>
      <c r="L72" s="1186">
        <v>3548</v>
      </c>
      <c r="M72" s="1165">
        <v>1615</v>
      </c>
      <c r="N72" s="1186">
        <v>32740</v>
      </c>
      <c r="O72" s="1182"/>
      <c r="P72" s="1123">
        <v>107355</v>
      </c>
      <c r="Q72" s="1186">
        <v>81657</v>
      </c>
      <c r="R72" s="1186">
        <v>25698</v>
      </c>
      <c r="S72" s="2176">
        <v>0.31470663874499433</v>
      </c>
      <c r="T72" s="1188"/>
      <c r="U72" s="1182">
        <v>107355</v>
      </c>
      <c r="V72" s="1182">
        <v>81657</v>
      </c>
      <c r="W72" s="1182">
        <v>49196</v>
      </c>
      <c r="X72" s="1958">
        <v>-5995</v>
      </c>
      <c r="Y72" s="1182">
        <v>39330</v>
      </c>
      <c r="Z72" s="1108"/>
      <c r="AA72" s="1108"/>
    </row>
    <row r="73" spans="1:27" ht="12.75" customHeight="1" x14ac:dyDescent="0.2">
      <c r="A73" s="945"/>
      <c r="B73" s="945" t="s">
        <v>324</v>
      </c>
      <c r="C73" s="955">
        <v>-18537</v>
      </c>
      <c r="D73" s="1017">
        <v>-0.5243253945805284</v>
      </c>
      <c r="E73" s="2218"/>
      <c r="F73" s="897">
        <v>16817</v>
      </c>
      <c r="G73" s="1064">
        <v>36842</v>
      </c>
      <c r="H73" s="1064">
        <v>28642</v>
      </c>
      <c r="I73" s="1065">
        <v>24002</v>
      </c>
      <c r="J73" s="1064">
        <v>35354</v>
      </c>
      <c r="K73" s="1186">
        <v>37016</v>
      </c>
      <c r="L73" s="1064">
        <v>3321</v>
      </c>
      <c r="M73" s="1065">
        <v>1913</v>
      </c>
      <c r="N73" s="1064">
        <v>30639</v>
      </c>
      <c r="O73" s="1958"/>
      <c r="P73" s="1123">
        <v>106303</v>
      </c>
      <c r="Q73" s="1186">
        <v>77604</v>
      </c>
      <c r="R73" s="1064">
        <v>28699</v>
      </c>
      <c r="S73" s="2176">
        <v>0.3698134116798103</v>
      </c>
      <c r="T73" s="1064"/>
      <c r="U73" s="1182">
        <v>106303</v>
      </c>
      <c r="V73" s="1182">
        <v>77604</v>
      </c>
      <c r="W73" s="1182">
        <v>43902.86</v>
      </c>
      <c r="X73" s="1958">
        <v>-6620.4799999999959</v>
      </c>
      <c r="Y73" s="1958">
        <v>36447.949999999997</v>
      </c>
      <c r="Z73" s="1108"/>
      <c r="AA73" s="1108"/>
    </row>
    <row r="74" spans="1:27" ht="12.75" customHeight="1" x14ac:dyDescent="0.2">
      <c r="A74" s="1118"/>
      <c r="B74" s="945" t="s">
        <v>330</v>
      </c>
      <c r="C74" s="1116">
        <v>-18537</v>
      </c>
      <c r="D74" s="1117">
        <v>-0.56167621125352241</v>
      </c>
      <c r="E74" s="1968"/>
      <c r="F74" s="1106">
        <v>14466</v>
      </c>
      <c r="G74" s="1212">
        <v>34491</v>
      </c>
      <c r="H74" s="1212">
        <v>26291</v>
      </c>
      <c r="I74" s="1171">
        <v>21651</v>
      </c>
      <c r="J74" s="1212">
        <v>33003</v>
      </c>
      <c r="K74" s="1212">
        <v>34665</v>
      </c>
      <c r="L74" s="1212">
        <v>970</v>
      </c>
      <c r="M74" s="1171">
        <v>-627</v>
      </c>
      <c r="N74" s="1212">
        <v>28099</v>
      </c>
      <c r="O74" s="1182"/>
      <c r="P74" s="1214">
        <v>96899</v>
      </c>
      <c r="Q74" s="1212">
        <v>68011</v>
      </c>
      <c r="R74" s="1212">
        <v>28888</v>
      </c>
      <c r="S74" s="2199">
        <v>0.42475481907338519</v>
      </c>
      <c r="T74" s="1188"/>
      <c r="U74" s="1190">
        <v>96899</v>
      </c>
      <c r="V74" s="1190">
        <v>68011</v>
      </c>
      <c r="W74" s="1190">
        <v>32824.86</v>
      </c>
      <c r="X74" s="2171">
        <v>-18612.479999999996</v>
      </c>
      <c r="Y74" s="1190">
        <v>24570.949999999997</v>
      </c>
      <c r="Z74" s="1108"/>
      <c r="AA74" s="1108"/>
    </row>
    <row r="75" spans="1:27" ht="12.75" customHeight="1" x14ac:dyDescent="0.2">
      <c r="A75" s="1118"/>
      <c r="B75" s="945"/>
      <c r="C75" s="999"/>
      <c r="D75" s="957"/>
      <c r="E75" s="926"/>
      <c r="F75" s="926"/>
      <c r="G75" s="957"/>
      <c r="H75" s="957"/>
      <c r="I75" s="945"/>
      <c r="J75" s="957"/>
      <c r="K75" s="957"/>
      <c r="L75" s="957"/>
      <c r="M75" s="945"/>
      <c r="N75" s="957"/>
      <c r="O75" s="945"/>
      <c r="P75" s="945"/>
      <c r="Q75" s="945"/>
      <c r="R75" s="999"/>
      <c r="S75" s="957"/>
      <c r="T75" s="945"/>
      <c r="U75" s="945"/>
      <c r="V75" s="945"/>
      <c r="W75" s="945"/>
      <c r="X75" s="945"/>
      <c r="Y75" s="945"/>
      <c r="Z75" s="1108"/>
      <c r="AA75" s="1108"/>
    </row>
    <row r="76" spans="1:27" ht="12.75" customHeight="1" x14ac:dyDescent="0.2">
      <c r="A76" s="1118"/>
      <c r="B76" s="945" t="s">
        <v>528</v>
      </c>
      <c r="C76" s="1127">
        <v>2.8434027309887755</v>
      </c>
      <c r="D76" s="957"/>
      <c r="E76" s="926"/>
      <c r="F76" s="926">
        <v>0.61536895031038452</v>
      </c>
      <c r="G76" s="957">
        <v>0.59088962605548856</v>
      </c>
      <c r="H76" s="957">
        <v>0.59689837219533659</v>
      </c>
      <c r="I76" s="957">
        <v>0.60678235682522075</v>
      </c>
      <c r="J76" s="957">
        <v>0.58693492300049677</v>
      </c>
      <c r="K76" s="957">
        <v>0.59839323685860357</v>
      </c>
      <c r="L76" s="957">
        <v>0.64179548622531279</v>
      </c>
      <c r="M76" s="957">
        <v>0.64417340647021137</v>
      </c>
      <c r="N76" s="957">
        <v>0.58343640486497628</v>
      </c>
      <c r="O76" s="945"/>
      <c r="P76" s="957">
        <v>0.60191908561214946</v>
      </c>
      <c r="Q76" s="957">
        <v>0.61185557989865835</v>
      </c>
      <c r="R76" s="1127">
        <v>-0.99364942865088901</v>
      </c>
      <c r="S76" s="957"/>
      <c r="T76" s="945"/>
      <c r="U76" s="957">
        <v>0.60191908561214946</v>
      </c>
      <c r="V76" s="957">
        <v>0.61185557989865835</v>
      </c>
      <c r="W76" s="957">
        <v>0.61474442496469772</v>
      </c>
      <c r="X76" s="957">
        <v>0.64845615348975949</v>
      </c>
      <c r="Y76" s="957">
        <v>0.61452399794269286</v>
      </c>
      <c r="Z76" s="1108"/>
      <c r="AA76" s="1108"/>
    </row>
    <row r="77" spans="1:27" ht="12.75" customHeight="1" x14ac:dyDescent="0.2">
      <c r="A77" s="1118"/>
      <c r="B77" s="1129" t="s">
        <v>72</v>
      </c>
      <c r="C77" s="1127">
        <v>5.5510961320725141</v>
      </c>
      <c r="D77" s="957"/>
      <c r="E77" s="926"/>
      <c r="F77" s="926">
        <v>0.3066100671329457</v>
      </c>
      <c r="G77" s="957">
        <v>0.2706966224366707</v>
      </c>
      <c r="H77" s="957">
        <v>0.27605687317521899</v>
      </c>
      <c r="I77" s="1595">
        <v>0.28615256654859317</v>
      </c>
      <c r="J77" s="957">
        <v>0.25109910581222056</v>
      </c>
      <c r="K77" s="957">
        <v>0.23911427666574026</v>
      </c>
      <c r="L77" s="957">
        <v>0.3300391026745394</v>
      </c>
      <c r="M77" s="1595">
        <v>0.34199331358103779</v>
      </c>
      <c r="N77" s="957">
        <v>0.27117751862649819</v>
      </c>
      <c r="O77" s="945"/>
      <c r="P77" s="957">
        <v>0.28419736142527047</v>
      </c>
      <c r="Q77" s="957">
        <v>0.28001118414041964</v>
      </c>
      <c r="R77" s="1127">
        <v>0.41861772848508227</v>
      </c>
      <c r="S77" s="957"/>
      <c r="T77" s="945"/>
      <c r="U77" s="957">
        <v>0.28419736142527047</v>
      </c>
      <c r="V77" s="957">
        <v>0.28001118414041964</v>
      </c>
      <c r="W77" s="957">
        <v>0.31425303508855706</v>
      </c>
      <c r="X77" s="957">
        <v>0.3592322973324617</v>
      </c>
      <c r="Y77" s="957">
        <v>0.32495461321604108</v>
      </c>
      <c r="Z77" s="1108"/>
      <c r="AA77" s="1108"/>
    </row>
    <row r="78" spans="1:27" ht="12.75" customHeight="1" x14ac:dyDescent="0.2">
      <c r="A78" s="1118"/>
      <c r="B78" s="1129" t="s">
        <v>73</v>
      </c>
      <c r="C78" s="1127">
        <v>8.3944988630612833</v>
      </c>
      <c r="D78" s="957"/>
      <c r="E78" s="926"/>
      <c r="F78" s="926">
        <v>0.92197901744333022</v>
      </c>
      <c r="G78" s="957">
        <v>0.86158624849215926</v>
      </c>
      <c r="H78" s="957">
        <v>0.87295524537055558</v>
      </c>
      <c r="I78" s="1595">
        <v>0.89293492337381397</v>
      </c>
      <c r="J78" s="957">
        <v>0.83803402881271738</v>
      </c>
      <c r="K78" s="957">
        <v>0.83750751352434383</v>
      </c>
      <c r="L78" s="957">
        <v>0.9718345888998523</v>
      </c>
      <c r="M78" s="1595">
        <v>0.98616672005124917</v>
      </c>
      <c r="N78" s="957">
        <v>0.85461392349147447</v>
      </c>
      <c r="O78" s="945"/>
      <c r="P78" s="957">
        <v>0.88611644703741999</v>
      </c>
      <c r="Q78" s="957">
        <v>0.89186676403907805</v>
      </c>
      <c r="R78" s="1127">
        <v>-0.57503170016580674</v>
      </c>
      <c r="S78" s="957"/>
      <c r="T78" s="945"/>
      <c r="U78" s="957">
        <v>0.88611644703741999</v>
      </c>
      <c r="V78" s="957">
        <v>0.89186676403907805</v>
      </c>
      <c r="W78" s="957">
        <v>0.93025924656715464</v>
      </c>
      <c r="X78" s="957">
        <v>1.0076884508222212</v>
      </c>
      <c r="Y78" s="957">
        <v>0.93947861115873399</v>
      </c>
      <c r="Z78" s="1108"/>
      <c r="AA78" s="1108"/>
    </row>
    <row r="79" spans="1:27" ht="12.75" customHeight="1" x14ac:dyDescent="0.2">
      <c r="A79" s="1118"/>
      <c r="B79" s="1129" t="s">
        <v>74</v>
      </c>
      <c r="C79" s="1127">
        <v>-8.3944988630612922</v>
      </c>
      <c r="D79" s="957"/>
      <c r="E79" s="926"/>
      <c r="F79" s="926">
        <v>7.8020982556669755E-2</v>
      </c>
      <c r="G79" s="957">
        <v>0.13841375150784077</v>
      </c>
      <c r="H79" s="957">
        <v>0.12704475462944448</v>
      </c>
      <c r="I79" s="1595">
        <v>0.10706507662618606</v>
      </c>
      <c r="J79" s="957">
        <v>0.16196597118728268</v>
      </c>
      <c r="K79" s="957">
        <v>0.16249248647565617</v>
      </c>
      <c r="L79" s="957">
        <v>2.8165411100147746E-2</v>
      </c>
      <c r="M79" s="1595">
        <v>1.3833279948750801E-2</v>
      </c>
      <c r="N79" s="957">
        <v>0.14538607650852547</v>
      </c>
      <c r="O79" s="945"/>
      <c r="P79" s="957">
        <v>0.11388355296258001</v>
      </c>
      <c r="Q79" s="957">
        <v>0.10813323596092199</v>
      </c>
      <c r="R79" s="1127">
        <v>0.57503170016580252</v>
      </c>
      <c r="S79" s="957"/>
      <c r="T79" s="945"/>
      <c r="U79" s="957">
        <v>0.11388355296258001</v>
      </c>
      <c r="V79" s="957">
        <v>0.10813323596092199</v>
      </c>
      <c r="W79" s="957">
        <v>6.9740753432845332E-2</v>
      </c>
      <c r="X79" s="957">
        <v>-7.688450822221235E-3</v>
      </c>
      <c r="Y79" s="957">
        <v>6.0521388841266038E-2</v>
      </c>
      <c r="Z79" s="1108"/>
      <c r="AA79" s="1108"/>
    </row>
    <row r="80" spans="1:27" ht="12.75" customHeight="1" x14ac:dyDescent="0.2">
      <c r="A80" s="1118"/>
      <c r="B80" s="1129" t="s">
        <v>75</v>
      </c>
      <c r="C80" s="1127">
        <v>-3.2235964980527667</v>
      </c>
      <c r="D80" s="957"/>
      <c r="E80" s="926"/>
      <c r="F80" s="926">
        <v>0.25250888798883936</v>
      </c>
      <c r="G80" s="957">
        <v>0.19728528476186327</v>
      </c>
      <c r="H80" s="957">
        <v>0.24269374049005718</v>
      </c>
      <c r="I80" s="957">
        <v>0.14698967596851681</v>
      </c>
      <c r="J80" s="957">
        <v>0.28474485296936702</v>
      </c>
      <c r="K80" s="957">
        <v>0.22075494212640706</v>
      </c>
      <c r="L80" s="957">
        <v>0.34235403151065802</v>
      </c>
      <c r="M80" s="957">
        <v>0.41570188133140379</v>
      </c>
      <c r="N80" s="957">
        <v>0.17103430814027093</v>
      </c>
      <c r="O80" s="945"/>
      <c r="P80" s="957">
        <v>0.20821471243343709</v>
      </c>
      <c r="Q80" s="957">
        <v>0.26173750305134397</v>
      </c>
      <c r="R80" s="1127">
        <v>-5.3522790617906875</v>
      </c>
      <c r="S80" s="957"/>
      <c r="T80" s="945"/>
      <c r="U80" s="957">
        <v>0.20821471243343709</v>
      </c>
      <c r="V80" s="957">
        <v>0.26173750305134397</v>
      </c>
      <c r="W80" s="957">
        <v>0.19689178379613759</v>
      </c>
      <c r="X80" s="957">
        <v>1.023609047383193E-2</v>
      </c>
      <c r="Y80" s="957">
        <v>0.26217052809304942</v>
      </c>
      <c r="Z80" s="1108"/>
      <c r="AA80" s="1108"/>
    </row>
    <row r="81" spans="1:27" ht="12.75" customHeight="1" x14ac:dyDescent="0.2">
      <c r="A81" s="1118"/>
      <c r="B81" s="1129" t="s">
        <v>76</v>
      </c>
      <c r="C81" s="1127">
        <v>-5.7527003524030684</v>
      </c>
      <c r="D81" s="1137"/>
      <c r="E81" s="907"/>
      <c r="F81" s="907">
        <v>5.8319991011488444E-2</v>
      </c>
      <c r="G81" s="951">
        <v>0.11110675512665863</v>
      </c>
      <c r="H81" s="951">
        <v>9.6211787918783084E-2</v>
      </c>
      <c r="I81" s="951">
        <v>9.132761570535855E-2</v>
      </c>
      <c r="J81" s="951">
        <v>0.11584699453551912</v>
      </c>
      <c r="K81" s="951">
        <v>0.12662146702774671</v>
      </c>
      <c r="L81" s="951">
        <v>1.8522869060857126E-2</v>
      </c>
      <c r="M81" s="951">
        <v>8.0827594490711085E-3</v>
      </c>
      <c r="N81" s="951">
        <v>0.12052006949966133</v>
      </c>
      <c r="O81" s="945"/>
      <c r="P81" s="951">
        <v>9.0171321731578311E-2</v>
      </c>
      <c r="Q81" s="951">
        <v>7.9830712783648478E-2</v>
      </c>
      <c r="R81" s="1127">
        <v>1.0340608947929832</v>
      </c>
      <c r="S81" s="951"/>
      <c r="T81" s="945"/>
      <c r="U81" s="957">
        <v>9.0171321731578311E-2</v>
      </c>
      <c r="V81" s="951">
        <v>7.9830712783648478E-2</v>
      </c>
      <c r="W81" s="951">
        <v>5.6009372086165812E-2</v>
      </c>
      <c r="X81" s="951">
        <v>-7.6097511440013713E-3</v>
      </c>
      <c r="Y81" s="951">
        <v>4.4654464367826531E-2</v>
      </c>
      <c r="Z81" s="1108"/>
      <c r="AA81" s="1108"/>
    </row>
    <row r="82" spans="1:27" s="930" customFormat="1" ht="12.75" customHeight="1" x14ac:dyDescent="0.2">
      <c r="A82" s="1126"/>
      <c r="B82" s="1126" t="s">
        <v>628</v>
      </c>
      <c r="C82" s="1040">
        <v>-0.21</v>
      </c>
      <c r="D82" s="951">
        <v>-0.58333333333333337</v>
      </c>
      <c r="E82" s="907"/>
      <c r="F82" s="938">
        <v>0.15</v>
      </c>
      <c r="G82" s="1073">
        <v>0.35</v>
      </c>
      <c r="H82" s="1073">
        <v>0.27</v>
      </c>
      <c r="I82" s="1073">
        <v>0.23</v>
      </c>
      <c r="J82" s="1073">
        <v>0.36</v>
      </c>
      <c r="K82" s="1073">
        <v>0.38</v>
      </c>
      <c r="L82" s="1073">
        <v>0.01</v>
      </c>
      <c r="M82" s="1073">
        <v>-0.01</v>
      </c>
      <c r="N82" s="1073">
        <v>0.31</v>
      </c>
      <c r="O82" s="945"/>
      <c r="P82" s="1199">
        <v>1.01</v>
      </c>
      <c r="Q82" s="1199">
        <v>0.73</v>
      </c>
      <c r="R82" s="1040">
        <v>0.28000000000000003</v>
      </c>
      <c r="S82" s="951">
        <v>0.38356164383561647</v>
      </c>
      <c r="T82" s="945"/>
      <c r="U82" s="1042">
        <v>1.01</v>
      </c>
      <c r="V82" s="1217">
        <v>0.73</v>
      </c>
      <c r="W82" s="1217">
        <v>0.36</v>
      </c>
      <c r="X82" s="1217">
        <v>-0.21</v>
      </c>
      <c r="Y82" s="1073">
        <v>0.27</v>
      </c>
      <c r="Z82" s="939"/>
      <c r="AA82" s="939"/>
    </row>
    <row r="83" spans="1:27" s="930" customFormat="1" ht="12.75" customHeight="1" x14ac:dyDescent="0.2">
      <c r="A83" s="1126"/>
      <c r="B83" s="1126" t="s">
        <v>631</v>
      </c>
      <c r="C83" s="1040">
        <v>-0.16000000000000003</v>
      </c>
      <c r="D83" s="951">
        <v>-0.57142857142857151</v>
      </c>
      <c r="E83" s="907"/>
      <c r="F83" s="938">
        <v>0.12</v>
      </c>
      <c r="G83" s="1073">
        <v>0.28000000000000003</v>
      </c>
      <c r="H83" s="1073">
        <v>0.23</v>
      </c>
      <c r="I83" s="1073">
        <v>0.19</v>
      </c>
      <c r="J83" s="1073">
        <v>0.28000000000000003</v>
      </c>
      <c r="K83" s="1073">
        <v>0.31</v>
      </c>
      <c r="L83" s="1073">
        <v>0.01</v>
      </c>
      <c r="M83" s="1073">
        <v>-0.01</v>
      </c>
      <c r="N83" s="1073">
        <v>0.27</v>
      </c>
      <c r="O83" s="945"/>
      <c r="P83" s="1199">
        <v>0.8</v>
      </c>
      <c r="Q83" s="1199">
        <v>0.59</v>
      </c>
      <c r="R83" s="1040">
        <v>0.21000000000000008</v>
      </c>
      <c r="S83" s="951">
        <v>0.35593220338983067</v>
      </c>
      <c r="T83" s="945"/>
      <c r="U83" s="1042">
        <v>0.8</v>
      </c>
      <c r="V83" s="1217">
        <v>0.59</v>
      </c>
      <c r="W83" s="1217">
        <v>0.32</v>
      </c>
      <c r="X83" s="1217">
        <v>-0.21</v>
      </c>
      <c r="Y83" s="1073">
        <v>0.25</v>
      </c>
      <c r="Z83" s="939"/>
      <c r="AA83" s="939"/>
    </row>
    <row r="84" spans="1:27" s="930" customFormat="1" ht="12.75" customHeight="1" x14ac:dyDescent="0.2">
      <c r="A84" s="959"/>
      <c r="B84" s="945"/>
      <c r="C84" s="1042"/>
      <c r="D84" s="1042"/>
      <c r="E84" s="1634"/>
      <c r="F84" s="1634"/>
      <c r="G84" s="1042"/>
      <c r="H84" s="1042"/>
      <c r="I84" s="1042"/>
      <c r="J84" s="1042"/>
      <c r="K84" s="1042"/>
      <c r="L84" s="1042"/>
      <c r="M84" s="1042"/>
      <c r="N84" s="1042"/>
      <c r="O84" s="1042"/>
      <c r="P84" s="1042"/>
      <c r="Q84" s="1042"/>
      <c r="R84" s="1042"/>
      <c r="S84" s="1042"/>
      <c r="T84" s="1042"/>
      <c r="U84" s="1042"/>
      <c r="V84" s="1042"/>
      <c r="W84" s="1042"/>
      <c r="X84" s="1042"/>
      <c r="Y84" s="1042"/>
      <c r="Z84" s="2131"/>
      <c r="AA84" s="2131"/>
    </row>
    <row r="85" spans="1:27" x14ac:dyDescent="0.2">
      <c r="A85" s="945" t="s">
        <v>339</v>
      </c>
      <c r="B85" s="969"/>
      <c r="C85" s="2131"/>
      <c r="D85" s="2131"/>
      <c r="E85" s="1972"/>
      <c r="F85" s="1972"/>
      <c r="G85" s="1218"/>
      <c r="H85" s="1218"/>
      <c r="I85" s="1218"/>
      <c r="J85" s="1218"/>
      <c r="K85" s="1218"/>
      <c r="L85" s="1218"/>
      <c r="M85" s="1218"/>
      <c r="N85" s="1218"/>
      <c r="O85" s="1218"/>
      <c r="P85" s="1218"/>
      <c r="Q85" s="1218"/>
      <c r="R85" s="2131"/>
      <c r="S85" s="2131"/>
      <c r="T85" s="2131"/>
      <c r="U85" s="2131"/>
      <c r="V85" s="1218"/>
      <c r="W85" s="1218"/>
      <c r="X85" s="1218"/>
      <c r="Y85" s="2131"/>
    </row>
    <row r="86" spans="1:27" x14ac:dyDescent="0.2">
      <c r="A86" s="968" t="s">
        <v>25</v>
      </c>
      <c r="B86" s="939"/>
      <c r="C86" s="2131"/>
      <c r="D86" s="2131"/>
      <c r="E86" s="1972"/>
      <c r="F86" s="1972"/>
      <c r="G86" s="1218"/>
      <c r="H86" s="1218"/>
      <c r="I86" s="1682"/>
      <c r="J86" s="1218"/>
      <c r="K86" s="1218"/>
      <c r="L86" s="1218"/>
      <c r="M86" s="1682"/>
      <c r="N86" s="1218"/>
      <c r="O86" s="1218"/>
      <c r="P86" s="1218"/>
      <c r="Q86" s="1218"/>
      <c r="R86" s="2131"/>
      <c r="S86" s="2131"/>
      <c r="T86" s="2131"/>
      <c r="U86" s="2131"/>
      <c r="V86" s="1218"/>
      <c r="W86" s="1218"/>
      <c r="X86" s="2131"/>
      <c r="Y86" s="2131"/>
    </row>
    <row r="87" spans="1:27" x14ac:dyDescent="0.2">
      <c r="A87" s="940"/>
      <c r="B87" s="939"/>
      <c r="C87" s="2131"/>
      <c r="D87" s="2131"/>
      <c r="E87" s="1972"/>
      <c r="F87" s="1972"/>
      <c r="G87" s="1218"/>
      <c r="H87" s="1218"/>
      <c r="I87" s="1218"/>
      <c r="J87" s="1218"/>
      <c r="K87" s="1218"/>
      <c r="L87" s="1218"/>
      <c r="M87" s="1218"/>
      <c r="N87" s="1218"/>
      <c r="O87" s="1218"/>
      <c r="P87" s="1218"/>
      <c r="Q87" s="2131"/>
      <c r="R87" s="2131"/>
      <c r="S87" s="2131"/>
      <c r="T87" s="2131"/>
      <c r="U87" s="2131"/>
      <c r="V87" s="1218"/>
      <c r="W87" s="1218"/>
      <c r="X87" s="2131"/>
      <c r="Y87" s="2131"/>
    </row>
    <row r="88" spans="1:27" x14ac:dyDescent="0.2">
      <c r="A88" s="945" t="s">
        <v>552</v>
      </c>
      <c r="B88" s="939"/>
      <c r="C88" s="2131"/>
      <c r="D88" s="2131"/>
      <c r="E88" s="1972"/>
      <c r="F88" s="1972"/>
      <c r="G88" s="1218"/>
      <c r="H88" s="1218"/>
      <c r="I88" s="1218"/>
      <c r="J88" s="1218"/>
      <c r="K88" s="1218"/>
      <c r="L88" s="1218"/>
      <c r="M88" s="1218"/>
      <c r="N88" s="1218"/>
      <c r="O88" s="1218"/>
      <c r="P88" s="2131"/>
      <c r="Q88" s="2131"/>
      <c r="R88" s="2131"/>
      <c r="S88" s="2131"/>
      <c r="T88" s="2131"/>
      <c r="U88" s="2131"/>
      <c r="V88" s="2131"/>
      <c r="W88" s="2131"/>
      <c r="X88" s="2131"/>
      <c r="Y88" s="2131"/>
    </row>
    <row r="89" spans="1:27" x14ac:dyDescent="0.2">
      <c r="B89" s="939"/>
      <c r="C89" s="2131"/>
      <c r="D89" s="2131"/>
      <c r="E89" s="1972"/>
      <c r="F89" s="1972"/>
      <c r="G89" s="1218"/>
      <c r="H89" s="1218"/>
      <c r="I89" s="1218"/>
      <c r="J89" s="1218"/>
      <c r="K89" s="1218"/>
      <c r="L89" s="1218"/>
      <c r="M89" s="1218"/>
      <c r="N89" s="1218"/>
      <c r="O89" s="1218"/>
      <c r="P89" s="2131"/>
      <c r="Q89" s="2131"/>
      <c r="R89" s="2131"/>
      <c r="S89" s="2131"/>
      <c r="T89" s="2131"/>
      <c r="U89" s="2131"/>
      <c r="V89" s="2131"/>
      <c r="W89" s="2131"/>
      <c r="X89" s="2131"/>
      <c r="Y89" s="2131"/>
    </row>
    <row r="90" spans="1:27" x14ac:dyDescent="0.2">
      <c r="B90" s="939"/>
      <c r="C90" s="2131"/>
      <c r="D90" s="2131"/>
      <c r="E90" s="930"/>
      <c r="F90" s="930"/>
      <c r="G90" s="2131"/>
      <c r="H90" s="2131"/>
      <c r="I90" s="2131"/>
      <c r="J90" s="2131"/>
      <c r="K90" s="2131"/>
      <c r="L90" s="2131"/>
      <c r="M90" s="2131"/>
      <c r="N90" s="2131"/>
      <c r="O90" s="1218"/>
      <c r="P90" s="2131"/>
      <c r="Q90" s="2131"/>
      <c r="R90" s="2131"/>
      <c r="S90" s="2131"/>
      <c r="T90" s="2131"/>
      <c r="U90" s="2131"/>
      <c r="V90" s="2131"/>
      <c r="W90" s="2131"/>
      <c r="X90" s="2131"/>
      <c r="Y90" s="2131"/>
    </row>
    <row r="91" spans="1:27" x14ac:dyDescent="0.2">
      <c r="B91" s="939"/>
      <c r="C91" s="2131"/>
      <c r="D91" s="2131"/>
      <c r="E91" s="930"/>
      <c r="F91" s="930"/>
      <c r="G91" s="2131"/>
      <c r="H91" s="2131"/>
      <c r="I91" s="2131"/>
      <c r="J91" s="2131"/>
      <c r="K91" s="2131"/>
      <c r="L91" s="2131"/>
      <c r="M91" s="2131"/>
      <c r="N91" s="2131"/>
      <c r="O91" s="1218"/>
      <c r="P91" s="2131"/>
      <c r="Q91" s="2131"/>
      <c r="R91" s="2131"/>
      <c r="S91" s="2131"/>
      <c r="T91" s="2131"/>
      <c r="U91" s="2131"/>
      <c r="V91" s="2131"/>
      <c r="W91" s="2131"/>
      <c r="X91" s="2131"/>
      <c r="Y91" s="2131"/>
    </row>
    <row r="92" spans="1:27" x14ac:dyDescent="0.2">
      <c r="B92" s="939"/>
      <c r="C92" s="2131"/>
      <c r="D92" s="2131"/>
      <c r="E92" s="930"/>
      <c r="F92" s="930"/>
      <c r="G92" s="2131"/>
      <c r="H92" s="2131"/>
      <c r="I92" s="2131"/>
      <c r="J92" s="2131"/>
      <c r="K92" s="2131"/>
      <c r="L92" s="2131"/>
      <c r="M92" s="2131"/>
      <c r="N92" s="2131"/>
      <c r="O92" s="1218"/>
      <c r="P92" s="1218"/>
      <c r="Q92" s="1218"/>
      <c r="R92" s="2131"/>
      <c r="S92" s="2131"/>
      <c r="T92" s="2131"/>
      <c r="U92" s="2131"/>
      <c r="V92" s="1218"/>
      <c r="W92" s="1218"/>
      <c r="X92" s="2131"/>
      <c r="Y92" s="2131"/>
    </row>
    <row r="93" spans="1:27" x14ac:dyDescent="0.2">
      <c r="C93" s="2131"/>
      <c r="D93" s="2131"/>
      <c r="E93" s="930"/>
      <c r="F93" s="930"/>
      <c r="G93" s="2131"/>
      <c r="H93" s="2131"/>
      <c r="I93" s="2131"/>
      <c r="J93" s="2131"/>
      <c r="K93" s="2131"/>
      <c r="L93" s="2131"/>
      <c r="M93" s="2131"/>
      <c r="N93" s="2131"/>
      <c r="O93" s="1218"/>
      <c r="P93" s="1218"/>
      <c r="Q93" s="1218"/>
      <c r="R93" s="2131"/>
      <c r="S93" s="2131"/>
      <c r="T93" s="2131"/>
      <c r="U93" s="2131"/>
      <c r="V93" s="1218"/>
      <c r="W93" s="1218"/>
      <c r="X93" s="2131"/>
      <c r="Y93" s="1218"/>
    </row>
    <row r="94" spans="1:27" x14ac:dyDescent="0.2">
      <c r="C94" s="2131"/>
      <c r="D94" s="2131"/>
      <c r="E94" s="930"/>
      <c r="F94" s="930"/>
      <c r="G94" s="2131"/>
      <c r="H94" s="2131"/>
      <c r="I94" s="2131"/>
      <c r="J94" s="2131"/>
      <c r="K94" s="2131"/>
      <c r="L94" s="2131"/>
      <c r="M94" s="2131"/>
      <c r="N94" s="2131"/>
      <c r="O94" s="1218"/>
      <c r="P94" s="1218"/>
      <c r="Q94" s="1218"/>
      <c r="R94" s="2131"/>
      <c r="S94" s="2131"/>
      <c r="T94" s="2131"/>
      <c r="U94" s="2131"/>
      <c r="V94" s="1218"/>
      <c r="W94" s="1218"/>
      <c r="X94" s="2131"/>
      <c r="Y94" s="1218"/>
    </row>
    <row r="95" spans="1:27" x14ac:dyDescent="0.2">
      <c r="C95" s="2131"/>
      <c r="D95" s="2131"/>
      <c r="E95" s="930"/>
      <c r="F95" s="930"/>
      <c r="G95" s="2131"/>
      <c r="H95" s="2131"/>
      <c r="I95" s="2131"/>
      <c r="J95" s="2131"/>
      <c r="K95" s="2131"/>
      <c r="L95" s="2131"/>
      <c r="M95" s="2131"/>
      <c r="N95" s="2131"/>
      <c r="O95" s="1218"/>
      <c r="P95" s="1218"/>
      <c r="Q95" s="1218"/>
      <c r="R95" s="2131"/>
      <c r="S95" s="2131"/>
      <c r="T95" s="2131"/>
      <c r="U95" s="2131"/>
      <c r="V95" s="1218"/>
      <c r="W95" s="1218"/>
      <c r="X95" s="2131"/>
      <c r="Y95" s="1218"/>
    </row>
    <row r="96" spans="1:27" x14ac:dyDescent="0.2">
      <c r="C96" s="2131"/>
      <c r="D96" s="2131"/>
      <c r="E96" s="930"/>
      <c r="F96" s="930"/>
      <c r="G96" s="2131"/>
      <c r="H96" s="2131"/>
      <c r="I96" s="2131"/>
      <c r="J96" s="2131"/>
      <c r="K96" s="2131"/>
      <c r="L96" s="2131"/>
      <c r="M96" s="2131"/>
      <c r="N96" s="2131"/>
      <c r="O96" s="1218"/>
      <c r="P96" s="1218"/>
      <c r="Q96" s="1218"/>
      <c r="R96" s="1038"/>
      <c r="S96" s="2131"/>
      <c r="T96" s="2131"/>
      <c r="U96" s="2131"/>
      <c r="V96" s="1218"/>
      <c r="W96" s="1218"/>
      <c r="X96" s="2131"/>
      <c r="Y96" s="1218"/>
    </row>
    <row r="97" spans="3:25" x14ac:dyDescent="0.2">
      <c r="C97" s="2131"/>
      <c r="D97" s="2131"/>
      <c r="E97" s="930"/>
      <c r="F97" s="930"/>
      <c r="G97" s="2131"/>
      <c r="H97" s="2131"/>
      <c r="I97" s="2131"/>
      <c r="J97" s="2131"/>
      <c r="K97" s="2131"/>
      <c r="L97" s="2131"/>
      <c r="M97" s="2131"/>
      <c r="N97" s="2131"/>
      <c r="O97" s="1218"/>
      <c r="P97" s="1218"/>
      <c r="Q97" s="1218"/>
      <c r="R97" s="2131"/>
      <c r="S97" s="2131"/>
      <c r="T97" s="2131"/>
      <c r="U97" s="2131"/>
      <c r="V97" s="1218"/>
      <c r="W97" s="1218"/>
      <c r="X97" s="2131"/>
      <c r="Y97" s="1218"/>
    </row>
    <row r="98" spans="3:25" x14ac:dyDescent="0.2">
      <c r="E98" s="1104"/>
      <c r="F98" s="1104"/>
      <c r="G98" s="1627"/>
      <c r="H98" s="1627"/>
      <c r="I98" s="1627"/>
      <c r="J98" s="1627"/>
      <c r="K98" s="1627"/>
      <c r="L98" s="1627"/>
      <c r="M98" s="1627"/>
      <c r="N98" s="1627"/>
      <c r="P98" s="1253"/>
      <c r="Q98" s="1253"/>
      <c r="V98" s="1253"/>
      <c r="W98" s="1253"/>
    </row>
  </sheetData>
  <mergeCells count="7">
    <mergeCell ref="R11:S11"/>
    <mergeCell ref="R68:S68"/>
    <mergeCell ref="C68:D68"/>
    <mergeCell ref="C10:D10"/>
    <mergeCell ref="C11:D11"/>
    <mergeCell ref="C67:D67"/>
    <mergeCell ref="P10:Q10"/>
  </mergeCells>
  <phoneticPr fontId="13" type="noConversion"/>
  <conditionalFormatting sqref="A65:A66 A84 A60:B60 A52:B54">
    <cfRule type="cellIs" dxfId="124" priority="13" stopIfTrue="1" operator="equal">
      <formula>0</formula>
    </cfRule>
  </conditionalFormatting>
  <conditionalFormatting sqref="Y60">
    <cfRule type="cellIs" dxfId="123" priority="6" stopIfTrue="1" operator="equal">
      <formula>0</formula>
    </cfRule>
  </conditionalFormatting>
  <conditionalFormatting sqref="X60">
    <cfRule type="cellIs" dxfId="122" priority="5" stopIfTrue="1" operator="equal">
      <formula>0</formula>
    </cfRule>
  </conditionalFormatting>
  <printOptions horizontalCentered="1" verticalCentered="1"/>
  <pageMargins left="0" right="0" top="0" bottom="0" header="0" footer="0"/>
  <pageSetup scale="52" orientation="landscape" r:id="rId1"/>
  <headerFooter alignWithMargins="0">
    <oddFooter>&amp;L&amp;F&amp;CPage 2</oddFooter>
  </headerFooter>
  <colBreaks count="1" manualBreakCount="1">
    <brk id="2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21"/>
  <sheetViews>
    <sheetView showGridLines="0" zoomScale="90" zoomScaleNormal="90" workbookViewId="0">
      <selection activeCell="H45" sqref="H45"/>
    </sheetView>
  </sheetViews>
  <sheetFormatPr defaultColWidth="9.140625" defaultRowHeight="12.75" x14ac:dyDescent="0.2"/>
  <cols>
    <col min="1" max="1" width="12.140625" style="191" customWidth="1"/>
    <col min="2" max="2" width="22" style="191" customWidth="1"/>
    <col min="3" max="3" width="58.7109375" style="191" customWidth="1"/>
    <col min="4" max="7" width="12.42578125" style="191" customWidth="1"/>
    <col min="8" max="8" width="14" style="191" customWidth="1"/>
    <col min="9" max="11" width="12.42578125" style="191" customWidth="1"/>
    <col min="12" max="12" width="15.28515625" style="191" customWidth="1"/>
    <col min="13" max="13" width="20.42578125" style="191" customWidth="1"/>
    <col min="14" max="14" width="10.140625" style="191" bestFit="1" customWidth="1"/>
    <col min="15" max="15" width="12.42578125" style="191" bestFit="1" customWidth="1"/>
    <col min="16" max="17" width="14.42578125" style="191" bestFit="1" customWidth="1"/>
    <col min="18" max="18" width="9.140625" style="191"/>
    <col min="19" max="19" width="24.85546875" style="191" customWidth="1"/>
    <col min="20" max="20" width="21.42578125" style="191" bestFit="1" customWidth="1"/>
    <col min="21" max="23" width="11.5703125" style="191" bestFit="1" customWidth="1"/>
    <col min="24" max="16384" width="9.140625" style="191"/>
  </cols>
  <sheetData>
    <row r="1" spans="1:23" x14ac:dyDescent="0.2">
      <c r="J1" s="1742"/>
      <c r="K1" s="1742"/>
    </row>
    <row r="2" spans="1:23" ht="15.75" x14ac:dyDescent="0.2">
      <c r="C2" s="1718" t="s">
        <v>412</v>
      </c>
      <c r="F2" s="1939"/>
    </row>
    <row r="3" spans="1:23" ht="17.25" thickBot="1" x14ac:dyDescent="0.25">
      <c r="C3" s="1729" t="s">
        <v>605</v>
      </c>
    </row>
    <row r="4" spans="1:23" ht="15" thickBot="1" x14ac:dyDescent="0.25">
      <c r="A4" s="1742" t="s">
        <v>562</v>
      </c>
      <c r="B4" s="1981" t="s">
        <v>547</v>
      </c>
      <c r="C4" s="1729"/>
    </row>
    <row r="5" spans="1:23" ht="15" thickBot="1" x14ac:dyDescent="0.25">
      <c r="A5" s="1742" t="s">
        <v>563</v>
      </c>
      <c r="B5" s="1981" t="s">
        <v>496</v>
      </c>
      <c r="C5" s="1729"/>
      <c r="D5" s="1742"/>
    </row>
    <row r="6" spans="1:23" ht="32.25" customHeight="1" thickBot="1" x14ac:dyDescent="0.25">
      <c r="A6" s="1742" t="s">
        <v>564</v>
      </c>
      <c r="B6" s="1981" t="s">
        <v>364</v>
      </c>
      <c r="C6" s="1783" t="s">
        <v>413</v>
      </c>
      <c r="D6" s="2367" t="s">
        <v>597</v>
      </c>
      <c r="E6" s="2367"/>
      <c r="F6" s="2367"/>
      <c r="G6" s="2370" t="s">
        <v>619</v>
      </c>
      <c r="H6" s="2367" t="s">
        <v>598</v>
      </c>
      <c r="I6" s="2367"/>
      <c r="J6" s="2367"/>
      <c r="K6" s="2315" t="s">
        <v>599</v>
      </c>
      <c r="M6" s="2052"/>
      <c r="T6" s="191" t="s">
        <v>499</v>
      </c>
    </row>
    <row r="7" spans="1:23" ht="13.5" thickBot="1" x14ac:dyDescent="0.25">
      <c r="A7" s="1742" t="s">
        <v>565</v>
      </c>
      <c r="B7" s="1982" t="s">
        <v>503</v>
      </c>
      <c r="C7" s="1784" t="s">
        <v>414</v>
      </c>
      <c r="D7" s="1785" t="s">
        <v>553</v>
      </c>
      <c r="E7" s="1786" t="s">
        <v>493</v>
      </c>
      <c r="F7" s="1786" t="s">
        <v>491</v>
      </c>
      <c r="G7" s="2373"/>
      <c r="H7" s="1785" t="s">
        <v>553</v>
      </c>
      <c r="I7" s="1786" t="s">
        <v>493</v>
      </c>
      <c r="J7" s="1786" t="s">
        <v>491</v>
      </c>
      <c r="K7" s="2316"/>
      <c r="M7" s="1785" t="s">
        <v>492</v>
      </c>
      <c r="O7" s="1742" t="s">
        <v>459</v>
      </c>
      <c r="P7" s="1742" t="s">
        <v>459</v>
      </c>
      <c r="T7" s="1747">
        <v>2018</v>
      </c>
      <c r="U7" s="1747">
        <v>2017</v>
      </c>
    </row>
    <row r="8" spans="1:23" x14ac:dyDescent="0.2">
      <c r="C8" s="1787" t="s">
        <v>415</v>
      </c>
      <c r="D8" s="1788"/>
      <c r="E8" s="1788"/>
      <c r="F8" s="1788"/>
      <c r="G8" s="1788"/>
      <c r="H8" s="1788"/>
      <c r="I8" s="1788"/>
      <c r="J8" s="1788"/>
      <c r="K8" s="2053"/>
      <c r="M8" s="1788"/>
      <c r="S8" s="191" t="s">
        <v>4</v>
      </c>
      <c r="T8" s="347">
        <f>'10 CWM Canada'!K16+'11 CWM UK and Europe'!K14+'8 CG - Australia'!K13</f>
        <v>110856</v>
      </c>
      <c r="U8" s="347" t="e">
        <f>'10 CWM Canada'!#REF!+'11 CWM UK and Europe'!#REF!+'8 CG - Australia'!#REF!</f>
        <v>#REF!</v>
      </c>
      <c r="V8" s="347" t="e">
        <f>T8-U8</f>
        <v>#REF!</v>
      </c>
      <c r="W8" s="1789" t="e">
        <f>V8/U8</f>
        <v>#REF!</v>
      </c>
    </row>
    <row r="9" spans="1:23" x14ac:dyDescent="0.2">
      <c r="C9" s="1790" t="s">
        <v>4</v>
      </c>
      <c r="D9" s="1788"/>
      <c r="E9" s="1788"/>
      <c r="F9" s="1788"/>
      <c r="G9" s="1788"/>
      <c r="H9" s="1788"/>
      <c r="I9" s="1788"/>
      <c r="J9" s="1788"/>
      <c r="K9" s="2053"/>
      <c r="M9" s="1788"/>
      <c r="S9" s="191" t="s">
        <v>500</v>
      </c>
      <c r="T9" s="347">
        <f>'11 CWM UK and Europe'!K64+'10 CWM Canada'!K65</f>
        <v>89157</v>
      </c>
      <c r="U9" s="347" t="e">
        <f>'11 CWM UK and Europe'!#REF!+'10 CWM Canada'!#REF!</f>
        <v>#REF!</v>
      </c>
      <c r="V9" s="347" t="e">
        <f>T9-U9</f>
        <v>#REF!</v>
      </c>
      <c r="W9" s="1789" t="e">
        <f>V9/U9</f>
        <v>#REF!</v>
      </c>
    </row>
    <row r="10" spans="1:23" x14ac:dyDescent="0.2">
      <c r="C10" s="1790" t="s">
        <v>416</v>
      </c>
      <c r="D10" s="1791">
        <f>VLOOKUP(TRIM($C10),'2 Consolidated IS'!$B:$Y,MATCH($B$4,'2 Consolidated IS'!$11:$11,0)-1,0)</f>
        <v>143115</v>
      </c>
      <c r="E10" s="1792">
        <f>VLOOKUP(TRIM($C10),'2 Consolidated IS'!$B:$Y,MATCH($B$5,'2 Consolidated IS'!$11:$11,0)-1,0)</f>
        <v>125709</v>
      </c>
      <c r="F10" s="1795" t="e">
        <f>VLOOKUP(TRIM($C10),'2 Consolidated IS'!$B:$Y,MATCH($B$6,'2 Consolidated IS'!$11:$11,0)-1,0)</f>
        <v>#N/A</v>
      </c>
      <c r="G10" s="1793">
        <f>IF(OR(((D10-E10)/E10)&gt;3,((D10-E10)/E10)&lt;-3),"n.m.",((D10-E10)/E10))</f>
        <v>0.13846263990645061</v>
      </c>
      <c r="H10" s="1791">
        <f>INDEX('2 Consolidated IS'!$A$1:$AA$94,ROW('2 Consolidated IS'!$A14),COLUMN('2 Consolidated IS'!$P$1))</f>
        <v>556475</v>
      </c>
      <c r="I10" s="1795">
        <f>INDEX('2 Consolidated IS'!$A$1:$AA$94,ROW('2 Consolidated IS'!$A14),COLUMN('2 Consolidated IS'!$Q$1))</f>
        <v>461937</v>
      </c>
      <c r="J10" s="1822" t="e">
        <f>SUM('2 Consolidated IS'!#REF!)</f>
        <v>#REF!</v>
      </c>
      <c r="K10" s="2054">
        <f t="shared" ref="K10:K16" si="0">IF(OR(((H10-I10)/I10)&gt;3,((H10-I10)/I10)&lt;-3),"n.m.",((H10-I10)/I10))</f>
        <v>0.20465561321132536</v>
      </c>
      <c r="M10" s="1822">
        <f t="shared" ref="M10:M16" si="1">H10-I10</f>
        <v>94538</v>
      </c>
      <c r="O10" s="191">
        <f t="shared" ref="O10:O20" si="2">IF((D10-E10)*G10&lt;0,"Reverse Sign",)</f>
        <v>0</v>
      </c>
      <c r="P10" s="191">
        <f t="shared" ref="P10:P21" si="3">IF((H10-I10)*K10&lt;0,"Reverse Sign",)</f>
        <v>0</v>
      </c>
    </row>
    <row r="11" spans="1:23" x14ac:dyDescent="0.2">
      <c r="C11" s="1794" t="s">
        <v>417</v>
      </c>
      <c r="D11" s="1791">
        <f>VLOOKUP(TRIM($C11),'2 Consolidated IS'!$B:$Y,MATCH($B$4,'2 Consolidated IS'!$11:$11,0)-1,0)</f>
        <v>98978</v>
      </c>
      <c r="E11" s="1792">
        <f>VLOOKUP(TRIM($C11),'2 Consolidated IS'!$B:$Y,MATCH($B$5,'2 Consolidated IS'!$11:$11,0)-1,0)</f>
        <v>112629</v>
      </c>
      <c r="F11" s="1795" t="e">
        <f>VLOOKUP(TRIM($C11),'2 Consolidated IS'!$B:$Y,MATCH($B$6,'2 Consolidated IS'!$11:$11,0)-1,0)</f>
        <v>#N/A</v>
      </c>
      <c r="G11" s="1793">
        <f t="shared" ref="G11:G16" si="4">IF(OR(((D11-E11)/E11)&gt;3,((D11-E11)/E11)&lt;-3),"n.m.",((D11-E11)/E11))</f>
        <v>-0.12120324250415079</v>
      </c>
      <c r="H11" s="1791">
        <f>INDEX('2 Consolidated IS'!$A$1:$AA$94,ROW('2 Consolidated IS'!$A15),COLUMN('2 Consolidated IS'!$P$1))</f>
        <v>294241</v>
      </c>
      <c r="I11" s="1795">
        <f>INDEX('2 Consolidated IS'!$A$1:$AA$94,ROW('2 Consolidated IS'!$A15),COLUMN('2 Consolidated IS'!$Q$1))</f>
        <v>282195</v>
      </c>
      <c r="J11" s="1822" t="e">
        <f>SUM('2 Consolidated IS'!#REF!)</f>
        <v>#REF!</v>
      </c>
      <c r="K11" s="2054">
        <f t="shared" si="0"/>
        <v>4.2686794592391789E-2</v>
      </c>
      <c r="M11" s="1822">
        <f t="shared" si="1"/>
        <v>12046</v>
      </c>
      <c r="O11" s="191">
        <f t="shared" si="2"/>
        <v>0</v>
      </c>
      <c r="P11" s="191">
        <f t="shared" si="3"/>
        <v>0</v>
      </c>
    </row>
    <row r="12" spans="1:23" x14ac:dyDescent="0.2">
      <c r="C12" s="1794" t="s">
        <v>418</v>
      </c>
      <c r="D12" s="1791">
        <f>VLOOKUP(TRIM($C12),'2 Consolidated IS'!$B:$Y,MATCH($B$4,'2 Consolidated IS'!$11:$11,0)-1,0)</f>
        <v>40698</v>
      </c>
      <c r="E12" s="1792">
        <f>VLOOKUP(TRIM($C12),'2 Consolidated IS'!$B:$Y,MATCH($B$5,'2 Consolidated IS'!$11:$11,0)-1,0)</f>
        <v>31957</v>
      </c>
      <c r="F12" s="1795" t="e">
        <f>VLOOKUP(TRIM($C12),'2 Consolidated IS'!$B:$Y,MATCH($B$6,'2 Consolidated IS'!$11:$11,0)-1,0)</f>
        <v>#N/A</v>
      </c>
      <c r="G12" s="1793">
        <f t="shared" si="4"/>
        <v>0.27352379760302908</v>
      </c>
      <c r="H12" s="1791">
        <f>INDEX('2 Consolidated IS'!$A$1:$AA$94,ROW('2 Consolidated IS'!$A16),COLUMN('2 Consolidated IS'!$P$1))</f>
        <v>142228</v>
      </c>
      <c r="I12" s="1795">
        <f>INDEX('2 Consolidated IS'!$A$1:$AA$94,ROW('2 Consolidated IS'!$A16),COLUMN('2 Consolidated IS'!$Q$1))</f>
        <v>122372</v>
      </c>
      <c r="J12" s="1822" t="e">
        <f>SUM('2 Consolidated IS'!#REF!)</f>
        <v>#REF!</v>
      </c>
      <c r="K12" s="2054">
        <f t="shared" si="0"/>
        <v>0.16225934037198053</v>
      </c>
      <c r="M12" s="1822">
        <f t="shared" si="1"/>
        <v>19856</v>
      </c>
      <c r="O12" s="191">
        <f t="shared" si="2"/>
        <v>0</v>
      </c>
      <c r="P12" s="191">
        <f t="shared" si="3"/>
        <v>0</v>
      </c>
    </row>
    <row r="13" spans="1:23" x14ac:dyDescent="0.2">
      <c r="C13" s="1794" t="s">
        <v>419</v>
      </c>
      <c r="D13" s="1791">
        <f>VLOOKUP(TRIM($C13),'2 Consolidated IS'!$B:$Y,MATCH($B$4,'2 Consolidated IS'!$11:$11,0)-1,0)</f>
        <v>30776</v>
      </c>
      <c r="E13" s="1792">
        <f>VLOOKUP(TRIM($C13),'2 Consolidated IS'!$B:$Y,MATCH($B$5,'2 Consolidated IS'!$11:$11,0)-1,0)</f>
        <v>29138</v>
      </c>
      <c r="F13" s="1795" t="e">
        <f>VLOOKUP(TRIM($C13),'2 Consolidated IS'!$B:$Y,MATCH($B$6,'2 Consolidated IS'!$11:$11,0)-1,0)</f>
        <v>#N/A</v>
      </c>
      <c r="G13" s="1793">
        <f t="shared" si="4"/>
        <v>5.6215251561534764E-2</v>
      </c>
      <c r="H13" s="1791">
        <f>INDEX('2 Consolidated IS'!$A$1:$AA$94,ROW('2 Consolidated IS'!$A17),COLUMN('2 Consolidated IS'!$P$1))</f>
        <v>125830</v>
      </c>
      <c r="I13" s="1795">
        <f>INDEX('2 Consolidated IS'!$A$1:$AA$94,ROW('2 Consolidated IS'!$A17),COLUMN('2 Consolidated IS'!$Q$1))</f>
        <v>113921</v>
      </c>
      <c r="J13" s="1822" t="e">
        <f>SUM('2 Consolidated IS'!#REF!)</f>
        <v>#REF!</v>
      </c>
      <c r="K13" s="2054">
        <f t="shared" si="0"/>
        <v>0.10453735483361276</v>
      </c>
      <c r="M13" s="1822">
        <f t="shared" si="1"/>
        <v>11909</v>
      </c>
      <c r="O13" s="191">
        <f t="shared" si="2"/>
        <v>0</v>
      </c>
      <c r="P13" s="191">
        <f t="shared" si="3"/>
        <v>0</v>
      </c>
    </row>
    <row r="14" spans="1:23" x14ac:dyDescent="0.2">
      <c r="C14" s="1794" t="s">
        <v>420</v>
      </c>
      <c r="D14" s="1796">
        <f>VLOOKUP(TRIM($C14),'2 Consolidated IS'!$B:$Y,MATCH($B$4,'2 Consolidated IS'!$11:$11,0)-1,0)</f>
        <v>12703</v>
      </c>
      <c r="E14" s="1797">
        <f>VLOOKUP(TRIM($C14),'2 Consolidated IS'!$B:$Y,MATCH($B$5,'2 Consolidated IS'!$11:$11,0)-1,0)</f>
        <v>6861</v>
      </c>
      <c r="F14" s="1798" t="e">
        <f>VLOOKUP(TRIM($C14),'2 Consolidated IS'!$B:$Y,MATCH($B$6,'2 Consolidated IS'!$11:$11,0)-1,0)</f>
        <v>#N/A</v>
      </c>
      <c r="G14" s="1799">
        <f t="shared" si="4"/>
        <v>0.85147937618422975</v>
      </c>
      <c r="H14" s="1796">
        <f>INDEX('2 Consolidated IS'!$A$1:$AA$94,ROW('2 Consolidated IS'!$A18),COLUMN('2 Consolidated IS'!$P$1))</f>
        <v>51008</v>
      </c>
      <c r="I14" s="1798">
        <f>INDEX('2 Consolidated IS'!$A$1:$AA$94,ROW('2 Consolidated IS'!$A18),COLUMN('2 Consolidated IS'!$Q$1))</f>
        <v>27875</v>
      </c>
      <c r="J14" s="1822" t="e">
        <f>SUM('2 Consolidated IS'!#REF!)</f>
        <v>#REF!</v>
      </c>
      <c r="K14" s="2054">
        <f t="shared" si="0"/>
        <v>0.82988340807174887</v>
      </c>
      <c r="M14" s="1822">
        <f t="shared" si="1"/>
        <v>23133</v>
      </c>
      <c r="O14" s="191">
        <f t="shared" si="2"/>
        <v>0</v>
      </c>
      <c r="P14" s="191">
        <f t="shared" si="3"/>
        <v>0</v>
      </c>
    </row>
    <row r="15" spans="1:23" x14ac:dyDescent="0.2">
      <c r="C15" s="1800" t="s">
        <v>421</v>
      </c>
      <c r="D15" s="1801">
        <f>VLOOKUP(TRIM($C15),'2 Consolidated IS'!$B:$Y,MATCH($B$4,'2 Consolidated IS'!$11:$11,0)-1,0)</f>
        <v>5330</v>
      </c>
      <c r="E15" s="1802">
        <f>VLOOKUP(TRIM($C15),'2 Consolidated IS'!$B:$Y,MATCH($B$5,'2 Consolidated IS'!$11:$11,0)-1,0)</f>
        <v>3148</v>
      </c>
      <c r="F15" s="1802" t="e">
        <f>VLOOKUP(TRIM($C15),'2 Consolidated IS'!$B:$Y,MATCH($B$6,'2 Consolidated IS'!$11:$11,0)-1,0)</f>
        <v>#N/A</v>
      </c>
      <c r="G15" s="1803">
        <f t="shared" si="4"/>
        <v>0.69313850063532401</v>
      </c>
      <c r="H15" s="1801">
        <f>INDEX('2 Consolidated IS'!$A$1:$AA$94,ROW('2 Consolidated IS'!$A19),COLUMN('2 Consolidated IS'!$P$1))</f>
        <v>20785</v>
      </c>
      <c r="I15" s="1802">
        <f>INDEX('2 Consolidated IS'!$A$1:$AA$94,ROW('2 Consolidated IS'!$A19),COLUMN('2 Consolidated IS'!$Q$1))</f>
        <v>14577</v>
      </c>
      <c r="J15" s="1822" t="e">
        <f>SUM('2 Consolidated IS'!#REF!)</f>
        <v>#REF!</v>
      </c>
      <c r="K15" s="2055">
        <f t="shared" si="0"/>
        <v>0.42587638059957467</v>
      </c>
      <c r="M15" s="1802">
        <f t="shared" si="1"/>
        <v>6208</v>
      </c>
      <c r="O15" s="191">
        <f t="shared" si="2"/>
        <v>0</v>
      </c>
      <c r="P15" s="191">
        <f t="shared" si="3"/>
        <v>0</v>
      </c>
    </row>
    <row r="16" spans="1:23" x14ac:dyDescent="0.2">
      <c r="C16" s="1790" t="s">
        <v>422</v>
      </c>
      <c r="D16" s="1791">
        <f>SUM(D10:D15)</f>
        <v>331600</v>
      </c>
      <c r="E16" s="1792">
        <f>SUM(E10:E15)</f>
        <v>309442</v>
      </c>
      <c r="F16" s="1792" t="e">
        <f>SUM(F10:F15)</f>
        <v>#N/A</v>
      </c>
      <c r="G16" s="1793">
        <f t="shared" si="4"/>
        <v>7.1606310714124127E-2</v>
      </c>
      <c r="H16" s="1796">
        <f>SUM(H10:H15)</f>
        <v>1190567</v>
      </c>
      <c r="I16" s="1798">
        <f>SUM(I10:I15)</f>
        <v>1022877</v>
      </c>
      <c r="J16" s="1822" t="e">
        <f>SUM(J10:J15)</f>
        <v>#REF!</v>
      </c>
      <c r="K16" s="2054">
        <f t="shared" si="0"/>
        <v>0.16393955480473213</v>
      </c>
      <c r="M16" s="1822">
        <f t="shared" si="1"/>
        <v>167690</v>
      </c>
      <c r="O16" s="191">
        <f t="shared" si="2"/>
        <v>0</v>
      </c>
      <c r="P16" s="191">
        <f t="shared" si="3"/>
        <v>0</v>
      </c>
    </row>
    <row r="17" spans="3:16" x14ac:dyDescent="0.2">
      <c r="C17" s="1790" t="s">
        <v>5</v>
      </c>
      <c r="D17" s="1804"/>
      <c r="E17" s="1792"/>
      <c r="F17" s="1792"/>
      <c r="G17" s="1793"/>
      <c r="H17" s="1804"/>
      <c r="I17" s="1792"/>
      <c r="J17" s="1792"/>
      <c r="K17" s="2054"/>
      <c r="M17" s="1792"/>
      <c r="O17" s="191">
        <f t="shared" si="2"/>
        <v>0</v>
      </c>
      <c r="P17" s="191">
        <f t="shared" si="3"/>
        <v>0</v>
      </c>
    </row>
    <row r="18" spans="3:16" x14ac:dyDescent="0.2">
      <c r="C18" s="1790" t="s">
        <v>600</v>
      </c>
      <c r="D18" s="1791">
        <f>HLOOKUP($B$4,'2 Consolidated IS'!$11:$88,14,0)</f>
        <v>24575</v>
      </c>
      <c r="E18" s="1795">
        <f>HLOOKUP($B$5,'2 Consolidated IS'!$11:$88,14,0)</f>
        <v>16521</v>
      </c>
      <c r="F18" s="1795" t="e">
        <f>HLOOKUP($B$6,'2 Consolidated IS'!$11:$88,14,0)</f>
        <v>#N/A</v>
      </c>
      <c r="G18" s="1793">
        <f t="shared" ref="G18:G26" si="5">IF(OR(((D18-E18)/E18)&gt;3,((D18-E18)/E18)&lt;-3),"n.m.",((D18-E18)/E18))</f>
        <v>0.48750075661279585</v>
      </c>
      <c r="H18" s="1796">
        <f>INDEX('2 Consolidated IS'!$A$1:$AA$94,ROW('2 Consolidated IS'!$A22),COLUMN('2 Consolidated IS'!$P$1))</f>
        <v>599867</v>
      </c>
      <c r="I18" s="1798">
        <f>INDEX('2 Consolidated IS'!$A$1:$AA$94,ROW('2 Consolidated IS'!$A22),COLUMN('2 Consolidated IS'!$Q$1))</f>
        <v>526614</v>
      </c>
      <c r="J18" s="1822" t="e">
        <f>SUM('2 Consolidated IS'!#REF!)</f>
        <v>#REF!</v>
      </c>
      <c r="K18" s="2054">
        <f>IF(OR(((H18-I18)/I18)&gt;3,((H18-I18)/I18)&lt;-3),"n.m.",((H18-I18)/I18))</f>
        <v>0.13910188487203151</v>
      </c>
      <c r="M18" s="1822">
        <f>H18-I18</f>
        <v>73253</v>
      </c>
      <c r="O18" s="191">
        <f t="shared" si="2"/>
        <v>0</v>
      </c>
      <c r="P18" s="191">
        <f t="shared" si="3"/>
        <v>0</v>
      </c>
    </row>
    <row r="19" spans="3:16" x14ac:dyDescent="0.2">
      <c r="C19" s="1790" t="s">
        <v>424</v>
      </c>
      <c r="D19" s="1804">
        <f>VLOOKUP(TRIM($C19),'2 Consolidated IS'!$B:$Y,MATCH($B$4,'2 Consolidated IS'!$11:$11,0)-1,0)</f>
        <v>29220</v>
      </c>
      <c r="E19" s="1792">
        <f>VLOOKUP(TRIM($C19),'2 Consolidated IS'!$B:$Y,MATCH($B$5,'2 Consolidated IS'!$11:$11,0)-1,0)</f>
        <v>26537</v>
      </c>
      <c r="F19" s="1795" t="e">
        <f>VLOOKUP(TRIM($C19),'2 Consolidated IS'!$B:$Y,MATCH($B$6,'2 Consolidated IS'!$11:$11,0)-1,0)</f>
        <v>#N/A</v>
      </c>
      <c r="G19" s="1793">
        <f t="shared" si="5"/>
        <v>0.10110411877755586</v>
      </c>
      <c r="H19" s="1796">
        <f>INDEX('2 Consolidated IS'!$A$1:$AA$94,ROW('2 Consolidated IS'!$A23),COLUMN('2 Consolidated IS'!$P$1))</f>
        <v>116758</v>
      </c>
      <c r="I19" s="1798">
        <f>INDEX('2 Consolidated IS'!$A$1:$AA$94,ROW('2 Consolidated IS'!$A23),COLUMN('2 Consolidated IS'!$Q$1))</f>
        <v>99239</v>
      </c>
      <c r="J19" s="1822" t="e">
        <f>SUM('2 Consolidated IS'!#REF!)</f>
        <v>#REF!</v>
      </c>
      <c r="K19" s="2054">
        <f>IF(OR(((H19-I19)/I19)&gt;3,((H19-I19)/I19)&lt;-3),"n.m.",((H19-I19)/I19))</f>
        <v>0.17653341932103306</v>
      </c>
      <c r="M19" s="1822">
        <f>H19-I19</f>
        <v>17519</v>
      </c>
      <c r="O19" s="191">
        <f t="shared" si="2"/>
        <v>0</v>
      </c>
      <c r="P19" s="191">
        <f t="shared" si="3"/>
        <v>0</v>
      </c>
    </row>
    <row r="20" spans="3:16" x14ac:dyDescent="0.2">
      <c r="C20" s="1790" t="s">
        <v>601</v>
      </c>
      <c r="D20" s="1791" t="e">
        <f>D26-SUM(D21:D25)-SUM(D18:D19)</f>
        <v>#N/A</v>
      </c>
      <c r="E20" s="1795" t="e">
        <f t="shared" ref="E20:F20" si="6">E26-SUM(E21:E25)-SUM(E18:E19)</f>
        <v>#N/A</v>
      </c>
      <c r="F20" s="1795" t="e">
        <f t="shared" si="6"/>
        <v>#REF!</v>
      </c>
      <c r="G20" s="1793" t="e">
        <f t="shared" si="5"/>
        <v>#N/A</v>
      </c>
      <c r="H20" s="1791">
        <f>H26-SUM(H21:H25)-SUM(H18:H19)</f>
        <v>356240</v>
      </c>
      <c r="I20" s="1795">
        <f t="shared" ref="I20" si="7">I26-SUM(I21:I25)-SUM(I18:I19)</f>
        <v>346605</v>
      </c>
      <c r="J20" s="1822" t="e">
        <f>SUM('2 Consolidated IS'!#REF!)</f>
        <v>#REF!</v>
      </c>
      <c r="K20" s="2054">
        <f>IF(OR(((H20-I20)/I20)&gt;3,((H20-I20)/I20)&lt;-3),"n.m.",((H20-I20)/I20))</f>
        <v>2.7798214105393747E-2</v>
      </c>
      <c r="M20" s="1822">
        <f>H20-I20</f>
        <v>9635</v>
      </c>
      <c r="O20" s="191" t="e">
        <f t="shared" si="2"/>
        <v>#N/A</v>
      </c>
      <c r="P20" s="191">
        <f t="shared" si="3"/>
        <v>0</v>
      </c>
    </row>
    <row r="21" spans="3:16" x14ac:dyDescent="0.2">
      <c r="C21" s="1805" t="s">
        <v>501</v>
      </c>
      <c r="D21" s="1791">
        <f>VLOOKUP(TRIM($C21),'2 Consolidated IS'!$B:$Y,MATCH($B$4,'2 Consolidated IS'!$11:$11,0)-1,0)</f>
        <v>170</v>
      </c>
      <c r="E21" s="1795">
        <f>VLOOKUP(TRIM($C21),'2 Consolidated IS'!$B:$Y,MATCH($B$5,'2 Consolidated IS'!$11:$11,0)-1,0)</f>
        <v>0</v>
      </c>
      <c r="F21" s="191" t="e">
        <f>VLOOKUP(TRIM($C21),'2 Consolidated IS'!$B:$Y,MATCH($B$6,'2 Consolidated IS'!$11:$11,0)-1,0)</f>
        <v>#N/A</v>
      </c>
      <c r="G21" s="1793" t="e">
        <f t="shared" si="5"/>
        <v>#DIV/0!</v>
      </c>
      <c r="H21" s="1796">
        <f>INDEX('2 Consolidated IS'!$A$1:$AA$94,ROW('2 Consolidated IS'!$A32),COLUMN('2 Consolidated IS'!$P$1))</f>
        <v>3064</v>
      </c>
      <c r="I21" s="1798">
        <f>INDEX('2 Consolidated IS'!$A$1:$AA$94,ROW('2 Consolidated IS'!$A32),COLUMN('2 Consolidated IS'!$Q$1))</f>
        <v>6732</v>
      </c>
      <c r="J21" s="1822" t="e">
        <f>SUM('2 Consolidated IS'!#REF!)</f>
        <v>#REF!</v>
      </c>
      <c r="K21" s="2054">
        <f>IF(OR(((H21-I21)/I21)&gt;3,((H21-I21)/I21)&lt;-3),"n.m.",((H21-I21)/I21))</f>
        <v>-0.54486036838978014</v>
      </c>
      <c r="M21" s="1822">
        <f>H21-I21</f>
        <v>-3668</v>
      </c>
      <c r="O21" s="191" t="e">
        <f>IF((D22-E22)*G22&lt;0,"Reverse Sign",)</f>
        <v>#DIV/0!</v>
      </c>
      <c r="P21" s="191">
        <f t="shared" si="3"/>
        <v>0</v>
      </c>
    </row>
    <row r="22" spans="3:16" x14ac:dyDescent="0.2">
      <c r="C22" s="1790" t="s">
        <v>451</v>
      </c>
      <c r="D22" s="1791">
        <f>VLOOKUP(TRIM($C22),'2 Consolidated IS'!$B:$Y,MATCH($B$4,'2 Consolidated IS'!$11:$11,0)-1,0)</f>
        <v>0</v>
      </c>
      <c r="E22" s="1795">
        <f>VLOOKUP(TRIM($C22),'2 Consolidated IS'!$B:$Y,MATCH($B$5,'2 Consolidated IS'!$11:$11,0)-1,0)</f>
        <v>0</v>
      </c>
      <c r="F22" s="1795" t="e">
        <f>VLOOKUP(TRIM($C22),'2 Consolidated IS'!$B:$Y,MATCH($B$6,'2 Consolidated IS'!$11:$11,0)-1,0)</f>
        <v>#N/A</v>
      </c>
      <c r="G22" s="1793" t="e">
        <f t="shared" si="5"/>
        <v>#DIV/0!</v>
      </c>
      <c r="H22" s="1796">
        <f>INDEX('2 Consolidated IS'!$A$1:$AA$94,ROW('2 Consolidated IS'!$A31),COLUMN('2 Consolidated IS'!$P$1))</f>
        <v>13070</v>
      </c>
      <c r="I22" s="1798">
        <f>INDEX('2 Consolidated IS'!$A$1:$AA$94,ROW('2 Consolidated IS'!$A31),COLUMN('2 Consolidated IS'!$Q$1))</f>
        <v>7643</v>
      </c>
      <c r="J22" s="1822" t="e">
        <f>SUM('2 Consolidated IS'!#REF!)</f>
        <v>#REF!</v>
      </c>
      <c r="K22" s="2054"/>
      <c r="M22" s="1822"/>
    </row>
    <row r="23" spans="3:16" hidden="1" x14ac:dyDescent="0.2">
      <c r="C23" s="1933" t="s">
        <v>524</v>
      </c>
      <c r="D23" s="1796">
        <f>VLOOKUP(TRIM($C23),'2 Consolidated IS'!$B:$Y,MATCH($B$4,'2 Consolidated IS'!$11:$11,0)-1,0)</f>
        <v>0</v>
      </c>
      <c r="E23" s="1798">
        <f>VLOOKUP(TRIM($C23),'2 Consolidated IS'!$B:$Y,MATCH($B$5,'2 Consolidated IS'!$11:$11,0)-1,0)</f>
        <v>0</v>
      </c>
      <c r="F23" s="1798" t="e">
        <f>VLOOKUP(TRIM($C23),'2 Consolidated IS'!$B:$Y,MATCH($B$6,'2 Consolidated IS'!$11:$11,0)-1,0)</f>
        <v>#N/A</v>
      </c>
      <c r="G23" s="1799" t="e">
        <f t="shared" si="5"/>
        <v>#DIV/0!</v>
      </c>
      <c r="H23" s="1796">
        <f>INDEX('2 Consolidated IS'!$A$1:$AA$94,ROW('2 Consolidated IS'!$A34),COLUMN('2 Consolidated IS'!$P$1))</f>
        <v>0</v>
      </c>
      <c r="I23" s="1798">
        <f>INDEX('2 Consolidated IS'!$A$1:$AA$94,ROW('2 Consolidated IS'!$A34),COLUMN('2 Consolidated IS'!$Q$1))</f>
        <v>0</v>
      </c>
      <c r="J23" s="1798">
        <v>0</v>
      </c>
      <c r="K23" s="2054" t="e">
        <f>IF(OR(((H23-I23)/I23)&gt;3,((H23-I23)/I23)&lt;-3),"n.m.",((H23-I23)/I23))</f>
        <v>#DIV/0!</v>
      </c>
      <c r="M23" s="1798">
        <f>H23-I23</f>
        <v>0</v>
      </c>
      <c r="O23" s="191" t="e">
        <f>IF((D23-E23)*G23&lt;0,"Reverse Sign",)</f>
        <v>#DIV/0!</v>
      </c>
      <c r="P23" s="191" t="e">
        <f>IF((H23-I23)*K23&lt;0,"Reverse Sign",)</f>
        <v>#DIV/0!</v>
      </c>
    </row>
    <row r="24" spans="3:16" x14ac:dyDescent="0.2">
      <c r="C24" s="1933" t="s">
        <v>602</v>
      </c>
      <c r="D24" s="1796" t="e">
        <f>VLOOKUP(TRIM($C24),'2 Consolidated IS'!$B:$Y,MATCH($B$4,'2 Consolidated IS'!$11:$11,0)-1,0)</f>
        <v>#N/A</v>
      </c>
      <c r="E24" s="1798" t="e">
        <f>VLOOKUP(TRIM($C24),'2 Consolidated IS'!$B:$Y,MATCH($B$5,'2 Consolidated IS'!$11:$11,0)-1,0)</f>
        <v>#N/A</v>
      </c>
      <c r="F24" s="1798" t="e">
        <f>VLOOKUP(TRIM($C24),'2 Consolidated IS'!$B:$Y,MATCH($B$6,'2 Consolidated IS'!$11:$11,0)-1,0)</f>
        <v>#N/A</v>
      </c>
      <c r="G24" s="1799" t="e">
        <f t="shared" ref="G24:G25" si="8">IF(OR(((D24-E24)/E24)&gt;3,((D24-E24)/E24)&lt;-3),"n.m.",((D24-E24)/E24))</f>
        <v>#N/A</v>
      </c>
      <c r="H24" s="1796">
        <f>INDEX('2 Consolidated IS'!$A$1:$AA$94,ROW('2 Consolidated IS'!$A35),COLUMN('2 Consolidated IS'!$P$1))</f>
        <v>8608</v>
      </c>
      <c r="I24" s="1798">
        <f>INDEX('2 Consolidated IS'!$A$1:$AA$94,ROW('2 Consolidated IS'!$A35),COLUMN('2 Consolidated IS'!$Q$1))</f>
        <v>0</v>
      </c>
      <c r="J24" s="1798">
        <v>0</v>
      </c>
      <c r="K24" s="2054" t="e">
        <f>IF(OR(((H24-I24)/I24)&gt;3,((H24-I24)/I24)&lt;-3),"n.m.",((H24-I24)/I24))</f>
        <v>#DIV/0!</v>
      </c>
      <c r="M24" s="1798">
        <f>H24-I24</f>
        <v>8608</v>
      </c>
    </row>
    <row r="25" spans="3:16" x14ac:dyDescent="0.2">
      <c r="C25" s="1933" t="s">
        <v>566</v>
      </c>
      <c r="D25" s="1801">
        <f>VLOOKUP(TRIM($C25),'2 Consolidated IS'!$B:$Y,MATCH($B$4,'2 Consolidated IS'!$11:$11,0)-1,0)</f>
        <v>157</v>
      </c>
      <c r="E25" s="1802">
        <f>VLOOKUP(TRIM($C25),'2 Consolidated IS'!$B:$Y,MATCH($B$5,'2 Consolidated IS'!$11:$11,0)-1,0)</f>
        <v>94</v>
      </c>
      <c r="F25" s="1802" t="e">
        <f>VLOOKUP(TRIM($C25),'2 Consolidated IS'!$B:$Y,MATCH($B$6,'2 Consolidated IS'!$11:$11,0)-1,0)</f>
        <v>#N/A</v>
      </c>
      <c r="G25" s="1799">
        <f t="shared" si="8"/>
        <v>0.67021276595744683</v>
      </c>
      <c r="H25" s="1801">
        <f>INDEX('2 Consolidated IS'!$A$1:$AA$94,ROW('2 Consolidated IS'!$A36),COLUMN('2 Consolidated IS'!$P$1))</f>
        <v>304</v>
      </c>
      <c r="I25" s="1802">
        <f>INDEX('2 Consolidated IS'!$A$1:$AA$94,ROW('2 Consolidated IS'!$A36),COLUMN('2 Consolidated IS'!$Q$1))</f>
        <v>298</v>
      </c>
      <c r="J25" s="1802"/>
      <c r="K25" s="2055"/>
      <c r="M25" s="1802"/>
    </row>
    <row r="26" spans="3:16" x14ac:dyDescent="0.2">
      <c r="C26" s="1800" t="s">
        <v>77</v>
      </c>
      <c r="D26" s="1801">
        <f>INDEX('2 Consolidated IS'!$A$1:$AA$94,ROW('2 Consolidated IS'!$A37),COLUMN('2 Consolidated IS'!$G$1))</f>
        <v>290991</v>
      </c>
      <c r="E26" s="1802">
        <f>INDEX('2 Consolidated IS'!$A$1:$AA$94,ROW('2 Consolidated IS'!$A37),COLUMN('2 Consolidated IS'!$K$1))</f>
        <v>262559</v>
      </c>
      <c r="F26" s="1802" t="e">
        <f>INDEX('2 Consolidated IS'!$A$1:$AA$94,ROW('2 Consolidated IS'!$A37),COLUMN('2 Consolidated IS'!#REF!))</f>
        <v>#REF!</v>
      </c>
      <c r="G26" s="1803">
        <f t="shared" si="5"/>
        <v>0.10828804192581477</v>
      </c>
      <c r="H26" s="1801">
        <f>INDEX('2 Consolidated IS'!$A$1:$AA$94,ROW('2 Consolidated IS'!$A37),COLUMN('2 Consolidated IS'!$P$1))</f>
        <v>1097911</v>
      </c>
      <c r="I26" s="1802">
        <f>INDEX('2 Consolidated IS'!$A$1:$AA$94,ROW('2 Consolidated IS'!$A37),COLUMN('2 Consolidated IS'!$Q$1))</f>
        <v>987131</v>
      </c>
      <c r="J26" s="2227" t="e">
        <f>SUM('2 Consolidated IS'!#REF!)</f>
        <v>#REF!</v>
      </c>
      <c r="K26" s="2055">
        <f>IF(OR(((H26-I26)/I26)&gt;3,((H26-I26)/I26)&lt;-3),"n.m.",((H26-I26)/I26))</f>
        <v>0.11222421340227386</v>
      </c>
      <c r="M26" s="1802">
        <f>H26-I26</f>
        <v>110780</v>
      </c>
      <c r="O26" s="191">
        <f t="shared" ref="O26:O34" si="9">IF((D26-E26)*G26&lt;0,"Reverse Sign",)</f>
        <v>0</v>
      </c>
      <c r="P26" s="191">
        <f t="shared" ref="P26:P42" si="10">IF((H26-I26)*K26&lt;0,"Reverse Sign",)</f>
        <v>0</v>
      </c>
    </row>
    <row r="27" spans="3:16" x14ac:dyDescent="0.2">
      <c r="C27" s="1790" t="s">
        <v>69</v>
      </c>
      <c r="D27" s="1791">
        <f>HLOOKUP($B$4,'2 Consolidated IS'!$11:$88,ROW('2 Consolidated IS'!$A$39)-10,0)</f>
        <v>40609</v>
      </c>
      <c r="E27" s="1795">
        <f>HLOOKUP($B$5,'2 Consolidated IS'!$11:$88,ROW('2 Consolidated IS'!$A$39)-10,0)</f>
        <v>46883</v>
      </c>
      <c r="F27" s="1795" t="e">
        <f>HLOOKUP($B$6,'2 Consolidated IS'!$11:$88,ROW('2 Consolidated IS'!$A$39)-10,0)</f>
        <v>#N/A</v>
      </c>
      <c r="G27" s="1793">
        <f>IF(OR(((D27-E27)/E27)&gt;3,((D27-E27)/E27)&lt;-3),"n.m.",((D27-E27)/E27))</f>
        <v>-0.13382249429430709</v>
      </c>
      <c r="H27" s="1791">
        <f>INDEX('2 Consolidated IS'!$A$1:$AA$94,ROW('2 Consolidated IS'!$A39),COLUMN('2 Consolidated IS'!$P$1))</f>
        <v>92656</v>
      </c>
      <c r="I27" s="1795">
        <f>INDEX('2 Consolidated IS'!$A$1:$AA$94,ROW('2 Consolidated IS'!$A39),COLUMN('2 Consolidated IS'!$Q$1))</f>
        <v>35746</v>
      </c>
      <c r="J27" s="1795" t="e">
        <f>J16-J26</f>
        <v>#REF!</v>
      </c>
      <c r="K27" s="2054">
        <f>IF(OR(((H27-I27)/I27)&gt;3,((H27-I27)/I27)&lt;-3),"n.m.",((H27-I27)/I27))</f>
        <v>1.5920662451742853</v>
      </c>
      <c r="M27" s="1822"/>
      <c r="O27" s="191">
        <f t="shared" si="9"/>
        <v>0</v>
      </c>
      <c r="P27" s="191">
        <f t="shared" si="10"/>
        <v>0</v>
      </c>
    </row>
    <row r="28" spans="3:16" x14ac:dyDescent="0.2">
      <c r="C28" s="1790" t="s">
        <v>7</v>
      </c>
      <c r="D28" s="1791">
        <f>HLOOKUP($B$4,'2 Consolidated IS'!$11:$88,ROW('2 Consolidated IS'!$A$43)-10,0)</f>
        <v>32458</v>
      </c>
      <c r="E28" s="1795">
        <f>HLOOKUP($B$5,'2 Consolidated IS'!$11:$88,ROW('2 Consolidated IS'!$A$43)-10,0)</f>
        <v>36598</v>
      </c>
      <c r="F28" s="1795" t="e">
        <f>HLOOKUP($B$6,'2 Consolidated IS'!$11:$88,ROW('2 Consolidated IS'!$A$43)-10,0)</f>
        <v>#N/A</v>
      </c>
      <c r="G28" s="1793">
        <f>IF(OR(((D28-E28)/E28)&gt;3,((D28-E28)/E28)&lt;-3),"n.m.",((D28-E28)/ABS(E28)))</f>
        <v>-0.11312093557024974</v>
      </c>
      <c r="H28" s="1791">
        <f>INDEX('2 Consolidated IS'!$A$1:$AA$94,ROW('2 Consolidated IS'!$A43),COLUMN('2 Consolidated IS'!$P$1))</f>
        <v>71582</v>
      </c>
      <c r="I28" s="1795">
        <f>INDEX('2 Consolidated IS'!$A$1:$AA$94,ROW('2 Consolidated IS'!$A43),COLUMN('2 Consolidated IS'!$Q$1))</f>
        <v>17077</v>
      </c>
      <c r="J28" s="1822" t="e">
        <f>SUM('2 Consolidated IS'!#REF!)</f>
        <v>#REF!</v>
      </c>
      <c r="K28" s="2054" t="str">
        <f>IF(OR(((H28-I28)/I28)&gt;3,((H28-I28)/I28)&lt;-3),"n.m.",((H28-I28)/I28))</f>
        <v>n.m.</v>
      </c>
      <c r="M28" s="1822"/>
      <c r="O28" s="191">
        <f t="shared" si="9"/>
        <v>0</v>
      </c>
      <c r="P28" s="191" t="e">
        <f t="shared" si="10"/>
        <v>#VALUE!</v>
      </c>
    </row>
    <row r="29" spans="3:16" x14ac:dyDescent="0.2">
      <c r="C29" s="1790" t="s">
        <v>425</v>
      </c>
      <c r="D29" s="1791"/>
      <c r="E29" s="1795"/>
      <c r="F29" s="1795"/>
      <c r="G29" s="1793"/>
      <c r="H29" s="1791"/>
      <c r="I29" s="1795"/>
      <c r="J29" s="2056"/>
      <c r="K29" s="2054"/>
      <c r="M29" s="1822"/>
      <c r="O29" s="191">
        <f t="shared" si="9"/>
        <v>0</v>
      </c>
      <c r="P29" s="191">
        <f t="shared" si="10"/>
        <v>0</v>
      </c>
    </row>
    <row r="30" spans="3:16" x14ac:dyDescent="0.2">
      <c r="C30" s="1790" t="s">
        <v>426</v>
      </c>
      <c r="D30" s="1791">
        <f>HLOOKUP($B$4,'2 Consolidated IS'!$11:$88,ROW('2 Consolidated IS'!$A$47)-10,0)</f>
        <v>32457</v>
      </c>
      <c r="E30" s="1795">
        <f>HLOOKUP($B$5,'2 Consolidated IS'!$11:$88,ROW('2 Consolidated IS'!$A$47)-10,0)</f>
        <v>34432</v>
      </c>
      <c r="F30" s="1795" t="e">
        <f>HLOOKUP($B$6,'2 Consolidated IS'!$11:$88,ROW('2 Consolidated IS'!$A$47)-10,0)</f>
        <v>#N/A</v>
      </c>
      <c r="G30" s="1793">
        <f>IF(OR(((D30-E30)/E30)&gt;3,((D30-E30)/E30)&lt;-3),"n.m.",((D30-E30)/ABS(E30)))</f>
        <v>-5.7359433085501857E-2</v>
      </c>
      <c r="H30" s="1791">
        <f>INDEX('2 Consolidated IS'!$A$1:$AA$94,ROW('2 Consolidated IS'!$A47),COLUMN('2 Consolidated IS'!$P$1))</f>
        <v>70530</v>
      </c>
      <c r="I30" s="1795">
        <f>INDEX('2 Consolidated IS'!$A$1:$AA$94,ROW('2 Consolidated IS'!$A47),COLUMN('2 Consolidated IS'!$Q$1))</f>
        <v>13024</v>
      </c>
      <c r="J30" s="1822" t="e">
        <f>SUM('2 Consolidated IS'!#REF!)</f>
        <v>#REF!</v>
      </c>
      <c r="K30" s="2054" t="str">
        <f>IF(OR(((H30-I30)/I30)&gt;3,((H30-I30)/I30)&lt;-3),"n.m.",((H30-I30)/I30))</f>
        <v>n.m.</v>
      </c>
      <c r="M30" s="1822"/>
      <c r="O30" s="191">
        <f t="shared" si="9"/>
        <v>0</v>
      </c>
      <c r="P30" s="191" t="e">
        <f t="shared" si="10"/>
        <v>#VALUE!</v>
      </c>
    </row>
    <row r="31" spans="3:16" x14ac:dyDescent="0.2">
      <c r="C31" s="1790" t="s">
        <v>427</v>
      </c>
      <c r="D31" s="1791">
        <f>D28-D30</f>
        <v>1</v>
      </c>
      <c r="E31" s="1795">
        <f>E28-E30</f>
        <v>2166</v>
      </c>
      <c r="F31" s="1795" t="e">
        <f>F28-F30</f>
        <v>#N/A</v>
      </c>
      <c r="G31" s="1793">
        <f>IF(OR(((D31-E31)/E31)&gt;3,((D31-E31)/E31)&lt;-3),"n.m.",((D31-E31)/E31))</f>
        <v>-0.99953831948291783</v>
      </c>
      <c r="H31" s="1791">
        <f>H28-H30</f>
        <v>1052</v>
      </c>
      <c r="I31" s="1795">
        <f>I28-I30</f>
        <v>4053</v>
      </c>
      <c r="J31" s="1822" t="e">
        <f>SUM('2 Consolidated IS'!#REF!)</f>
        <v>#REF!</v>
      </c>
      <c r="K31" s="2054">
        <f>IF(OR(((H31-I31)/I31)&gt;3,((H31-I31)/I31)&lt;-3),"n.m.",((H31-I31)/I31))</f>
        <v>-0.74043918085368865</v>
      </c>
      <c r="M31" s="1822"/>
      <c r="O31" s="191">
        <f t="shared" si="9"/>
        <v>0</v>
      </c>
      <c r="P31" s="191">
        <f t="shared" si="10"/>
        <v>0</v>
      </c>
    </row>
    <row r="32" spans="3:16" hidden="1" x14ac:dyDescent="0.2">
      <c r="C32" s="2044" t="s">
        <v>428</v>
      </c>
      <c r="D32" s="2045">
        <f>HLOOKUP($B$4,'1 Financial Highlights'!$10:$81,ROW('1 Financial Highlights'!$A$34)-9,0)</f>
        <v>0.31</v>
      </c>
      <c r="E32" s="2046">
        <f>HLOOKUP($B$5,'1 Financial Highlights'!$10:$81,ROW('1 Financial Highlights'!$A$34)-9,0)</f>
        <v>0.35</v>
      </c>
      <c r="F32" s="2046" t="e">
        <f>HLOOKUP($B$6,'1 Financial Highlights'!$10:$81,ROW('1 Financial Highlights'!$A$34)-9,0)</f>
        <v>#N/A</v>
      </c>
      <c r="G32" s="2047">
        <f>IF(OR(((D32-E32)/E32)&gt;3,((D32-E32)/E32)&lt;-3),"n.m.",((D32-E32)/ABS(E32)))</f>
        <v>-0.11428571428571424</v>
      </c>
      <c r="H32" s="2045">
        <f>INDEX('1 Financial Highlights'!$A$1:$AB$85,ROW('1 Financial Highlights'!$A34),COLUMN('1 Financial Highlights'!$P$1))</f>
        <v>0.57999999999999996</v>
      </c>
      <c r="I32" s="2046">
        <f>INDEX('1 Financial Highlights'!$A$1:$AB$85,ROW('1 Financial Highlights'!$A34),COLUMN('1 Financial Highlights'!$Q$1))</f>
        <v>0.04</v>
      </c>
      <c r="J32" s="2057"/>
      <c r="K32" s="2058" t="str">
        <f>IF(OR(((H32-I32)/I32)&gt;3,((H32-I32)/I32)&lt;-3),"n.m.",((H32-I32)/ABS(I32)))</f>
        <v>n.m.</v>
      </c>
      <c r="M32" s="2057"/>
      <c r="O32" s="191">
        <f t="shared" si="9"/>
        <v>0</v>
      </c>
      <c r="P32" s="191" t="e">
        <f t="shared" si="10"/>
        <v>#VALUE!</v>
      </c>
    </row>
    <row r="33" spans="3:16" x14ac:dyDescent="0.2">
      <c r="C33" s="2044" t="s">
        <v>428</v>
      </c>
      <c r="D33" s="2045">
        <f>HLOOKUP($B$4,'1 Financial Highlights'!$10:$81,ROW('1 Financial Highlights'!$A$35)-9,0)</f>
        <v>0.25</v>
      </c>
      <c r="E33" s="2046">
        <f>HLOOKUP($B$5,'1 Financial Highlights'!$10:$81,ROW('1 Financial Highlights'!$A$35)-9,0)</f>
        <v>0.28999999999999998</v>
      </c>
      <c r="F33" s="2046" t="e">
        <f>HLOOKUP($B$6,'1 Financial Highlights'!$10:$81,ROW('1 Financial Highlights'!$A$35)-9,0)</f>
        <v>#N/A</v>
      </c>
      <c r="G33" s="2047">
        <f>IF(OR(((D33-E33)/E33)&gt;3,((D33-E33)/E33)&lt;-3),"n.m.",((D33-E33)/ABS(E33)))</f>
        <v>-0.13793103448275856</v>
      </c>
      <c r="H33" s="2045">
        <f>INDEX('1 Financial Highlights'!$A$1:$AB$85,ROW('1 Financial Highlights'!$A35),COLUMN('1 Financial Highlights'!$P$1))</f>
        <v>0.48</v>
      </c>
      <c r="I33" s="2046">
        <f>INDEX('1 Financial Highlights'!$A$1:$AB$85,ROW('1 Financial Highlights'!$A35),COLUMN('1 Financial Highlights'!$Q$1))</f>
        <v>0.03</v>
      </c>
      <c r="J33" s="2057"/>
      <c r="K33" s="2058" t="str">
        <f>IF(OR(((H33-I33)/I33)&gt;3,((H33-I33)/I33)&lt;-3),"n.m.",((H33-I33)/ABS(I33)))</f>
        <v>n.m.</v>
      </c>
      <c r="M33" s="2057"/>
      <c r="O33" s="191">
        <f t="shared" si="9"/>
        <v>0</v>
      </c>
      <c r="P33" s="191" t="e">
        <f t="shared" si="10"/>
        <v>#VALUE!</v>
      </c>
    </row>
    <row r="34" spans="3:16" hidden="1" x14ac:dyDescent="0.2">
      <c r="C34" s="2044" t="s">
        <v>429</v>
      </c>
      <c r="D34" s="2048" t="e">
        <f>HLOOKUP($B$4,'1 Financial Highlights'!$10:$81,ROW('1 Financial Highlights'!#REF!)-9,0)</f>
        <v>#REF!</v>
      </c>
      <c r="E34" s="2047" t="e">
        <f>HLOOKUP($B$5,'1 Financial Highlights'!$10:$81,ROW('1 Financial Highlights'!#REF!)-9,0)</f>
        <v>#REF!</v>
      </c>
      <c r="F34" s="2047" t="e">
        <f>HLOOKUP($B$6,'1 Financial Highlights'!$10:$81,ROW('1 Financial Highlights'!#REF!)-9,0)</f>
        <v>#REF!</v>
      </c>
      <c r="G34" s="2049" t="e">
        <f>(D34-E34)*100</f>
        <v>#REF!</v>
      </c>
      <c r="H34" s="2059" t="e">
        <f>INDEX('1 Financial Highlights'!$A$1:$AB$85,ROW('1 Financial Highlights'!#REF!),COLUMN('1 Financial Highlights'!$P$1))</f>
        <v>#REF!</v>
      </c>
      <c r="I34" s="2047" t="e">
        <f>INDEX('1 Financial Highlights'!$A$1:$AB$85,ROW('1 Financial Highlights'!#REF!),COLUMN('1 Financial Highlights'!$Q$1))</f>
        <v>#REF!</v>
      </c>
      <c r="J34" s="2057"/>
      <c r="K34" s="2049" t="e">
        <f>(H34-I34)*100</f>
        <v>#REF!</v>
      </c>
      <c r="M34" s="2057"/>
      <c r="O34" s="191" t="e">
        <f t="shared" si="9"/>
        <v>#REF!</v>
      </c>
      <c r="P34" s="191" t="e">
        <f t="shared" si="10"/>
        <v>#REF!</v>
      </c>
    </row>
    <row r="35" spans="3:16" x14ac:dyDescent="0.2">
      <c r="C35" s="2044" t="s">
        <v>430</v>
      </c>
      <c r="D35" s="2225">
        <f>HLOOKUP($B$4,'1 Financial Highlights'!$10:$81,ROW('1 Financial Highlights'!$A$56)-9,0)</f>
        <v>0.01</v>
      </c>
      <c r="E35" s="2050">
        <f>HLOOKUP($B$5,'1 Financial Highlights'!$10:$81,ROW('1 Financial Highlights'!$A$56)-9,0)</f>
        <v>0.01</v>
      </c>
      <c r="F35" s="2050" t="e">
        <f>HLOOKUP($B$6,'1 Financial Highlights'!$10:$81,ROW('1 Financial Highlights'!$A$56)-9,0)</f>
        <v>#N/A</v>
      </c>
      <c r="G35" s="2047">
        <f>(D35-E35)*100</f>
        <v>0</v>
      </c>
      <c r="H35" s="2045">
        <f>INDEX('1 Financial Highlights'!$A$1:$AB$85,ROW('1 Financial Highlights'!$A56),COLUMN('1 Financial Highlights'!$P$1))</f>
        <v>0.04</v>
      </c>
      <c r="I35" s="2046">
        <f>INDEX('1 Financial Highlights'!$A$1:$AB$85,ROW('1 Financial Highlights'!$A56),COLUMN('1 Financial Highlights'!$Q$1))</f>
        <v>0.15000000000000002</v>
      </c>
      <c r="J35" s="2057"/>
      <c r="K35" s="2058">
        <f>IF(OR(((H35-I35)/I35)&gt;3,((H35-I35)/I35)&lt;-3),"n.m.",((H35-I35)/ABS(I35)))</f>
        <v>-0.73333333333333328</v>
      </c>
      <c r="M35" s="2057"/>
      <c r="P35" s="191">
        <f t="shared" si="10"/>
        <v>0</v>
      </c>
    </row>
    <row r="36" spans="3:16" ht="13.5" x14ac:dyDescent="0.2">
      <c r="C36" s="1790" t="s">
        <v>603</v>
      </c>
      <c r="D36" s="1807">
        <f>HLOOKUP($B$4,'1 Financial Highlights'!$10:$81,ROW('1 Financial Highlights'!$A$36)-9,0)</f>
        <v>6.0416730694648724</v>
      </c>
      <c r="E36" s="1806">
        <f>HLOOKUP($B$5,'1 Financial Highlights'!$10:$81,ROW('1 Financial Highlights'!$A$36)-9,0)</f>
        <v>5.1104589844536221</v>
      </c>
      <c r="F36" s="1806" t="e">
        <f>HLOOKUP($B$6,'1 Financial Highlights'!$10:$81,ROW('1 Financial Highlights'!$A$36)-9,0)</f>
        <v>#N/A</v>
      </c>
      <c r="G36" s="1793">
        <f t="shared" ref="G36:G41" si="11">IF(OR(((D36-E36)/E36)&gt;3,((D36-E36)/E36)&lt;-3),"n.m.",((D36-E36)/E36))</f>
        <v>0.18221730921705259</v>
      </c>
      <c r="H36" s="2045">
        <f>INDEX('1 Financial Highlights'!$A$1:$AB$85,ROW('1 Financial Highlights'!$A36),COLUMN('1 Financial Highlights'!$P$1))</f>
        <v>6.2482726164245834</v>
      </c>
      <c r="I36" s="2060"/>
      <c r="J36" s="2060"/>
      <c r="K36" s="2054"/>
      <c r="M36" s="1822"/>
      <c r="O36" s="191">
        <f t="shared" ref="O36:O42" si="12">IF((D36-E36)*G36&lt;0,"Reverse Sign",)</f>
        <v>0</v>
      </c>
      <c r="P36" s="191">
        <f t="shared" si="10"/>
        <v>0</v>
      </c>
    </row>
    <row r="37" spans="3:16" x14ac:dyDescent="0.2">
      <c r="C37" s="1790" t="s">
        <v>9</v>
      </c>
      <c r="D37" s="1791">
        <f>HLOOKUP($B$4,'1 Financial Highlights'!$10:$81,ROW('1 Financial Highlights'!$A$20)-9,0)</f>
        <v>3998083</v>
      </c>
      <c r="E37" s="1795">
        <f>HLOOKUP($B$5,'1 Financial Highlights'!$10:$81,ROW('1 Financial Highlights'!$A$20)-9,0)</f>
        <v>3317204</v>
      </c>
      <c r="F37" s="1795" t="e">
        <f>HLOOKUP($B$6,'1 Financial Highlights'!$10:$81,ROW('1 Financial Highlights'!$A$20)-9,0)</f>
        <v>#N/A</v>
      </c>
      <c r="G37" s="1793">
        <f t="shared" si="11"/>
        <v>0.20525689707355954</v>
      </c>
      <c r="H37" s="2045">
        <f>INDEX('1 Financial Highlights'!$A$1:$AB$85,ROW('1 Financial Highlights'!$A20),COLUMN('1 Financial Highlights'!$P$1))</f>
        <v>4749294</v>
      </c>
      <c r="I37" s="1822"/>
      <c r="J37" s="1798"/>
      <c r="K37" s="2054"/>
      <c r="M37" s="1822"/>
      <c r="O37" s="191">
        <f t="shared" si="12"/>
        <v>0</v>
      </c>
      <c r="P37" s="191">
        <f t="shared" si="10"/>
        <v>0</v>
      </c>
    </row>
    <row r="38" spans="3:16" x14ac:dyDescent="0.2">
      <c r="C38" s="1790" t="s">
        <v>431</v>
      </c>
      <c r="D38" s="1791">
        <f>HLOOKUP($B$4,'1 Financial Highlights'!$10:$81,ROW('1 Financial Highlights'!$A$21)-9,0)</f>
        <v>3156579</v>
      </c>
      <c r="E38" s="1795">
        <f>HLOOKUP($B$5,'1 Financial Highlights'!$10:$81,ROW('1 Financial Highlights'!$A$21)-9,0)</f>
        <v>2538841</v>
      </c>
      <c r="F38" s="1795" t="e">
        <f>HLOOKUP($B$6,'1 Financial Highlights'!$10:$81,ROW('1 Financial Highlights'!$A$21)-9,0)</f>
        <v>#N/A</v>
      </c>
      <c r="G38" s="1793">
        <f t="shared" si="11"/>
        <v>0.2433149614331894</v>
      </c>
      <c r="H38" s="2045">
        <f>INDEX('1 Financial Highlights'!$A$1:$AB$85,ROW('1 Financial Highlights'!$A21),COLUMN('1 Financial Highlights'!$P$1))</f>
        <v>3870934</v>
      </c>
      <c r="I38" s="1822"/>
      <c r="J38" s="1798"/>
      <c r="K38" s="2054"/>
      <c r="M38" s="1822"/>
      <c r="O38" s="191">
        <f t="shared" si="12"/>
        <v>0</v>
      </c>
      <c r="P38" s="191">
        <f t="shared" si="10"/>
        <v>0</v>
      </c>
    </row>
    <row r="39" spans="3:16" x14ac:dyDescent="0.2">
      <c r="C39" s="1790" t="s">
        <v>227</v>
      </c>
      <c r="D39" s="1791">
        <f>HLOOKUP($B$4,'1 Financial Highlights'!$10:$81,ROW('1 Financial Highlights'!$A$22)-9,0)</f>
        <v>2338</v>
      </c>
      <c r="E39" s="1795">
        <f>HLOOKUP($B$5,'1 Financial Highlights'!$10:$81,ROW('1 Financial Highlights'!$A$22)-9,0)</f>
        <v>12031</v>
      </c>
      <c r="F39" s="1795" t="e">
        <f>HLOOKUP($B$6,'1 Financial Highlights'!$10:$81,ROW('1 Financial Highlights'!$A$22)-9,0)</f>
        <v>#N/A</v>
      </c>
      <c r="G39" s="1793">
        <f t="shared" si="11"/>
        <v>-0.80566868921951629</v>
      </c>
      <c r="H39" s="2045">
        <f>INDEX('1 Financial Highlights'!$A$1:$AB$85,ROW('1 Financial Highlights'!$A22),COLUMN('1 Financial Highlights'!$P$1))</f>
        <v>1997</v>
      </c>
      <c r="I39" s="1822"/>
      <c r="J39" s="1798"/>
      <c r="K39" s="2054"/>
      <c r="M39" s="1822"/>
      <c r="O39" s="191">
        <f t="shared" si="12"/>
        <v>0</v>
      </c>
      <c r="P39" s="191">
        <f t="shared" si="10"/>
        <v>0</v>
      </c>
    </row>
    <row r="40" spans="3:16" x14ac:dyDescent="0.2">
      <c r="C40" s="1790" t="s">
        <v>432</v>
      </c>
      <c r="D40" s="1791">
        <f>HLOOKUP($B$4,'1 Financial Highlights'!$10:$81,ROW('1 Financial Highlights'!$A$23)-9,0)</f>
        <v>839166</v>
      </c>
      <c r="E40" s="1795">
        <f>HLOOKUP($B$5,'1 Financial Highlights'!$10:$81,ROW('1 Financial Highlights'!$A$23)-9,0)</f>
        <v>766332</v>
      </c>
      <c r="F40" s="1795" t="e">
        <f>HLOOKUP($B$6,'1 Financial Highlights'!$10:$81,ROW('1 Financial Highlights'!$A$23)-9,0)</f>
        <v>#N/A</v>
      </c>
      <c r="G40" s="1793">
        <f t="shared" si="11"/>
        <v>9.504235762045693E-2</v>
      </c>
      <c r="H40" s="2045">
        <f>INDEX('1 Financial Highlights'!$A$1:$AB$85,ROW('1 Financial Highlights'!$A23),COLUMN('1 Financial Highlights'!$P$1))</f>
        <v>876363</v>
      </c>
      <c r="I40" s="1822"/>
      <c r="J40" s="1798"/>
      <c r="K40" s="2054"/>
      <c r="M40" s="1822"/>
      <c r="O40" s="191">
        <f t="shared" si="12"/>
        <v>0</v>
      </c>
      <c r="P40" s="191">
        <f t="shared" si="10"/>
        <v>0</v>
      </c>
    </row>
    <row r="41" spans="3:16" x14ac:dyDescent="0.2">
      <c r="C41" s="1790" t="s">
        <v>84</v>
      </c>
      <c r="D41" s="1808">
        <f>HLOOKUP($B$4,'14 Misc Operating Stats'!$9:$81,ROW('14 Misc Operating Stats'!$A$31)-8,0)</f>
        <v>2048</v>
      </c>
      <c r="E41" s="1809">
        <f>HLOOKUP($B$5,'14 Misc Operating Stats'!$9:$81,ROW('14 Misc Operating Stats'!$A$31)-8,0)</f>
        <v>1939</v>
      </c>
      <c r="F41" s="1809" t="e">
        <f>HLOOKUP($B$6,'14 Misc Operating Stats'!$9:$81,ROW('14 Misc Operating Stats'!$A$31)-8,0)</f>
        <v>#N/A</v>
      </c>
      <c r="G41" s="1803">
        <f t="shared" si="11"/>
        <v>5.6214543579164521E-2</v>
      </c>
      <c r="H41" s="1808">
        <f>HLOOKUP($B$4,'14 Misc Operating Stats'!$9:$81,ROW('14 Misc Operating Stats'!$G$31)-8,0)</f>
        <v>2048</v>
      </c>
      <c r="I41" s="2061"/>
      <c r="J41" s="2061"/>
      <c r="K41" s="2169"/>
      <c r="M41" s="2061"/>
      <c r="O41" s="191">
        <f t="shared" si="12"/>
        <v>0</v>
      </c>
      <c r="P41" s="191">
        <f t="shared" si="10"/>
        <v>0</v>
      </c>
    </row>
    <row r="42" spans="3:16" hidden="1" x14ac:dyDescent="0.2">
      <c r="C42" s="2368" t="s">
        <v>604</v>
      </c>
      <c r="D42" s="2369"/>
      <c r="E42" s="2369"/>
      <c r="F42" s="1810"/>
      <c r="G42" s="1810"/>
      <c r="H42" s="1810"/>
      <c r="I42" s="1810"/>
      <c r="J42" s="1810"/>
      <c r="K42" s="2062"/>
      <c r="M42" s="1810"/>
      <c r="O42" s="191">
        <f t="shared" si="12"/>
        <v>0</v>
      </c>
      <c r="P42" s="191">
        <f t="shared" si="10"/>
        <v>0</v>
      </c>
    </row>
    <row r="43" spans="3:16" x14ac:dyDescent="0.2">
      <c r="C43" s="1790" t="s">
        <v>422</v>
      </c>
      <c r="D43" s="1804">
        <f>HLOOKUP($B$4,'2 Consolidated IS'!$11:$88,ROW('2 Consolidated IS'!$A$69)-10,0)</f>
        <v>331600</v>
      </c>
      <c r="E43" s="1792">
        <f>HLOOKUP($B$5,'2 Consolidated IS'!$11:$88,ROW('2 Consolidated IS'!$A$69)-10,0)</f>
        <v>309442</v>
      </c>
      <c r="F43" s="1795" t="e">
        <f>HLOOKUP($B$6,'2 Consolidated IS'!$11:$88,ROW('2 Consolidated IS'!$A$69)-10,0)</f>
        <v>#N/A</v>
      </c>
      <c r="G43" s="1793">
        <f>IF(OR(((D43-E43)/E43)&gt;3,((D43-E43)/E43)&lt;-3),"n.m.",((D43-E43)/E43))</f>
        <v>7.1606310714124127E-2</v>
      </c>
      <c r="H43" s="1804">
        <f>INDEX('2 Consolidated IS'!$A$1:$AA$94,ROW('2 Consolidated IS'!$A69),COLUMN('2 Consolidated IS'!$P$1))</f>
        <v>1190567</v>
      </c>
      <c r="I43" s="1791">
        <f>INDEX('2 Consolidated IS'!$A$1:$AA$94,ROW('2 Consolidated IS'!$A69),COLUMN('2 Consolidated IS'!$Q$1))</f>
        <v>1022877</v>
      </c>
      <c r="J43" s="1822" t="e">
        <f>SUM('2 Consolidated IS'!#REF!)</f>
        <v>#REF!</v>
      </c>
      <c r="K43" s="2054">
        <f>IF(OR(((H43-I43)/I43)&gt;3,((H43-I43)/I43)&lt;-3),"n.m.",((H43-I43)/I43))</f>
        <v>0.16393955480473213</v>
      </c>
      <c r="M43" s="1822">
        <f t="shared" ref="M43:M51" si="13">H43-I43</f>
        <v>167690</v>
      </c>
    </row>
    <row r="44" spans="3:16" x14ac:dyDescent="0.2">
      <c r="C44" s="1790" t="s">
        <v>77</v>
      </c>
      <c r="D44" s="1804">
        <f>HLOOKUP($B$4,'2 Consolidated IS'!$11:$88,ROW('2 Consolidated IS'!$A$70)-10,0)</f>
        <v>285702</v>
      </c>
      <c r="E44" s="1792">
        <f>HLOOKUP($B$5,'2 Consolidated IS'!$11:$88,ROW('2 Consolidated IS'!$A$70)-10,0)</f>
        <v>259160</v>
      </c>
      <c r="F44" s="1792" t="e">
        <f>HLOOKUP($B$6,'2 Consolidated IS'!$11:$88,ROW('2 Consolidated IS'!$A$70)-10,0)</f>
        <v>#N/A</v>
      </c>
      <c r="G44" s="1793">
        <f>IF(OR(((D44-E44)/E44)&gt;3,((D44-E44)/E44)&lt;-3),"n.m.",((D44-E44)/E44))</f>
        <v>0.10241549621855224</v>
      </c>
      <c r="H44" s="1804">
        <f>INDEX('2 Consolidated IS'!$A$1:$AA$94,ROW('2 Consolidated IS'!$A70),COLUMN('2 Consolidated IS'!$P$1))</f>
        <v>1054981</v>
      </c>
      <c r="I44" s="1791">
        <f>INDEX('2 Consolidated IS'!$A$1:$AA$94,ROW('2 Consolidated IS'!$A70),COLUMN('2 Consolidated IS'!$Q$1))</f>
        <v>912270</v>
      </c>
      <c r="J44" s="1822" t="e">
        <f>SUM('2 Consolidated IS'!#REF!)</f>
        <v>#REF!</v>
      </c>
      <c r="K44" s="2054">
        <f>IF(OR(((H44-I44)/I44)&gt;3,((H44-I44)/I44)&lt;-3),"n.m.",((H44-I44)/I44))</f>
        <v>0.15643504664189331</v>
      </c>
      <c r="M44" s="1822">
        <f t="shared" si="13"/>
        <v>142711</v>
      </c>
      <c r="O44" s="191">
        <f>IF((D44-E44)*G44&lt;0,"Reverse Sign",)</f>
        <v>0</v>
      </c>
      <c r="P44" s="191">
        <f>IF((H44-I44)*K44&lt;0,"Reverse Sign",)</f>
        <v>0</v>
      </c>
    </row>
    <row r="45" spans="3:16" x14ac:dyDescent="0.2">
      <c r="C45" s="1790" t="s">
        <v>69</v>
      </c>
      <c r="D45" s="1804">
        <f>HLOOKUP($B$4,'2 Consolidated IS'!$11:$88,ROW('2 Consolidated IS'!$A$71)-10,0)</f>
        <v>45898</v>
      </c>
      <c r="E45" s="1792">
        <f>HLOOKUP($B$5,'2 Consolidated IS'!$11:$88,ROW('2 Consolidated IS'!$A$71)-10,0)</f>
        <v>50282</v>
      </c>
      <c r="F45" s="1792" t="e">
        <f>HLOOKUP($B$6,'2 Consolidated IS'!$11:$88,ROW('2 Consolidated IS'!$A$71)-10,0)</f>
        <v>#N/A</v>
      </c>
      <c r="G45" s="1793">
        <f>IF(OR(((D45-E45)/E45)&gt;3,((D45-E45)/E45)&lt;-3),"n.m.",((D45-E45)/E45))</f>
        <v>-8.7188258223618795E-2</v>
      </c>
      <c r="H45" s="1804">
        <f>INDEX('2 Consolidated IS'!$A$1:$AA$94,ROW('2 Consolidated IS'!$A71),COLUMN('2 Consolidated IS'!$P$1))</f>
        <v>135586</v>
      </c>
      <c r="I45" s="1791">
        <f>INDEX('2 Consolidated IS'!$A$1:$AA$94,ROW('2 Consolidated IS'!$A71),COLUMN('2 Consolidated IS'!$Q$1))</f>
        <v>110607</v>
      </c>
      <c r="J45" s="1822" t="e">
        <f>SUM('2 Consolidated IS'!#REF!)</f>
        <v>#REF!</v>
      </c>
      <c r="K45" s="2054">
        <f>IF(OR(((H45-I45)/I45)&gt;3,((H45-I45)/I45)&lt;-3),"n.m.",((H45-I45)/I45))</f>
        <v>0.22583561619065701</v>
      </c>
      <c r="M45" s="1822">
        <f t="shared" si="13"/>
        <v>24979</v>
      </c>
      <c r="O45" s="191">
        <f>IF((D45-E45)*G45&lt;0,"Reverse Sign",)</f>
        <v>0</v>
      </c>
      <c r="P45" s="191">
        <f>IF((H45-I45)*K45&lt;0,"Reverse Sign",)</f>
        <v>0</v>
      </c>
    </row>
    <row r="46" spans="3:16" x14ac:dyDescent="0.2">
      <c r="C46" s="1790" t="s">
        <v>433</v>
      </c>
      <c r="D46" s="1791">
        <f>HLOOKUP($B$4,'2 Consolidated IS'!$11:$88,ROW('2 Consolidated IS'!$A$72)-10,0)</f>
        <v>36843</v>
      </c>
      <c r="E46" s="1795">
        <f>HLOOKUP($B$5,'2 Consolidated IS'!$11:$88,ROW('2 Consolidated IS'!$A$72)-10,0)</f>
        <v>39182</v>
      </c>
      <c r="F46" s="1795" t="e">
        <f>HLOOKUP($B$6,'2 Consolidated IS'!$11:$88,ROW('2 Consolidated IS'!$A$72)-10,0)</f>
        <v>#N/A</v>
      </c>
      <c r="G46" s="1793">
        <f>IF(OR(((D46-E46)/E46)&gt;3,((D46-E46)/E46)&lt;-3),"n.m.",((D46-E46)/E46))</f>
        <v>-5.9695778673880866E-2</v>
      </c>
      <c r="H46" s="1804">
        <f>INDEX('2 Consolidated IS'!$A$1:$AA$94,ROW('2 Consolidated IS'!$A72),COLUMN('2 Consolidated IS'!$P$1))</f>
        <v>107355</v>
      </c>
      <c r="I46" s="1791">
        <f>INDEX('2 Consolidated IS'!$A$1:$AA$94,ROW('2 Consolidated IS'!$A72),COLUMN('2 Consolidated IS'!$Q$1))</f>
        <v>81657</v>
      </c>
      <c r="J46" s="1822" t="e">
        <f>SUM('2 Consolidated IS'!#REF!)</f>
        <v>#REF!</v>
      </c>
      <c r="K46" s="2054">
        <f>IF(OR(((H46-I46)/I46)&gt;3,((H46-I46)/I46)&lt;-3),"n.m.",((H46-I46)/I46))</f>
        <v>0.31470663874499433</v>
      </c>
      <c r="M46" s="1822">
        <f t="shared" si="13"/>
        <v>25698</v>
      </c>
      <c r="O46" s="191">
        <f>IF((D46-E46)*G46&lt;0,"Reverse Sign",)</f>
        <v>0</v>
      </c>
      <c r="P46" s="191">
        <f>IF((H46-I46)*K46&lt;0,"Reverse Sign",)</f>
        <v>0</v>
      </c>
    </row>
    <row r="47" spans="3:16" x14ac:dyDescent="0.2">
      <c r="C47" s="1790" t="s">
        <v>425</v>
      </c>
      <c r="D47" s="1791"/>
      <c r="E47" s="1795"/>
      <c r="F47" s="1795"/>
      <c r="G47" s="1793"/>
      <c r="H47" s="1804"/>
      <c r="I47" s="1804"/>
      <c r="J47" s="2063"/>
      <c r="K47" s="2054"/>
      <c r="M47" s="1822">
        <f t="shared" si="13"/>
        <v>0</v>
      </c>
      <c r="O47" s="191">
        <f>IF((D47-E47)*G47&lt;0,"Reverse Sign",)</f>
        <v>0</v>
      </c>
      <c r="P47" s="191">
        <f>IF((H47-I48)*K47&lt;0,"Reverse Sign",)</f>
        <v>0</v>
      </c>
    </row>
    <row r="48" spans="3:16" x14ac:dyDescent="0.2">
      <c r="C48" s="1790" t="s">
        <v>434</v>
      </c>
      <c r="D48" s="1791">
        <f>HLOOKUP($B$4,'2 Consolidated IS'!$11:$88,ROW('2 Consolidated IS'!$A$73)-10,0)</f>
        <v>36842</v>
      </c>
      <c r="E48" s="1795">
        <f>HLOOKUP($B$5,'2 Consolidated IS'!$11:$88,ROW('2 Consolidated IS'!$A$73)-10,0)</f>
        <v>37016</v>
      </c>
      <c r="F48" s="1795" t="e">
        <f>HLOOKUP($B$6,'2 Consolidated IS'!$11:$88,ROW('2 Consolidated IS'!$A$73)-10,0)</f>
        <v>#N/A</v>
      </c>
      <c r="G48" s="1793">
        <f>IF(OR(((D48-E48)/E48)&gt;3,((D48-E48)/E48)&lt;-3),"n.m.",((D48-E48)/E48))</f>
        <v>-4.7006699805489521E-3</v>
      </c>
      <c r="H48" s="1804">
        <f>INDEX('2 Consolidated IS'!$A$1:$AA$94,ROW('2 Consolidated IS'!$A73),COLUMN('2 Consolidated IS'!$P$1))</f>
        <v>106303</v>
      </c>
      <c r="I48" s="1791">
        <f>INDEX('2 Consolidated IS'!$A$1:$AA$94,ROW('2 Consolidated IS'!$A73),COLUMN('2 Consolidated IS'!$Q$1))</f>
        <v>77604</v>
      </c>
      <c r="J48" s="1822" t="e">
        <f>SUM('2 Consolidated IS'!#REF!)</f>
        <v>#REF!</v>
      </c>
      <c r="K48" s="2054">
        <f>IF(OR(((H48-I48)/I48)&gt;3,((H48-I48)/I48)&lt;-3),"n.m.",((H48-I48)/ABS(I48)))</f>
        <v>0.3698134116798103</v>
      </c>
      <c r="M48" s="1822">
        <f t="shared" si="13"/>
        <v>28699</v>
      </c>
      <c r="O48" s="191">
        <f>IF((D48-E48)*G48&lt;0,"Reverse Sign",)</f>
        <v>0</v>
      </c>
      <c r="P48" s="191">
        <f>IF((H48-I48)*K48&lt;0,"Reverse Sign",)</f>
        <v>0</v>
      </c>
    </row>
    <row r="49" spans="3:19" x14ac:dyDescent="0.2">
      <c r="C49" s="1790" t="s">
        <v>435</v>
      </c>
      <c r="D49" s="1791">
        <f>D46-D48</f>
        <v>1</v>
      </c>
      <c r="E49" s="1795">
        <f>E46-E48</f>
        <v>2166</v>
      </c>
      <c r="F49" s="1795"/>
      <c r="G49" s="1793">
        <f>IF(OR(((D49-E49)/E49)&gt;3,((D49-E49)/E49)&lt;-3),"n.m.",((D49-E49)/E49))</f>
        <v>-0.99953831948291783</v>
      </c>
      <c r="H49" s="1804">
        <f>H46-H48</f>
        <v>1052</v>
      </c>
      <c r="I49" s="1804">
        <f>I46-I48</f>
        <v>4053</v>
      </c>
      <c r="J49" s="1804" t="e">
        <f>J46-J48</f>
        <v>#REF!</v>
      </c>
      <c r="K49" s="2054">
        <f>IF(OR(((H49-I49)/I49)&gt;3,((H49-I49)/I49)&lt;-3),"n.m.",((H49-I49)/I49))</f>
        <v>-0.74043918085368865</v>
      </c>
      <c r="M49" s="1822">
        <f t="shared" si="13"/>
        <v>-3001</v>
      </c>
      <c r="P49" s="191">
        <f>IF((H49-I49)*K49&lt;0,"Reverse Sign",)</f>
        <v>0</v>
      </c>
    </row>
    <row r="50" spans="3:19" ht="13.5" thickBot="1" x14ac:dyDescent="0.25">
      <c r="C50" s="1811" t="s">
        <v>436</v>
      </c>
      <c r="D50" s="1812">
        <f>HLOOKUP($B$4,'2 Consolidated IS'!$11:$88,ROW('2 Consolidated IS'!$A$74)-10,0)</f>
        <v>34491</v>
      </c>
      <c r="E50" s="1813">
        <f>HLOOKUP($B$5,'2 Consolidated IS'!$11:$88,ROW('2 Consolidated IS'!$A$74)-10,0)</f>
        <v>34665</v>
      </c>
      <c r="F50" s="1813" t="e">
        <f>HLOOKUP($B$6,'2 Consolidated IS'!$11:$88,ROW('2 Consolidated IS'!$A$74)-10,0)</f>
        <v>#N/A</v>
      </c>
      <c r="G50" s="1793">
        <f>IF(OR(((D50-E50)/E50)&gt;3,((D50-E50)/E50)&lt;-3),"n.m.",((D50-E50)/ABS(E50)))</f>
        <v>-5.0194720900043274E-3</v>
      </c>
      <c r="H50" s="2064">
        <f>INDEX('2 Consolidated IS'!$A$1:$AA$94,ROW('2 Consolidated IS'!$A74),COLUMN('2 Consolidated IS'!$P$1))</f>
        <v>96899</v>
      </c>
      <c r="I50" s="2064">
        <f>INDEX('2 Consolidated IS'!$A$1:$AA$94,ROW('2 Consolidated IS'!$A74),COLUMN('2 Consolidated IS'!$Q$1))</f>
        <v>68011</v>
      </c>
      <c r="J50" s="1822" t="e">
        <f>SUM('2 Consolidated IS'!#REF!)</f>
        <v>#REF!</v>
      </c>
      <c r="K50" s="2054">
        <f>IF(OR(((H50-I50)/I50)&gt;3,((H50-I50)/I50)&lt;-3),"n.m.",((H50-I50)/I50))</f>
        <v>0.42475481907338519</v>
      </c>
      <c r="M50" s="1822">
        <f t="shared" si="13"/>
        <v>28888</v>
      </c>
      <c r="O50" s="191">
        <f>IF((D50-E50)*G50&lt;0,"Reverse Sign",)</f>
        <v>0</v>
      </c>
      <c r="P50" s="191">
        <f>IF((H50-I50)*K50&lt;0,"Reverse Sign",)</f>
        <v>0</v>
      </c>
    </row>
    <row r="51" spans="3:19" ht="13.5" thickBot="1" x14ac:dyDescent="0.25">
      <c r="C51" s="1811" t="s">
        <v>428</v>
      </c>
      <c r="D51" s="1814">
        <f>HLOOKUP($B$4,'2 Consolidated IS'!$11:$88,ROW('2 Consolidated IS'!$A$83)-10,0)</f>
        <v>0.28000000000000003</v>
      </c>
      <c r="E51" s="1814">
        <f>HLOOKUP($B$5,'2 Consolidated IS'!$11:$88,ROW('2 Consolidated IS'!$A$83)-10,0)</f>
        <v>0.31</v>
      </c>
      <c r="F51" s="1815" t="e">
        <f>HLOOKUP($B$6,'2 Consolidated IS'!$11:$88,ROW('2 Consolidated IS'!$A$83)-10,0)</f>
        <v>#N/A</v>
      </c>
      <c r="G51" s="1816">
        <f>IF(OR(((D51-E51)/E51)&gt;3,((D51-E51)/E51)&lt;-3),"n.m.",((D51-E51)/ABS(E51)))</f>
        <v>-9.6774193548387011E-2</v>
      </c>
      <c r="H51" s="2065">
        <f>INDEX('2 Consolidated IS'!$A$1:$AA$94,ROW('2 Consolidated IS'!$A83),COLUMN('2 Consolidated IS'!$P$1))</f>
        <v>0.8</v>
      </c>
      <c r="I51" s="2065">
        <f>INDEX('2 Consolidated IS'!$A$1:$AA$94,ROW('2 Consolidated IS'!$A83),COLUMN('2 Consolidated IS'!$Q$1))</f>
        <v>0.59</v>
      </c>
      <c r="J51" s="2066">
        <v>0.05</v>
      </c>
      <c r="K51" s="2067">
        <f>IF(OR(((H51-I51)/I51)&gt;3,((H51-I51)/I51)&lt;-3),"n.m.",((H51-I51)/I51))</f>
        <v>0.35593220338983067</v>
      </c>
      <c r="M51" s="2066">
        <f t="shared" si="13"/>
        <v>0.21000000000000008</v>
      </c>
      <c r="O51" s="191">
        <f>IF((D51-E51)*G51&lt;0,"Reverse Sign",)</f>
        <v>0</v>
      </c>
      <c r="P51" s="191">
        <f>IF((H51-I51)*K51&lt;0,"Reverse Sign",)</f>
        <v>0</v>
      </c>
    </row>
    <row r="54" spans="3:19" ht="18.75" x14ac:dyDescent="0.2">
      <c r="C54" s="1718" t="s">
        <v>391</v>
      </c>
    </row>
    <row r="55" spans="3:19" ht="13.5" thickBot="1" x14ac:dyDescent="0.25"/>
    <row r="56" spans="3:19" ht="28.5" customHeight="1" thickBot="1" x14ac:dyDescent="0.25">
      <c r="C56" s="1719"/>
      <c r="D56" s="2370" t="str">
        <f>D6</f>
        <v>Three months ended December 31</v>
      </c>
      <c r="E56" s="2370"/>
      <c r="F56" s="2371" t="s">
        <v>392</v>
      </c>
      <c r="G56" s="2370" t="str">
        <f>H6</f>
        <v>Nine months ended December 31</v>
      </c>
      <c r="H56" s="2370"/>
      <c r="I56" s="2334" t="s">
        <v>393</v>
      </c>
      <c r="K56" s="1858" t="s">
        <v>492</v>
      </c>
      <c r="L56" s="1817"/>
    </row>
    <row r="57" spans="3:19" ht="26.25" customHeight="1" thickBot="1" x14ac:dyDescent="0.25">
      <c r="C57" s="1720" t="s">
        <v>394</v>
      </c>
      <c r="D57" s="2051" t="str">
        <f>D7</f>
        <v>2018</v>
      </c>
      <c r="E57" s="1818" t="str">
        <f>E7</f>
        <v>2017</v>
      </c>
      <c r="F57" s="2372"/>
      <c r="G57" s="1785" t="s">
        <v>553</v>
      </c>
      <c r="H57" s="1818" t="s">
        <v>493</v>
      </c>
      <c r="I57" s="2336"/>
      <c r="L57" s="1817"/>
      <c r="R57" s="191">
        <v>1</v>
      </c>
      <c r="S57" s="191">
        <v>2.54</v>
      </c>
    </row>
    <row r="58" spans="3:19" x14ac:dyDescent="0.2">
      <c r="C58" s="1735" t="s">
        <v>395</v>
      </c>
      <c r="D58" s="1819">
        <f>HLOOKUP($B$4,'2 Consolidated IS'!$11:$88,ROW('2 Consolidated IS'!$A$20)-10,0)</f>
        <v>331600</v>
      </c>
      <c r="E58" s="2068">
        <f>HLOOKUP($B$5,'2 Consolidated IS'!$11:$88,ROW('2 Consolidated IS'!$A$20)-10,0)</f>
        <v>309442</v>
      </c>
      <c r="F58" s="2187">
        <f>IF(OR(((D58-E58)/E58)&gt;3,((D58-E58)/E58)&lt;-3),"n.m.",((D58-E58)/E58))</f>
        <v>7.1606310714124127E-2</v>
      </c>
      <c r="G58" s="1819">
        <f>H16</f>
        <v>1190567</v>
      </c>
      <c r="H58" s="2068">
        <f>I16</f>
        <v>1022877</v>
      </c>
      <c r="I58" s="2193">
        <f>IF(OR(((G58-H58)/H58)&gt;3,((G58-H58)/H58)&lt;-3),"n.m.",((G58-H58)/H58))</f>
        <v>0.16393955480473213</v>
      </c>
      <c r="K58" s="347">
        <f>G58-H58</f>
        <v>167690</v>
      </c>
      <c r="L58" s="1817"/>
      <c r="P58" s="191">
        <f>IF((D58-E58)*F58&lt;0,"Reverse Sign",)</f>
        <v>0</v>
      </c>
      <c r="Q58" s="191">
        <f>IF((G58-H58)*I58&lt;0,"Reverse Sign",)</f>
        <v>0</v>
      </c>
      <c r="R58" s="191">
        <v>2</v>
      </c>
    </row>
    <row r="59" spans="3:19" ht="13.5" thickBot="1" x14ac:dyDescent="0.25">
      <c r="C59" s="1720" t="s">
        <v>396</v>
      </c>
      <c r="D59" s="1820">
        <f>HLOOKUP($B$4,'2 Consolidated IS'!$11:$88,ROW('2 Consolidated IS'!$A$37)-10,0)</f>
        <v>290991</v>
      </c>
      <c r="E59" s="2070">
        <f>HLOOKUP($B$5,'2 Consolidated IS'!$11:$88,ROW('2 Consolidated IS'!$A$37)-10,0)</f>
        <v>262559</v>
      </c>
      <c r="F59" s="2188">
        <f>IF(OR(((D59-E59)/E59)&gt;3,((D59-E59)/E59)&lt;-3),"n.m.",((D59-E59)/E59))</f>
        <v>0.10828804192581477</v>
      </c>
      <c r="G59" s="1820">
        <f>H26</f>
        <v>1097911</v>
      </c>
      <c r="H59" s="2070">
        <f>I26</f>
        <v>987131</v>
      </c>
      <c r="I59" s="2194">
        <f>IF(OR(((G59-H59)/H59)&gt;3,((G59-H59)/H59)&lt;-3),"n.m.",((G59-H59)/H59))</f>
        <v>0.11222421340227386</v>
      </c>
      <c r="K59" s="347">
        <f>G59-H59</f>
        <v>110780</v>
      </c>
      <c r="L59" s="1817"/>
      <c r="P59" s="191">
        <f>IF((D59-E59)*F59&lt;0,"Reverse Sign",)</f>
        <v>0</v>
      </c>
      <c r="Q59" s="191">
        <f>IF((G59-H59)*I59&lt;0,"Reverse Sign",)</f>
        <v>0</v>
      </c>
      <c r="R59" s="191">
        <v>3</v>
      </c>
    </row>
    <row r="60" spans="3:19" ht="14.25" x14ac:dyDescent="0.2">
      <c r="C60" s="2185" t="s">
        <v>4</v>
      </c>
      <c r="D60" s="1821"/>
      <c r="E60" s="1822"/>
      <c r="F60" s="2189"/>
      <c r="G60" s="1821"/>
      <c r="H60" s="1824"/>
      <c r="I60" s="2121"/>
      <c r="K60" s="347"/>
      <c r="L60" s="1817"/>
      <c r="R60" s="191">
        <v>4</v>
      </c>
    </row>
    <row r="61" spans="3:19" x14ac:dyDescent="0.2">
      <c r="C61" s="1723" t="s">
        <v>502</v>
      </c>
      <c r="D61" s="1821">
        <v>0</v>
      </c>
      <c r="E61" s="1822">
        <v>0</v>
      </c>
      <c r="F61" s="2189">
        <v>0</v>
      </c>
      <c r="G61" s="1824">
        <v>0</v>
      </c>
      <c r="H61" s="1824">
        <v>0</v>
      </c>
      <c r="I61" s="2121">
        <v>0</v>
      </c>
      <c r="K61" s="347"/>
      <c r="L61" s="1817"/>
      <c r="R61" s="191">
        <v>5</v>
      </c>
    </row>
    <row r="62" spans="3:19" x14ac:dyDescent="0.2">
      <c r="C62" s="1723" t="s">
        <v>484</v>
      </c>
      <c r="D62" s="1821">
        <f>D58-D61</f>
        <v>331600</v>
      </c>
      <c r="E62" s="1822">
        <f>E58-E61</f>
        <v>309442</v>
      </c>
      <c r="F62" s="2189">
        <f>IF(OR(((D62-E62)/E62)&gt;3,((D62-E62)/E62)&lt;-3),"n.m.",((D62-E62)/E62))</f>
        <v>7.1606310714124127E-2</v>
      </c>
      <c r="G62" s="1821">
        <f t="shared" ref="G62" si="14">G58-G61</f>
        <v>1190567</v>
      </c>
      <c r="H62" s="1824">
        <f>H58-H61</f>
        <v>1022877</v>
      </c>
      <c r="I62" s="2121">
        <f>IF(OR(((G62-H62)/H62)&gt;3,((G62-H62)/H62)&lt;-3),"n.m.",((G62-H62)/H62))</f>
        <v>0.16393955480473213</v>
      </c>
      <c r="K62" s="347"/>
      <c r="L62" s="1817"/>
      <c r="R62" s="191">
        <v>6</v>
      </c>
    </row>
    <row r="63" spans="3:19" ht="14.25" x14ac:dyDescent="0.2">
      <c r="C63" s="2185" t="s">
        <v>5</v>
      </c>
      <c r="D63" s="1821"/>
      <c r="E63" s="1822"/>
      <c r="F63" s="2189"/>
      <c r="G63" s="1821"/>
      <c r="H63" s="1824"/>
      <c r="I63" s="2121"/>
      <c r="K63" s="347"/>
      <c r="L63" s="1817"/>
      <c r="R63" s="191">
        <v>7</v>
      </c>
    </row>
    <row r="64" spans="3:19" ht="23.25" customHeight="1" x14ac:dyDescent="0.2">
      <c r="C64" s="1722" t="s">
        <v>397</v>
      </c>
      <c r="D64" s="1823"/>
      <c r="E64" s="1875"/>
      <c r="F64" s="2189"/>
      <c r="G64" s="1821"/>
      <c r="H64" s="1824"/>
      <c r="I64" s="2121"/>
      <c r="K64" s="347">
        <f t="shared" ref="K64:K86" si="15">G64-H64</f>
        <v>0</v>
      </c>
      <c r="R64" s="191">
        <v>7</v>
      </c>
      <c r="S64" s="191">
        <f>SUM(S57:S63)</f>
        <v>2.54</v>
      </c>
    </row>
    <row r="65" spans="1:19" ht="15.75" customHeight="1" x14ac:dyDescent="0.2">
      <c r="A65" s="1742" t="s">
        <v>441</v>
      </c>
      <c r="C65" s="1723" t="s">
        <v>608</v>
      </c>
      <c r="D65" s="1821">
        <v>639.94200000000001</v>
      </c>
      <c r="E65" s="1824">
        <v>579.81500000000005</v>
      </c>
      <c r="F65" s="2189">
        <f>IF(OR(((D65-E65)/E65)&gt;3,((D65-E65)/E65)&lt;-3),"n.m.",((D65-E65)/E65))</f>
        <v>0.10370031820494459</v>
      </c>
      <c r="G65" s="1821">
        <v>1859.6959999999999</v>
      </c>
      <c r="H65" s="1824">
        <v>1739.5039999999999</v>
      </c>
      <c r="I65" s="2121">
        <f>IF(OR(((G65-H65)/H65)&gt;3,((G65-H65)/H65)&lt;-3),"n.m.",((G65-H65)/H65))</f>
        <v>6.909555827408273E-2</v>
      </c>
      <c r="K65" s="347">
        <f>G65-H65</f>
        <v>120.19200000000001</v>
      </c>
      <c r="P65" s="191">
        <f t="shared" ref="P65:P86" si="16">IF((D65-E65)*F65&lt;0,"Reverse Sign",)</f>
        <v>0</v>
      </c>
      <c r="Q65" s="191">
        <f t="shared" ref="Q65:Q80" si="17">IF((G65-H65)*I65&lt;0,"Reverse Sign",)</f>
        <v>0</v>
      </c>
      <c r="S65" s="191">
        <v>7.59</v>
      </c>
    </row>
    <row r="66" spans="1:19" hidden="1" x14ac:dyDescent="0.2">
      <c r="C66" s="1723" t="s">
        <v>361</v>
      </c>
      <c r="D66" s="1821" t="e">
        <f>'4 Canaccord Genuity '!J32+#REF!</f>
        <v>#REF!</v>
      </c>
      <c r="E66" s="1824"/>
      <c r="F66" s="2189" t="e">
        <f>IF(OR(((D66-E66)/E66)&gt;3,((D66-E66)/E66)&lt;-3),"n.m.",((D66-E66)/E66))</f>
        <v>#REF!</v>
      </c>
      <c r="G66" s="1821">
        <f>'4 Canaccord Genuity '!P32</f>
        <v>0</v>
      </c>
      <c r="H66" s="1824" t="e">
        <f>'4 Canaccord Genuity '!Q32+#REF!</f>
        <v>#REF!</v>
      </c>
      <c r="I66" s="2121" t="e">
        <f>IF(OR(((G66-H66)/H66)&gt;3,((G66-H66)/H66)&lt;-3),"n.m.",((G66-H66)/H66))</f>
        <v>#REF!</v>
      </c>
      <c r="K66" s="347" t="e">
        <f t="shared" si="15"/>
        <v>#REF!</v>
      </c>
      <c r="P66" s="191" t="e">
        <f t="shared" si="16"/>
        <v>#REF!</v>
      </c>
      <c r="Q66" s="191" t="e">
        <f t="shared" si="17"/>
        <v>#REF!</v>
      </c>
    </row>
    <row r="67" spans="1:19" x14ac:dyDescent="0.2">
      <c r="C67" s="1723" t="s">
        <v>617</v>
      </c>
      <c r="D67" s="1821">
        <f>D132</f>
        <v>141</v>
      </c>
      <c r="E67" s="1824">
        <f>E132</f>
        <v>92</v>
      </c>
      <c r="F67" s="2189">
        <f>IF(OR(((D67-E67)/E67)&gt;3,((D67-E67)/E67)&lt;-3),"n.m.",((D67-E67)/E67))</f>
        <v>0.53260869565217395</v>
      </c>
      <c r="G67" s="1821">
        <f>G132</f>
        <v>13070</v>
      </c>
      <c r="H67" s="1824">
        <f>H132</f>
        <v>4704</v>
      </c>
      <c r="I67" s="2121">
        <f>IF(OR(((G67-H67)/H67)&gt;3,((G67-H67)/H67)&lt;-3),"n.m.",((G67-H67)/H67))</f>
        <v>1.7784863945578231</v>
      </c>
      <c r="K67" s="347">
        <f>G67-H67</f>
        <v>8366</v>
      </c>
      <c r="P67" s="191">
        <f t="shared" si="16"/>
        <v>0</v>
      </c>
      <c r="Q67" s="191">
        <f t="shared" si="17"/>
        <v>0</v>
      </c>
      <c r="S67" s="191">
        <f>+S65-S64</f>
        <v>5.05</v>
      </c>
    </row>
    <row r="68" spans="1:19" x14ac:dyDescent="0.2">
      <c r="C68" s="1723" t="s">
        <v>607</v>
      </c>
      <c r="D68" s="1821">
        <f>D131</f>
        <v>0</v>
      </c>
      <c r="E68" s="1824">
        <f>E131</f>
        <v>0</v>
      </c>
      <c r="F68" s="2189">
        <v>0</v>
      </c>
      <c r="G68" s="1821">
        <f>G131</f>
        <v>1976</v>
      </c>
      <c r="H68" s="1824">
        <f>H131</f>
        <v>0</v>
      </c>
      <c r="I68" s="2121">
        <v>0</v>
      </c>
      <c r="K68" s="347"/>
      <c r="S68" s="191">
        <f>+ROUND(S67/R64,2)</f>
        <v>0.72</v>
      </c>
    </row>
    <row r="69" spans="1:19" ht="23.25" customHeight="1" x14ac:dyDescent="0.2">
      <c r="C69" s="1765" t="s">
        <v>400</v>
      </c>
      <c r="D69" s="1821"/>
      <c r="E69" s="1824"/>
      <c r="F69" s="2189"/>
      <c r="G69" s="1821"/>
      <c r="H69" s="1824"/>
      <c r="I69" s="2121"/>
      <c r="K69" s="347">
        <f t="shared" si="15"/>
        <v>0</v>
      </c>
      <c r="P69" s="191">
        <f t="shared" si="16"/>
        <v>0</v>
      </c>
      <c r="Q69" s="191">
        <f t="shared" si="17"/>
        <v>0</v>
      </c>
    </row>
    <row r="70" spans="1:19" x14ac:dyDescent="0.2">
      <c r="A70" s="1742" t="s">
        <v>441</v>
      </c>
      <c r="C70" s="1725" t="s">
        <v>398</v>
      </c>
      <c r="D70" s="1821">
        <v>2744.808</v>
      </c>
      <c r="E70" s="1824">
        <v>2820.0259999999998</v>
      </c>
      <c r="F70" s="2189">
        <f>IF(OR(((D70-E70)/E70)&gt;3,((D70-E70)/E70)&lt;-3),"n.m.",((D70-E70)/E70))</f>
        <v>-2.6672803725923042E-2</v>
      </c>
      <c r="G70" s="1821">
        <v>8351.5580000000009</v>
      </c>
      <c r="H70" s="1824">
        <v>5405.5519999999997</v>
      </c>
      <c r="I70" s="2121">
        <f>IF(OR(((G70-H70)/H70)&gt;3,((G70-H70)/H70)&lt;-3),"n.m.",((G70-H70)/H70))</f>
        <v>0.54499632969953882</v>
      </c>
      <c r="K70" s="347">
        <f t="shared" si="15"/>
        <v>2946.0060000000012</v>
      </c>
      <c r="P70" s="191">
        <f t="shared" si="16"/>
        <v>0</v>
      </c>
      <c r="Q70" s="191">
        <f t="shared" si="17"/>
        <v>0</v>
      </c>
    </row>
    <row r="71" spans="1:19" x14ac:dyDescent="0.2">
      <c r="C71" s="1725" t="s">
        <v>616</v>
      </c>
      <c r="D71" s="1821">
        <f>D206</f>
        <v>0</v>
      </c>
      <c r="E71" s="1824">
        <f>E206</f>
        <v>0</v>
      </c>
      <c r="F71" s="2189" t="e">
        <f>IF(OR(((D71-E71)/E71)&gt;3,((D71-E71)/E71)&lt;-3),"n.m.",((D71-E71)/E71))</f>
        <v>#DIV/0!</v>
      </c>
      <c r="G71" s="1821">
        <f>G206</f>
        <v>0</v>
      </c>
      <c r="H71" s="1824">
        <f>H206</f>
        <v>2939</v>
      </c>
      <c r="I71" s="2121">
        <v>0</v>
      </c>
      <c r="K71" s="347">
        <f t="shared" si="15"/>
        <v>-2939</v>
      </c>
      <c r="P71" s="191" t="e">
        <f t="shared" si="16"/>
        <v>#DIV/0!</v>
      </c>
      <c r="Q71" s="191">
        <f t="shared" si="17"/>
        <v>0</v>
      </c>
    </row>
    <row r="72" spans="1:19" x14ac:dyDescent="0.2">
      <c r="C72" s="1725" t="s">
        <v>169</v>
      </c>
      <c r="D72" s="1821">
        <f>D207</f>
        <v>170</v>
      </c>
      <c r="E72" s="1824">
        <f>E207</f>
        <v>0</v>
      </c>
      <c r="F72" s="2189" t="e">
        <f>IF(OR(((D72-E72)/E72)&gt;3,((D72-E72)/E72)&lt;-3),"n.m.",((D72-E72)/E72))</f>
        <v>#DIV/0!</v>
      </c>
      <c r="G72" s="1821">
        <f>G207</f>
        <v>1088</v>
      </c>
      <c r="H72" s="1824">
        <f>H207</f>
        <v>6732</v>
      </c>
      <c r="I72" s="2121">
        <v>0</v>
      </c>
      <c r="K72" s="347"/>
      <c r="P72" s="191" t="e">
        <f t="shared" si="16"/>
        <v>#DIV/0!</v>
      </c>
    </row>
    <row r="73" spans="1:19" x14ac:dyDescent="0.2">
      <c r="C73" s="1723" t="s">
        <v>618</v>
      </c>
      <c r="D73" s="1821">
        <v>1490.0809999999999</v>
      </c>
      <c r="E73" s="1824">
        <v>0</v>
      </c>
      <c r="F73" s="2189" t="s">
        <v>38</v>
      </c>
      <c r="G73" s="1821">
        <v>4530.2489999999998</v>
      </c>
      <c r="H73" s="1824">
        <v>0</v>
      </c>
      <c r="I73" s="2121">
        <v>0</v>
      </c>
      <c r="K73" s="347"/>
    </row>
    <row r="74" spans="1:19" x14ac:dyDescent="0.2">
      <c r="C74" s="1724" t="s">
        <v>401</v>
      </c>
      <c r="D74" s="1821"/>
      <c r="E74" s="1824"/>
      <c r="F74" s="2189"/>
      <c r="G74" s="1821"/>
      <c r="H74" s="1824"/>
      <c r="I74" s="2121"/>
      <c r="K74" s="347">
        <f t="shared" si="15"/>
        <v>0</v>
      </c>
      <c r="P74" s="191">
        <f t="shared" si="16"/>
        <v>0</v>
      </c>
      <c r="Q74" s="191">
        <f t="shared" si="17"/>
        <v>0</v>
      </c>
    </row>
    <row r="75" spans="1:19" hidden="1" x14ac:dyDescent="0.2">
      <c r="C75" s="1723" t="s">
        <v>527</v>
      </c>
      <c r="D75" s="1821"/>
      <c r="E75" s="1824"/>
      <c r="F75" s="2189"/>
      <c r="G75" s="1821">
        <v>0</v>
      </c>
      <c r="H75" s="1824"/>
      <c r="I75" s="2121"/>
      <c r="K75" s="347"/>
    </row>
    <row r="76" spans="1:19" x14ac:dyDescent="0.2">
      <c r="C76" s="1933" t="s">
        <v>606</v>
      </c>
      <c r="D76" s="1821" t="e">
        <f>D24</f>
        <v>#N/A</v>
      </c>
      <c r="E76" s="1824">
        <v>0</v>
      </c>
      <c r="F76" s="2189" t="s">
        <v>38</v>
      </c>
      <c r="G76" s="1821">
        <f>H24</f>
        <v>8608</v>
      </c>
      <c r="H76" s="1824">
        <v>0</v>
      </c>
      <c r="I76" s="2121" t="s">
        <v>38</v>
      </c>
      <c r="K76" s="347"/>
    </row>
    <row r="77" spans="1:19" hidden="1" x14ac:dyDescent="0.2">
      <c r="C77" s="1725" t="s">
        <v>149</v>
      </c>
      <c r="D77" s="1821">
        <f>D233</f>
        <v>0</v>
      </c>
      <c r="E77" s="1824">
        <f>E233</f>
        <v>0</v>
      </c>
      <c r="F77" s="2189" t="s">
        <v>38</v>
      </c>
      <c r="G77" s="1821">
        <f>G233</f>
        <v>0</v>
      </c>
      <c r="H77" s="1824">
        <f>H233</f>
        <v>0</v>
      </c>
      <c r="I77" s="2195" t="s">
        <v>38</v>
      </c>
      <c r="K77" s="347">
        <f t="shared" si="15"/>
        <v>0</v>
      </c>
      <c r="P77" s="191" t="e">
        <f t="shared" si="16"/>
        <v>#VALUE!</v>
      </c>
      <c r="Q77" s="191" t="e">
        <f t="shared" si="17"/>
        <v>#VALUE!</v>
      </c>
    </row>
    <row r="78" spans="1:19" x14ac:dyDescent="0.2">
      <c r="C78" s="2186" t="s">
        <v>402</v>
      </c>
      <c r="D78" s="1825" t="e">
        <f>SUM(D65:D77)</f>
        <v>#REF!</v>
      </c>
      <c r="E78" s="1861">
        <f>SUM(E65:E77)</f>
        <v>3491.8409999999999</v>
      </c>
      <c r="F78" s="2190" t="e">
        <f t="shared" ref="F78:F83" si="18">IF(OR(((D78-E78)/E78)&gt;3,((D78-E78)/E78)&lt;-3),"n.m.",((D78-E78)/E78))</f>
        <v>#REF!</v>
      </c>
      <c r="G78" s="1825">
        <f>SUM(G65:G77)</f>
        <v>39483.502999999997</v>
      </c>
      <c r="H78" s="1861" t="e">
        <f>SUM(H65:H77)</f>
        <v>#REF!</v>
      </c>
      <c r="I78" s="2196" t="e">
        <f t="shared" ref="I78:I83" si="19">IF(OR(((G78-H78)/H78)&gt;3,((G78-H78)/H78)&lt;-3),"n.m.",((G78-H78)/H78))</f>
        <v>#REF!</v>
      </c>
      <c r="K78" s="347" t="e">
        <f t="shared" si="15"/>
        <v>#REF!</v>
      </c>
      <c r="P78" s="191" t="e">
        <f t="shared" si="16"/>
        <v>#REF!</v>
      </c>
      <c r="Q78" s="191" t="e">
        <f t="shared" si="17"/>
        <v>#REF!</v>
      </c>
    </row>
    <row r="79" spans="1:19" hidden="1" x14ac:dyDescent="0.2">
      <c r="C79" s="1721" t="s">
        <v>484</v>
      </c>
      <c r="D79" s="1821">
        <f>D62</f>
        <v>331600</v>
      </c>
      <c r="E79" s="1824">
        <f>E62</f>
        <v>309442</v>
      </c>
      <c r="F79" s="2189">
        <f t="shared" si="18"/>
        <v>7.1606310714124127E-2</v>
      </c>
      <c r="G79" s="1821">
        <f>G62</f>
        <v>1190567</v>
      </c>
      <c r="H79" s="1824">
        <f>H62</f>
        <v>1022877</v>
      </c>
      <c r="I79" s="2121">
        <f t="shared" si="19"/>
        <v>0.16393955480473213</v>
      </c>
      <c r="K79" s="347">
        <f t="shared" si="15"/>
        <v>167690</v>
      </c>
      <c r="P79" s="191">
        <f t="shared" si="16"/>
        <v>0</v>
      </c>
      <c r="Q79" s="191">
        <f t="shared" si="17"/>
        <v>0</v>
      </c>
    </row>
    <row r="80" spans="1:19" x14ac:dyDescent="0.2">
      <c r="C80" s="1741" t="s">
        <v>403</v>
      </c>
      <c r="D80" s="2072">
        <f>HLOOKUP($B$4,'2 Consolidated IS'!$11:$88,ROW('2 Consolidated IS'!$A$70)-10,0)</f>
        <v>285702</v>
      </c>
      <c r="E80" s="2073">
        <f>HLOOKUP($B$5,'2 Consolidated IS'!$11:$88,ROW('2 Consolidated IS'!$A$70)-10,0)</f>
        <v>259160</v>
      </c>
      <c r="F80" s="2191">
        <f t="shared" si="18"/>
        <v>0.10241549621855224</v>
      </c>
      <c r="G80" s="2072">
        <f>H44</f>
        <v>1054981</v>
      </c>
      <c r="H80" s="2073">
        <f>I44</f>
        <v>912270</v>
      </c>
      <c r="I80" s="2195">
        <f t="shared" si="19"/>
        <v>0.15643504664189331</v>
      </c>
      <c r="K80" s="347">
        <f t="shared" si="15"/>
        <v>142711</v>
      </c>
      <c r="M80" s="191">
        <f>G59-G78</f>
        <v>1058427.497</v>
      </c>
      <c r="P80" s="191">
        <f t="shared" si="16"/>
        <v>0</v>
      </c>
      <c r="Q80" s="191">
        <f t="shared" si="17"/>
        <v>0</v>
      </c>
    </row>
    <row r="81" spans="3:17" x14ac:dyDescent="0.2">
      <c r="C81" s="1721" t="s">
        <v>404</v>
      </c>
      <c r="D81" s="1821">
        <f>D45</f>
        <v>45898</v>
      </c>
      <c r="E81" s="1824">
        <f>E45</f>
        <v>50282</v>
      </c>
      <c r="F81" s="2189">
        <f t="shared" si="18"/>
        <v>-8.7188258223618795E-2</v>
      </c>
      <c r="G81" s="1821">
        <f>H45</f>
        <v>135586</v>
      </c>
      <c r="H81" s="1824">
        <f>I45</f>
        <v>110607</v>
      </c>
      <c r="I81" s="2121">
        <f t="shared" si="19"/>
        <v>0.22583561619065701</v>
      </c>
      <c r="K81" s="347">
        <f t="shared" si="15"/>
        <v>24979</v>
      </c>
      <c r="P81" s="191">
        <f t="shared" si="16"/>
        <v>0</v>
      </c>
    </row>
    <row r="82" spans="3:17" x14ac:dyDescent="0.2">
      <c r="C82" s="1721" t="s">
        <v>405</v>
      </c>
      <c r="D82" s="1821">
        <f>HLOOKUP($B$4,'1 Financial Highlights'!$10:$81,ROW('1 Financial Highlights'!$A$69)-9,0)</f>
        <v>9055</v>
      </c>
      <c r="E82" s="1824">
        <f>HLOOKUP($B$5,'1 Financial Highlights'!$10:$81,ROW('1 Financial Highlights'!$A$69)-9,0)</f>
        <v>11100</v>
      </c>
      <c r="F82" s="2189">
        <f t="shared" si="18"/>
        <v>-0.18423423423423424</v>
      </c>
      <c r="G82" s="1821">
        <f>INDEX('1 Financial Highlights'!$A$1:$AB$85,ROW('1 Financial Highlights'!$A69),COLUMN('1 Financial Highlights'!$P$1))</f>
        <v>28231</v>
      </c>
      <c r="H82" s="1824">
        <f>INDEX('1 Financial Highlights'!$A$1:$AB$85,ROW('1 Financial Highlights'!$A69),COLUMN('1 Financial Highlights'!$Q$1))</f>
        <v>28950</v>
      </c>
      <c r="I82" s="2121">
        <f t="shared" si="19"/>
        <v>-2.4835924006908462E-2</v>
      </c>
      <c r="K82" s="347">
        <f t="shared" si="15"/>
        <v>-719</v>
      </c>
      <c r="P82" s="191">
        <f t="shared" si="16"/>
        <v>0</v>
      </c>
    </row>
    <row r="83" spans="3:17" x14ac:dyDescent="0.2">
      <c r="C83" s="1721" t="s">
        <v>406</v>
      </c>
      <c r="D83" s="1821">
        <f>D81-D82</f>
        <v>36843</v>
      </c>
      <c r="E83" s="1824">
        <f>E81-E82</f>
        <v>39182</v>
      </c>
      <c r="F83" s="2189">
        <f t="shared" si="18"/>
        <v>-5.9695778673880866E-2</v>
      </c>
      <c r="G83" s="1821">
        <f>G81-G82</f>
        <v>107355</v>
      </c>
      <c r="H83" s="1824">
        <f>H81-H82</f>
        <v>81657</v>
      </c>
      <c r="I83" s="2121">
        <f t="shared" si="19"/>
        <v>0.31470663874499433</v>
      </c>
      <c r="K83" s="347">
        <f t="shared" si="15"/>
        <v>25698</v>
      </c>
      <c r="P83" s="191">
        <f t="shared" si="16"/>
        <v>0</v>
      </c>
    </row>
    <row r="84" spans="3:17" x14ac:dyDescent="0.2">
      <c r="C84" s="1752" t="s">
        <v>407</v>
      </c>
      <c r="D84" s="1826">
        <f>D50</f>
        <v>34491</v>
      </c>
      <c r="E84" s="1827">
        <f>E50</f>
        <v>34665</v>
      </c>
      <c r="F84" s="2192">
        <f>IF(OR(((D84-E84)/E84)&gt;3,((D84-E84)/E84)&lt;-3),"n.m.",((D84-E84)/ABS(E84)))</f>
        <v>-5.0194720900043274E-3</v>
      </c>
      <c r="G84" s="1826">
        <f>H50</f>
        <v>96899</v>
      </c>
      <c r="H84" s="1827">
        <f>I50</f>
        <v>68011</v>
      </c>
      <c r="I84" s="2197">
        <f>IF(OR(((G84-H84)/H84)&gt;3,((G84-H84)/H84)&lt;-3),"n.m.",((G84-H84)/ABS(H84)))</f>
        <v>0.42475481907338519</v>
      </c>
      <c r="K84" s="347">
        <f t="shared" si="15"/>
        <v>28888</v>
      </c>
      <c r="P84" s="191">
        <f t="shared" si="16"/>
        <v>0</v>
      </c>
      <c r="Q84" s="191">
        <f>IF((G84-H84)*I84&lt;0,"Reverse Sign",)</f>
        <v>0</v>
      </c>
    </row>
    <row r="85" spans="3:17" x14ac:dyDescent="0.2">
      <c r="C85" s="1721" t="s">
        <v>408</v>
      </c>
      <c r="D85" s="1828">
        <f>HLOOKUP($B$4,'2 Consolidated IS'!$11:$88,ROW('2 Consolidated IS'!$A$82)-10,0)</f>
        <v>0.35</v>
      </c>
      <c r="E85" s="1829">
        <f>HLOOKUP($B$5,'2 Consolidated IS'!$11:$88,ROW('2 Consolidated IS'!$A$82)-10,0)</f>
        <v>0.38</v>
      </c>
      <c r="F85" s="2189">
        <f>IF(OR(((D85-E85)/E85)&gt;3,((D85-E85)/E85)&lt;-3),"n.m.",((D85-E85)/ABS(E85)))</f>
        <v>-7.8947368421052697E-2</v>
      </c>
      <c r="G85" s="1828">
        <f>INDEX('2 Consolidated IS'!$A$1:$AA$94,ROW('2 Consolidated IS'!$A82),COLUMN('2 Consolidated IS'!$P$1))</f>
        <v>1.01</v>
      </c>
      <c r="H85" s="1829">
        <f>INDEX('2 Consolidated IS'!$A$1:$AA$94,ROW('2 Consolidated IS'!$A82),COLUMN('2 Consolidated IS'!$Q$1))</f>
        <v>0.73</v>
      </c>
      <c r="I85" s="2121">
        <f>IF(OR(((G85-H85)/H85)&gt;3,((G85-H85)/H85)&lt;-3),"n.m.",((G85-H85)/ABS(H85)))</f>
        <v>0.38356164383561647</v>
      </c>
      <c r="K85" s="1778">
        <f t="shared" si="15"/>
        <v>0.28000000000000003</v>
      </c>
      <c r="P85" s="191">
        <f t="shared" si="16"/>
        <v>0</v>
      </c>
      <c r="Q85" s="191">
        <f>IF((G85-H85)*I85&lt;0,"Reverse Sign",)</f>
        <v>0</v>
      </c>
    </row>
    <row r="86" spans="3:17" ht="13.5" thickBot="1" x14ac:dyDescent="0.25">
      <c r="C86" s="1720" t="s">
        <v>409</v>
      </c>
      <c r="D86" s="1830">
        <f>D51</f>
        <v>0.28000000000000003</v>
      </c>
      <c r="E86" s="1831">
        <f>E51</f>
        <v>0.31</v>
      </c>
      <c r="F86" s="2188">
        <f>IF(OR(((D86-E86)/E86)&gt;3,((D86-E86)/E86)&lt;-3),"n.m.",((D86-E86)/ABS(E86)))</f>
        <v>-9.6774193548387011E-2</v>
      </c>
      <c r="G86" s="1830">
        <f>H51</f>
        <v>0.8</v>
      </c>
      <c r="H86" s="1831">
        <f>I51</f>
        <v>0.59</v>
      </c>
      <c r="I86" s="2194">
        <f>IF(OR(((G86-H86)/H86)&gt;3,((G86-H86)/H86)&lt;-3),"n.m.",((G86-H86)/ABS(H86)))</f>
        <v>0.35593220338983067</v>
      </c>
      <c r="K86" s="1778">
        <f t="shared" si="15"/>
        <v>0.21000000000000008</v>
      </c>
      <c r="P86" s="191">
        <f t="shared" si="16"/>
        <v>0</v>
      </c>
      <c r="Q86" s="191">
        <f>IF((G86-H86)*I86&lt;0,"Reverse Sign",)</f>
        <v>0</v>
      </c>
    </row>
    <row r="87" spans="3:17" x14ac:dyDescent="0.2">
      <c r="C87" s="1726" t="s">
        <v>410</v>
      </c>
      <c r="G87" s="2056"/>
      <c r="H87" s="2056"/>
      <c r="I87" s="2056"/>
    </row>
    <row r="88" spans="3:17" x14ac:dyDescent="0.2">
      <c r="C88" s="1726" t="s">
        <v>411</v>
      </c>
      <c r="G88" s="2056"/>
      <c r="H88" s="2056"/>
      <c r="I88" s="2056"/>
    </row>
    <row r="89" spans="3:17" x14ac:dyDescent="0.2">
      <c r="G89" s="2056"/>
      <c r="H89" s="2056"/>
      <c r="I89" s="2056"/>
    </row>
    <row r="90" spans="3:17" x14ac:dyDescent="0.2">
      <c r="G90" s="2056"/>
      <c r="H90" s="2056"/>
      <c r="I90" s="2056"/>
    </row>
    <row r="91" spans="3:17" x14ac:dyDescent="0.2">
      <c r="F91" s="1742"/>
      <c r="G91" s="2074"/>
      <c r="H91" s="2056"/>
      <c r="I91" s="2056"/>
    </row>
    <row r="92" spans="3:17" ht="15" thickBot="1" x14ac:dyDescent="0.25">
      <c r="C92" s="1832" t="s">
        <v>437</v>
      </c>
      <c r="D92" s="1833"/>
      <c r="E92" s="1833"/>
      <c r="F92" s="1833"/>
      <c r="G92" s="2075"/>
      <c r="H92" s="2075"/>
      <c r="I92" s="2075"/>
    </row>
    <row r="93" spans="3:17" ht="12.75" customHeight="1" x14ac:dyDescent="0.2">
      <c r="C93" s="2350"/>
      <c r="D93" s="2363" t="str">
        <f>D56</f>
        <v>Three months ended December 31</v>
      </c>
      <c r="E93" s="2363"/>
      <c r="F93" s="2352" t="s">
        <v>392</v>
      </c>
      <c r="G93" s="2363" t="str">
        <f>G56</f>
        <v>Nine months ended December 31</v>
      </c>
      <c r="H93" s="2363"/>
      <c r="I93" s="2355" t="s">
        <v>438</v>
      </c>
    </row>
    <row r="94" spans="3:17" ht="22.5" customHeight="1" x14ac:dyDescent="0.2">
      <c r="C94" s="2351"/>
      <c r="D94" s="2346"/>
      <c r="E94" s="2346"/>
      <c r="F94" s="2353"/>
      <c r="G94" s="2346"/>
      <c r="H94" s="2346"/>
      <c r="I94" s="2356"/>
    </row>
    <row r="95" spans="3:17" ht="13.5" thickBot="1" x14ac:dyDescent="0.25">
      <c r="C95" s="1834"/>
      <c r="D95" s="1835">
        <v>2018</v>
      </c>
      <c r="E95" s="1835">
        <v>2017</v>
      </c>
      <c r="F95" s="2354"/>
      <c r="G95" s="2077">
        <f>D95</f>
        <v>2018</v>
      </c>
      <c r="H95" s="2077">
        <f>E95</f>
        <v>2017</v>
      </c>
      <c r="I95" s="2357"/>
    </row>
    <row r="96" spans="3:17" x14ac:dyDescent="0.2">
      <c r="C96" s="1836" t="s">
        <v>439</v>
      </c>
      <c r="D96" s="1744">
        <f t="shared" ref="D96:E98" si="20">D18/D$16</f>
        <v>7.4110373944511462E-2</v>
      </c>
      <c r="E96" s="1882">
        <f t="shared" si="20"/>
        <v>5.3389649756658761E-2</v>
      </c>
      <c r="F96" s="2180">
        <f t="shared" ref="F96:F98" si="21">(D96-E96)*100</f>
        <v>2.0720724187852699</v>
      </c>
      <c r="G96" s="2078">
        <f t="shared" ref="G96:H98" si="22">H18/H$16</f>
        <v>0.50384984633372165</v>
      </c>
      <c r="H96" s="2079">
        <f t="shared" si="22"/>
        <v>0.51483609466240809</v>
      </c>
      <c r="I96" s="2182">
        <f t="shared" ref="I96:I103" si="23">(G96-H96)*100</f>
        <v>-1.0986248328686443</v>
      </c>
    </row>
    <row r="97" spans="1:17" x14ac:dyDescent="0.2">
      <c r="C97" s="1836" t="s">
        <v>61</v>
      </c>
      <c r="D97" s="1744">
        <f t="shared" si="20"/>
        <v>8.8118214716525936E-2</v>
      </c>
      <c r="E97" s="1879">
        <f t="shared" si="20"/>
        <v>8.5757589467493095E-2</v>
      </c>
      <c r="F97" s="2180">
        <f t="shared" si="21"/>
        <v>0.23606252490328411</v>
      </c>
      <c r="G97" s="2078">
        <f t="shared" si="22"/>
        <v>9.8069239278427839E-2</v>
      </c>
      <c r="H97" s="2079">
        <f t="shared" si="22"/>
        <v>9.70194852362503E-2</v>
      </c>
      <c r="I97" s="2183">
        <f t="shared" si="23"/>
        <v>0.10497540421775392</v>
      </c>
    </row>
    <row r="98" spans="1:17" ht="13.5" x14ac:dyDescent="0.2">
      <c r="C98" s="1836" t="s">
        <v>440</v>
      </c>
      <c r="D98" s="1744" t="e">
        <f t="shared" si="20"/>
        <v>#N/A</v>
      </c>
      <c r="E98" s="1879" t="e">
        <f t="shared" si="20"/>
        <v>#N/A</v>
      </c>
      <c r="F98" s="2180" t="e">
        <f t="shared" si="21"/>
        <v>#N/A</v>
      </c>
      <c r="G98" s="2078">
        <f t="shared" si="22"/>
        <v>0.29921877559179788</v>
      </c>
      <c r="H98" s="2079">
        <f t="shared" si="22"/>
        <v>0.3388530585788907</v>
      </c>
      <c r="I98" s="2183">
        <f t="shared" si="23"/>
        <v>-3.9634282987092817</v>
      </c>
    </row>
    <row r="99" spans="1:17" x14ac:dyDescent="0.2">
      <c r="A99" s="1742" t="s">
        <v>441</v>
      </c>
      <c r="C99" s="1836" t="s">
        <v>149</v>
      </c>
      <c r="D99" s="1744">
        <f>D22/D$16</f>
        <v>0</v>
      </c>
      <c r="E99" s="1879">
        <f>E22/E$16</f>
        <v>0</v>
      </c>
      <c r="F99" s="2180">
        <f>(D99-E99)*100</f>
        <v>0</v>
      </c>
      <c r="G99" s="2078">
        <f>H22/H$16</f>
        <v>1.0977962601012794E-2</v>
      </c>
      <c r="H99" s="2079">
        <f>I22/I$16</f>
        <v>7.4720616457306203E-3</v>
      </c>
      <c r="I99" s="2183">
        <f>(G99-H99)*100</f>
        <v>0.3505900955282174</v>
      </c>
    </row>
    <row r="100" spans="1:17" x14ac:dyDescent="0.2">
      <c r="A100" s="1742"/>
      <c r="C100" s="1836" t="s">
        <v>169</v>
      </c>
      <c r="D100" s="1744">
        <f>D21/D$16</f>
        <v>5.1266586248492163E-4</v>
      </c>
      <c r="E100" s="1879">
        <f>E21/E$16</f>
        <v>0</v>
      </c>
      <c r="F100" s="2180">
        <f>(D100-E100)*100</f>
        <v>5.126658624849216E-2</v>
      </c>
      <c r="G100" s="2078">
        <f>H21/H$16</f>
        <v>2.5735636885618365E-3</v>
      </c>
      <c r="H100" s="2079">
        <f>I21/I$16</f>
        <v>6.581436477699665E-3</v>
      </c>
      <c r="I100" s="2183">
        <f>(G100-H100)*100</f>
        <v>-0.40078727891378291</v>
      </c>
    </row>
    <row r="101" spans="1:17" x14ac:dyDescent="0.2">
      <c r="A101" s="1742"/>
      <c r="C101" s="2153" t="s">
        <v>580</v>
      </c>
      <c r="D101" s="1744" t="e">
        <f t="shared" ref="D101:E103" si="24">D24/D$16</f>
        <v>#N/A</v>
      </c>
      <c r="E101" s="1879" t="e">
        <f t="shared" si="24"/>
        <v>#N/A</v>
      </c>
      <c r="F101" s="2180" t="e">
        <f>(D101-E101)*100</f>
        <v>#N/A</v>
      </c>
      <c r="G101" s="2078">
        <f t="shared" ref="G101:H103" si="25">H24/H$16</f>
        <v>7.2301684827481361E-3</v>
      </c>
      <c r="H101" s="2079">
        <f t="shared" si="25"/>
        <v>0</v>
      </c>
      <c r="I101" s="2183">
        <f>(G101-H101)*100</f>
        <v>0.72301684827481361</v>
      </c>
    </row>
    <row r="102" spans="1:17" ht="13.5" thickBot="1" x14ac:dyDescent="0.25">
      <c r="A102" s="1742" t="s">
        <v>441</v>
      </c>
      <c r="C102" s="2153" t="s">
        <v>521</v>
      </c>
      <c r="D102" s="1744">
        <f t="shared" si="24"/>
        <v>4.7346200241254522E-4</v>
      </c>
      <c r="E102" s="1879">
        <f t="shared" si="24"/>
        <v>3.0377259712644047E-4</v>
      </c>
      <c r="F102" s="2180">
        <f>(D102-E102)*100</f>
        <v>1.6968940528610473E-2</v>
      </c>
      <c r="G102" s="2078">
        <f t="shared" si="25"/>
        <v>2.5534052262493417E-4</v>
      </c>
      <c r="H102" s="2079">
        <f t="shared" si="25"/>
        <v>2.9133512631528521E-4</v>
      </c>
      <c r="I102" s="2183">
        <f>(G102-H102)*100</f>
        <v>-3.5994603690351042E-3</v>
      </c>
    </row>
    <row r="103" spans="1:17" ht="13.5" thickBot="1" x14ac:dyDescent="0.25">
      <c r="C103" s="1837" t="s">
        <v>55</v>
      </c>
      <c r="D103" s="1740">
        <f t="shared" si="24"/>
        <v>0.8775361881785283</v>
      </c>
      <c r="E103" s="1881">
        <f t="shared" si="24"/>
        <v>0.84849180137150093</v>
      </c>
      <c r="F103" s="2181">
        <f>(D103-E103)*100</f>
        <v>2.9044386807027367</v>
      </c>
      <c r="G103" s="2081">
        <f t="shared" si="25"/>
        <v>0.92217489649889506</v>
      </c>
      <c r="H103" s="2082">
        <f t="shared" si="25"/>
        <v>0.96505347172729472</v>
      </c>
      <c r="I103" s="2184">
        <f t="shared" si="23"/>
        <v>-4.2878575228399658</v>
      </c>
    </row>
    <row r="104" spans="1:17" x14ac:dyDescent="0.2">
      <c r="G104" s="2056"/>
      <c r="H104" s="2056"/>
      <c r="I104" s="2056"/>
    </row>
    <row r="105" spans="1:17" x14ac:dyDescent="0.2">
      <c r="G105" s="2056"/>
      <c r="H105" s="2056"/>
      <c r="I105" s="2056"/>
    </row>
    <row r="106" spans="1:17" x14ac:dyDescent="0.2">
      <c r="G106" s="2056"/>
      <c r="H106" s="2056"/>
      <c r="I106" s="2056"/>
    </row>
    <row r="107" spans="1:17" ht="16.5" thickBot="1" x14ac:dyDescent="0.25">
      <c r="C107" s="1838" t="s">
        <v>385</v>
      </c>
      <c r="D107" s="1817"/>
      <c r="E107" s="1817"/>
      <c r="F107" s="1817"/>
      <c r="G107" s="2083"/>
      <c r="H107" s="2083"/>
      <c r="I107" s="2083"/>
    </row>
    <row r="108" spans="1:17" x14ac:dyDescent="0.2">
      <c r="C108" s="2358"/>
      <c r="D108" s="1745"/>
      <c r="E108" s="1746"/>
      <c r="F108" s="2360" t="s">
        <v>392</v>
      </c>
      <c r="G108" s="2084"/>
      <c r="H108" s="2085"/>
      <c r="I108" s="2334" t="s">
        <v>438</v>
      </c>
    </row>
    <row r="109" spans="1:17" ht="34.5" customHeight="1" x14ac:dyDescent="0.2">
      <c r="C109" s="2359"/>
      <c r="D109" s="2379" t="str">
        <f>D93</f>
        <v>Three months ended December 31</v>
      </c>
      <c r="E109" s="2379"/>
      <c r="F109" s="2361"/>
      <c r="G109" s="2330">
        <f>G94</f>
        <v>0</v>
      </c>
      <c r="H109" s="2330"/>
      <c r="I109" s="2335"/>
    </row>
    <row r="110" spans="1:17" ht="13.5" thickBot="1" x14ac:dyDescent="0.25">
      <c r="C110" s="1859" t="s">
        <v>442</v>
      </c>
      <c r="D110" s="1863">
        <f>D95</f>
        <v>2018</v>
      </c>
      <c r="E110" s="1863">
        <f>E95</f>
        <v>2017</v>
      </c>
      <c r="F110" s="2362"/>
      <c r="G110" s="2086">
        <f>D110</f>
        <v>2018</v>
      </c>
      <c r="H110" s="2086">
        <f>E110</f>
        <v>2017</v>
      </c>
      <c r="I110" s="2336"/>
    </row>
    <row r="111" spans="1:17" x14ac:dyDescent="0.2">
      <c r="C111" s="1839" t="s">
        <v>88</v>
      </c>
      <c r="D111" s="1748">
        <f>HLOOKUP($B$4,'2 Consolidated IS'!$11:$88,ROW('2 Consolidated IS'!$A$24)-10,0)</f>
        <v>24575</v>
      </c>
      <c r="E111" s="1753">
        <f>HLOOKUP($B$5,'2 Consolidated IS'!$11:$88,ROW('2 Consolidated IS'!$A$24)-10,0)</f>
        <v>16521</v>
      </c>
      <c r="F111" s="1732">
        <f t="shared" ref="F111:F118" si="26">IF(OR(((D111-E111)/E111)&gt;3,((D111-E111)/E111)&lt;-3),"n.m.",((D111-E111)/E111))</f>
        <v>0.48750075661279585</v>
      </c>
      <c r="G111" s="2087">
        <f>INDEX('2 Consolidated IS'!$A$1:$AA$94,ROW('2 Consolidated IS'!$A24),COLUMN('2 Consolidated IS'!$P$1))</f>
        <v>83577</v>
      </c>
      <c r="H111" s="2088">
        <f>INDEX('2 Consolidated IS'!$A$1:$AA$94,ROW('2 Consolidated IS'!$A24),COLUMN('2 Consolidated IS'!$Q$1))</f>
        <v>68209</v>
      </c>
      <c r="I111" s="2069">
        <f t="shared" ref="I111:I118" si="27">IF(OR(((G111-H111)/H111)&gt;3,((G111-H111)/H111)&lt;-3),"n.m.",((G111-H111)/H111))</f>
        <v>0.22530751073905203</v>
      </c>
      <c r="P111" s="191">
        <f t="shared" ref="P111:P118" si="28">IF((D111-E111)*F111&lt;0,"Reverse Sign",)</f>
        <v>0</v>
      </c>
      <c r="Q111" s="191">
        <f t="shared" ref="Q111:Q118" si="29">IF((G111-H111)*I111&lt;0,"Reverse Sign",)</f>
        <v>0</v>
      </c>
    </row>
    <row r="112" spans="1:17" x14ac:dyDescent="0.2">
      <c r="C112" s="1839" t="s">
        <v>63</v>
      </c>
      <c r="D112" s="1748">
        <f>HLOOKUP($B$4,'2 Consolidated IS'!$11:$88,ROW('2 Consolidated IS'!$A$25)-10,0)</f>
        <v>10647</v>
      </c>
      <c r="E112" s="1753">
        <f>HLOOKUP($B$5,'2 Consolidated IS'!$11:$88,ROW('2 Consolidated IS'!$A$25)-10,0)</f>
        <v>10511</v>
      </c>
      <c r="F112" s="1732">
        <f t="shared" si="26"/>
        <v>1.2938825991818096E-2</v>
      </c>
      <c r="G112" s="2087">
        <f>INDEX('2 Consolidated IS'!$A$1:$AA$94,ROW('2 Consolidated IS'!$A25),COLUMN('2 Consolidated IS'!$P$1))</f>
        <v>41719</v>
      </c>
      <c r="H112" s="2088">
        <f>INDEX('2 Consolidated IS'!$A$1:$AA$94,ROW('2 Consolidated IS'!$A25),COLUMN('2 Consolidated IS'!$Q$1))</f>
        <v>39605</v>
      </c>
      <c r="I112" s="2054">
        <f t="shared" si="27"/>
        <v>5.3377098851155158E-2</v>
      </c>
      <c r="P112" s="191">
        <f t="shared" si="28"/>
        <v>0</v>
      </c>
      <c r="Q112" s="191">
        <f t="shared" si="29"/>
        <v>0</v>
      </c>
    </row>
    <row r="113" spans="3:17" x14ac:dyDescent="0.2">
      <c r="C113" s="1839" t="s">
        <v>64</v>
      </c>
      <c r="D113" s="1748">
        <f>HLOOKUP($B$4,'2 Consolidated IS'!$11:$88,ROW('2 Consolidated IS'!$A$26)-10,0)</f>
        <v>16575</v>
      </c>
      <c r="E113" s="1753">
        <f>HLOOKUP($B$5,'2 Consolidated IS'!$11:$88,ROW('2 Consolidated IS'!$A$26)-10,0)</f>
        <v>14558</v>
      </c>
      <c r="F113" s="1732">
        <f t="shared" si="26"/>
        <v>0.13854925127077897</v>
      </c>
      <c r="G113" s="2087">
        <f>INDEX('2 Consolidated IS'!$A$1:$AA$94,ROW('2 Consolidated IS'!$A26),COLUMN('2 Consolidated IS'!$P$1))</f>
        <v>64930</v>
      </c>
      <c r="H113" s="2088">
        <f>INDEX('2 Consolidated IS'!$A$1:$AA$94,ROW('2 Consolidated IS'!$A26),COLUMN('2 Consolidated IS'!$Q$1))</f>
        <v>56346</v>
      </c>
      <c r="I113" s="2054">
        <f t="shared" si="27"/>
        <v>0.15234444326127852</v>
      </c>
      <c r="P113" s="191">
        <f t="shared" si="28"/>
        <v>0</v>
      </c>
      <c r="Q113" s="191">
        <f t="shared" si="29"/>
        <v>0</v>
      </c>
    </row>
    <row r="114" spans="3:17" x14ac:dyDescent="0.2">
      <c r="C114" s="1839" t="s">
        <v>59</v>
      </c>
      <c r="D114" s="1748">
        <f>HLOOKUP($B$4,'2 Consolidated IS'!$11:$88,ROW('2 Consolidated IS'!$A$27)-10,0)</f>
        <v>5903</v>
      </c>
      <c r="E114" s="1753">
        <f>HLOOKUP($B$5,'2 Consolidated IS'!$11:$88,ROW('2 Consolidated IS'!$A$27)-10,0)</f>
        <v>4171</v>
      </c>
      <c r="F114" s="1732">
        <f t="shared" si="26"/>
        <v>0.41524814193239029</v>
      </c>
      <c r="G114" s="2087">
        <f>INDEX('2 Consolidated IS'!$A$1:$AA$94,ROW('2 Consolidated IS'!$A27),COLUMN('2 Consolidated IS'!$P$1))</f>
        <v>25453</v>
      </c>
      <c r="H114" s="2088">
        <f>INDEX('2 Consolidated IS'!$A$1:$AA$94,ROW('2 Consolidated IS'!$A27),COLUMN('2 Consolidated IS'!$Q$1))</f>
        <v>18437</v>
      </c>
      <c r="I114" s="2054">
        <f t="shared" si="27"/>
        <v>0.3805391332646309</v>
      </c>
      <c r="P114" s="191">
        <f t="shared" si="28"/>
        <v>0</v>
      </c>
      <c r="Q114" s="191">
        <f t="shared" si="29"/>
        <v>0</v>
      </c>
    </row>
    <row r="115" spans="3:17" x14ac:dyDescent="0.2">
      <c r="C115" s="1839" t="s">
        <v>85</v>
      </c>
      <c r="D115" s="1748">
        <f>HLOOKUP($B$4,'2 Consolidated IS'!$11:$88,ROW('2 Consolidated IS'!$A$28)-10,0)</f>
        <v>26689</v>
      </c>
      <c r="E115" s="1753">
        <f>HLOOKUP($B$5,'2 Consolidated IS'!$11:$88,ROW('2 Consolidated IS'!$A$28)-10,0)</f>
        <v>23108</v>
      </c>
      <c r="F115" s="1732">
        <f t="shared" si="26"/>
        <v>0.15496797645836941</v>
      </c>
      <c r="G115" s="2087">
        <f>INDEX('2 Consolidated IS'!$A$1:$AA$94,ROW('2 Consolidated IS'!$A28),COLUMN('2 Consolidated IS'!$P$1))</f>
        <v>100768</v>
      </c>
      <c r="H115" s="2088">
        <f>INDEX('2 Consolidated IS'!$A$1:$AA$94,ROW('2 Consolidated IS'!$A28),COLUMN('2 Consolidated IS'!$Q$1))</f>
        <v>83982</v>
      </c>
      <c r="I115" s="2054">
        <f>IF(OR(((G115-H115)/H115)&gt;3,((G115-H115)/H115)&lt;-3),"n.m.",((G115-H115)/H115))</f>
        <v>0.19987616393989188</v>
      </c>
      <c r="P115" s="191">
        <f t="shared" si="28"/>
        <v>0</v>
      </c>
      <c r="Q115" s="191">
        <f t="shared" si="29"/>
        <v>0</v>
      </c>
    </row>
    <row r="116" spans="3:17" ht="13.5" x14ac:dyDescent="0.2">
      <c r="C116" s="1839" t="s">
        <v>443</v>
      </c>
      <c r="D116" s="1748">
        <f>HLOOKUP($B$4,'2 Consolidated IS'!$11:$88,ROW('2 Consolidated IS'!$A$29)-10,0)</f>
        <v>5675</v>
      </c>
      <c r="E116" s="1753">
        <f>HLOOKUP($B$5,'2 Consolidated IS'!$11:$88,ROW('2 Consolidated IS'!$A$29)-10,0)</f>
        <v>6916</v>
      </c>
      <c r="F116" s="1732">
        <f t="shared" si="26"/>
        <v>-0.17943898207056103</v>
      </c>
      <c r="G116" s="2087">
        <f>INDEX('2 Consolidated IS'!$A$1:$AA$94,ROW('2 Consolidated IS'!$A29),COLUMN('2 Consolidated IS'!$P$1))</f>
        <v>24280</v>
      </c>
      <c r="H116" s="2088">
        <f>INDEX('2 Consolidated IS'!$A$1:$AA$94,ROW('2 Consolidated IS'!$A29),COLUMN('2 Consolidated IS'!$Q$1))</f>
        <v>24007</v>
      </c>
      <c r="I116" s="2054">
        <f t="shared" si="27"/>
        <v>1.1371683259049444E-2</v>
      </c>
      <c r="P116" s="191">
        <f t="shared" si="28"/>
        <v>0</v>
      </c>
      <c r="Q116" s="191">
        <f t="shared" si="29"/>
        <v>0</v>
      </c>
    </row>
    <row r="117" spans="3:17" ht="13.5" thickBot="1" x14ac:dyDescent="0.25">
      <c r="C117" s="1839" t="s">
        <v>67</v>
      </c>
      <c r="D117" s="1748">
        <f>HLOOKUP($B$4,'2 Consolidated IS'!$11:$88,ROW('2 Consolidated IS'!$A$30)-10,0)</f>
        <v>4661</v>
      </c>
      <c r="E117" s="1753">
        <f>HLOOKUP($B$5,'2 Consolidated IS'!$11:$88,ROW('2 Consolidated IS'!$A$30)-10,0)</f>
        <v>1512</v>
      </c>
      <c r="F117" s="1732">
        <f t="shared" si="26"/>
        <v>2.0826719576719577</v>
      </c>
      <c r="G117" s="2087">
        <f>INDEX('2 Consolidated IS'!$A$1:$AA$94,ROW('2 Consolidated IS'!$A30),COLUMN('2 Consolidated IS'!$P$1))</f>
        <v>15513</v>
      </c>
      <c r="H117" s="2088">
        <f>INDEX('2 Consolidated IS'!$A$1:$AA$94,ROW('2 Consolidated IS'!$A30),COLUMN('2 Consolidated IS'!$Q$1))</f>
        <v>7664</v>
      </c>
      <c r="I117" s="2054">
        <f t="shared" si="27"/>
        <v>1.0241388308977035</v>
      </c>
      <c r="P117" s="191">
        <f t="shared" si="28"/>
        <v>0</v>
      </c>
      <c r="Q117" s="191">
        <f t="shared" si="29"/>
        <v>0</v>
      </c>
    </row>
    <row r="118" spans="3:17" ht="13.5" thickBot="1" x14ac:dyDescent="0.25">
      <c r="C118" s="1840" t="s">
        <v>444</v>
      </c>
      <c r="D118" s="1750">
        <f>SUM(D111:D117)</f>
        <v>94725</v>
      </c>
      <c r="E118" s="1751">
        <f>SUM(E111:E117)</f>
        <v>77297</v>
      </c>
      <c r="F118" s="1730">
        <f t="shared" si="26"/>
        <v>0.22546800005174844</v>
      </c>
      <c r="G118" s="2089">
        <f>SUM(G111:G117)</f>
        <v>356240</v>
      </c>
      <c r="H118" s="2090">
        <f>SUM(H111:H117)</f>
        <v>298250</v>
      </c>
      <c r="I118" s="2067">
        <f t="shared" si="27"/>
        <v>0.19443419949706622</v>
      </c>
      <c r="K118" s="191">
        <f>G118-H118</f>
        <v>57990</v>
      </c>
      <c r="P118" s="191">
        <f t="shared" si="28"/>
        <v>0</v>
      </c>
      <c r="Q118" s="191">
        <f t="shared" si="29"/>
        <v>0</v>
      </c>
    </row>
    <row r="119" spans="3:17" x14ac:dyDescent="0.2">
      <c r="G119" s="2056"/>
      <c r="H119" s="2056"/>
      <c r="I119" s="2056"/>
    </row>
    <row r="120" spans="3:17" x14ac:dyDescent="0.2">
      <c r="G120" s="2056"/>
      <c r="H120" s="2056"/>
      <c r="I120" s="2056"/>
    </row>
    <row r="121" spans="3:17" ht="15.75" x14ac:dyDescent="0.2">
      <c r="C121" s="1838" t="s">
        <v>445</v>
      </c>
      <c r="D121" s="1817"/>
      <c r="E121" s="1817"/>
      <c r="F121" s="1817"/>
      <c r="G121" s="2083"/>
      <c r="H121" s="2083"/>
      <c r="I121" s="2083"/>
      <c r="J121" s="1817"/>
      <c r="K121" s="1817"/>
    </row>
    <row r="122" spans="3:17" ht="21" thickBot="1" x14ac:dyDescent="0.25">
      <c r="C122" s="1841" t="s">
        <v>446</v>
      </c>
      <c r="D122" s="1817"/>
      <c r="E122" s="1817"/>
      <c r="F122" s="1817"/>
      <c r="G122" s="2083"/>
      <c r="H122" s="2083"/>
      <c r="I122" s="2083"/>
      <c r="J122" s="1817"/>
      <c r="K122" s="1817"/>
    </row>
    <row r="123" spans="3:17" ht="12.75" customHeight="1" x14ac:dyDescent="0.2">
      <c r="C123" s="2321"/>
      <c r="D123" s="1865"/>
      <c r="E123" s="1866"/>
      <c r="F123" s="2340" t="s">
        <v>392</v>
      </c>
      <c r="G123" s="2076"/>
      <c r="H123" s="2091"/>
      <c r="I123" s="2092"/>
    </row>
    <row r="124" spans="3:17" ht="30.75" customHeight="1" x14ac:dyDescent="0.2">
      <c r="C124" s="2322"/>
      <c r="D124" s="2380" t="str">
        <f>D109</f>
        <v>Three months ended December 31</v>
      </c>
      <c r="E124" s="2380"/>
      <c r="F124" s="2341"/>
      <c r="G124" s="2381">
        <f>G109</f>
        <v>0</v>
      </c>
      <c r="H124" s="2381"/>
      <c r="I124" s="2093"/>
    </row>
    <row r="125" spans="3:17" ht="24.75" thickBot="1" x14ac:dyDescent="0.25">
      <c r="C125" s="1842" t="s">
        <v>447</v>
      </c>
      <c r="D125" s="1835">
        <f>D110</f>
        <v>2018</v>
      </c>
      <c r="E125" s="1835">
        <f>E110</f>
        <v>2017</v>
      </c>
      <c r="F125" s="2342"/>
      <c r="G125" s="2094">
        <f>D125</f>
        <v>2018</v>
      </c>
      <c r="H125" s="2094">
        <f>E125</f>
        <v>2017</v>
      </c>
      <c r="I125" s="2095" t="s">
        <v>438</v>
      </c>
      <c r="L125" s="1742" t="s">
        <v>582</v>
      </c>
      <c r="M125" s="1742" t="s">
        <v>581</v>
      </c>
      <c r="N125" s="1742" t="s">
        <v>492</v>
      </c>
      <c r="O125" s="1742" t="s">
        <v>583</v>
      </c>
    </row>
    <row r="126" spans="3:17" x14ac:dyDescent="0.2">
      <c r="C126" s="1839" t="s">
        <v>448</v>
      </c>
      <c r="D126" s="1748">
        <f>(HLOOKUP($B$4,'4 Canaccord Genuity '!$12:$104,ROW('4 Canaccord Genuity '!$A$18)-12,0))+(HLOOKUP($B$4,'4 Canaccord Genuity '!$12:$104,ROW('4 Canaccord Genuity '!$A$37)-12,0))</f>
        <v>6296</v>
      </c>
      <c r="E126" s="1753">
        <f>(HLOOKUP($B$5,'4 Canaccord Genuity '!$12:$104,ROW('4 Canaccord Genuity '!$A$18)-12,0))+(HLOOKUP($B$5,'4 Canaccord Genuity '!$12:$104,ROW('4 Canaccord Genuity '!$A$37)-12,0))</f>
        <v>22117</v>
      </c>
      <c r="F126" s="1755">
        <f>IF(OR(((D126-E126)/E126)&gt;3,((D126-E126)/E126)&lt;-3),"n.m.",((D126-E126)/E126))</f>
        <v>-0.71533209748157522</v>
      </c>
      <c r="G126" s="2096">
        <f>INDEX('4 Canaccord Genuity '!$A$1:$Z$74,ROW('4 Canaccord Genuity '!$A18),COLUMN('4 Canaccord Genuity '!$P$1))+INDEX('4 Canaccord Genuity '!$A$1:$Z$74,ROW('4 Canaccord Genuity '!$A37),COLUMN('4 Canaccord Genuity '!$P$1))</f>
        <v>704326</v>
      </c>
      <c r="H126" s="1753">
        <f>INDEX('4 Canaccord Genuity '!$A$1:$Z$74,ROW('4 Canaccord Genuity '!$A18),COLUMN('4 Canaccord Genuity '!$Q$1))+INDEX('4 Canaccord Genuity '!$A$1:$Z$74,ROW('4 Canaccord Genuity '!$A37),COLUMN('4 Canaccord Genuity '!$Q$1))</f>
        <v>637556</v>
      </c>
      <c r="I126" s="2069">
        <f>IF(OR(((G126-H126)/H126)&gt;3,((G126-H126)/H126)&lt;-3),"n.m.",((G126-H126)/H126))</f>
        <v>0.10472805526102805</v>
      </c>
      <c r="K126" s="1111" t="s">
        <v>88</v>
      </c>
      <c r="L126" s="191" t="e">
        <f>'4 Canaccord Genuity '!P22+#REF!</f>
        <v>#REF!</v>
      </c>
      <c r="M126" s="191" t="e">
        <f>'4 Canaccord Genuity '!Q22+#REF!</f>
        <v>#REF!</v>
      </c>
      <c r="N126" s="191" t="e">
        <f>L126-M126</f>
        <v>#REF!</v>
      </c>
      <c r="O126" s="400" t="e">
        <f>N126/M126</f>
        <v>#REF!</v>
      </c>
      <c r="P126" s="191">
        <f t="shared" ref="P126:P140" si="30">IF((D126-E126)*F126&lt;0,"Reverse Sign",)</f>
        <v>0</v>
      </c>
      <c r="Q126" s="191">
        <f t="shared" ref="Q126:Q140" si="31">IF((G126-H126)*I126&lt;0,"Reverse Sign",)</f>
        <v>0</v>
      </c>
    </row>
    <row r="127" spans="3:17" x14ac:dyDescent="0.2">
      <c r="C127" s="1843" t="s">
        <v>449</v>
      </c>
      <c r="D127" s="1754"/>
      <c r="E127" s="1749"/>
      <c r="F127" s="1733"/>
      <c r="G127" s="2097"/>
      <c r="H127" s="1749"/>
      <c r="I127" s="2053"/>
      <c r="K127" s="1111" t="s">
        <v>63</v>
      </c>
      <c r="L127" s="191" t="e">
        <f>'4 Canaccord Genuity '!P23+#REF!</f>
        <v>#REF!</v>
      </c>
      <c r="M127" s="191" t="e">
        <f>'4 Canaccord Genuity '!Q23+#REF!</f>
        <v>#REF!</v>
      </c>
      <c r="N127" s="191" t="e">
        <f t="shared" ref="N127:N132" si="32">L127-M127</f>
        <v>#REF!</v>
      </c>
      <c r="O127" s="400" t="e">
        <f t="shared" ref="O127:O132" si="33">N127/M127</f>
        <v>#REF!</v>
      </c>
      <c r="P127" s="191">
        <f t="shared" si="30"/>
        <v>0</v>
      </c>
      <c r="Q127" s="191">
        <f t="shared" si="31"/>
        <v>0</v>
      </c>
    </row>
    <row r="128" spans="3:17" x14ac:dyDescent="0.2">
      <c r="C128" s="1843" t="s">
        <v>423</v>
      </c>
      <c r="D128" s="1754">
        <f>(HLOOKUP($B$4,'4 Canaccord Genuity '!$12:$104,ROW('4 Canaccord Genuity '!$A$20)-12,0))+(HLOOKUP($B$4,'4 Canaccord Genuity '!$12:$104,ROW('4 Canaccord Genuity '!$A$39)-12,0))</f>
        <v>0</v>
      </c>
      <c r="E128" s="1749">
        <f>(HLOOKUP($B$5,'4 Canaccord Genuity '!$12:$104,ROW('4 Canaccord Genuity '!$A$20)-12,0))+(HLOOKUP($B$5,'4 Canaccord Genuity '!$12:$104,ROW('4 Canaccord Genuity '!$A$39)-12,0))</f>
        <v>0</v>
      </c>
      <c r="F128" s="1732" t="e">
        <f t="shared" ref="F128:F136" si="34">IF(OR(((D128-E128)/E128)&gt;3,((D128-E128)/E128)&lt;-3),"n.m.",((D128-E128)/E128))</f>
        <v>#DIV/0!</v>
      </c>
      <c r="G128" s="1821">
        <f>INDEX('4 Canaccord Genuity '!$A$1:$Z$74,ROW('4 Canaccord Genuity '!$A20),COLUMN('4 Canaccord Genuity '!$P$1))+INDEX('4 Canaccord Genuity '!$A$1:$Z$74,ROW('4 Canaccord Genuity '!$A39),COLUMN('4 Canaccord Genuity '!$P$1))</f>
        <v>379714</v>
      </c>
      <c r="H128" s="1749">
        <f>INDEX('4 Canaccord Genuity '!$A$1:$Z$74,ROW('4 Canaccord Genuity '!$A20),COLUMN('4 Canaccord Genuity '!$Q$1))+INDEX('4 Canaccord Genuity '!$A$1:$Z$74,ROW('4 Canaccord Genuity '!$A39),COLUMN('4 Canaccord Genuity '!$Q$1))</f>
        <v>351458</v>
      </c>
      <c r="I128" s="2054">
        <f t="shared" ref="I128:I135" si="35">IF(OR(((G128-H128)/H128)&gt;3,((G128-H128)/H128)&lt;-3),"n.m.",((G128-H128)/H128))</f>
        <v>8.0396519641038194E-2</v>
      </c>
      <c r="K128" s="1036" t="s">
        <v>64</v>
      </c>
      <c r="L128" s="191" t="e">
        <f>'4 Canaccord Genuity '!P24+#REF!</f>
        <v>#REF!</v>
      </c>
      <c r="M128" s="191" t="e">
        <f>'4 Canaccord Genuity '!Q24+#REF!</f>
        <v>#REF!</v>
      </c>
      <c r="N128" s="191" t="e">
        <f t="shared" si="32"/>
        <v>#REF!</v>
      </c>
      <c r="O128" s="400" t="e">
        <f t="shared" si="33"/>
        <v>#REF!</v>
      </c>
      <c r="P128" s="191" t="e">
        <f t="shared" si="30"/>
        <v>#DIV/0!</v>
      </c>
      <c r="Q128" s="191">
        <f t="shared" si="31"/>
        <v>0</v>
      </c>
    </row>
    <row r="129" spans="3:17" x14ac:dyDescent="0.2">
      <c r="C129" s="1839" t="s">
        <v>424</v>
      </c>
      <c r="D129" s="1754">
        <f>(HLOOKUP($B$4,'4 Canaccord Genuity '!$12:$104,ROW('4 Canaccord Genuity '!$A$21)-12,0))+(HLOOKUP($B$4,'4 Canaccord Genuity '!$12:$104,ROW('4 Canaccord Genuity '!$A$40)-12,0))</f>
        <v>111303</v>
      </c>
      <c r="E129" s="1749">
        <f>(HLOOKUP($B$5,'4 Canaccord Genuity '!$12:$104,ROW('4 Canaccord Genuity '!$A$21)-12,0))+(HLOOKUP($B$5,'4 Canaccord Genuity '!$12:$104,ROW('4 Canaccord Genuity '!$A$40)-12,0))</f>
        <v>105802</v>
      </c>
      <c r="F129" s="1732">
        <f t="shared" si="34"/>
        <v>5.1993346061511125E-2</v>
      </c>
      <c r="G129" s="1821">
        <f>INDEX('4 Canaccord Genuity '!$A$1:$Z$74,ROW('4 Canaccord Genuity '!$A21),COLUMN('4 Canaccord Genuity '!$P$1))+INDEX('4 Canaccord Genuity '!$A$1:$Z$74,ROW('4 Canaccord Genuity '!$A40),COLUMN('4 Canaccord Genuity '!$P$1))</f>
        <v>24533</v>
      </c>
      <c r="H129" s="1749">
        <f>INDEX('4 Canaccord Genuity '!$A$1:$Z$74,ROW('4 Canaccord Genuity '!$A21),COLUMN('4 Canaccord Genuity '!$Q$1))+INDEX('4 Canaccord Genuity '!$A$1:$Z$74,ROW('4 Canaccord Genuity '!$A40),COLUMN('4 Canaccord Genuity '!$Q$1))</f>
        <v>25512</v>
      </c>
      <c r="I129" s="2054">
        <f t="shared" si="35"/>
        <v>-3.8374098463468169E-2</v>
      </c>
      <c r="K129" s="1036" t="s">
        <v>59</v>
      </c>
      <c r="L129" s="191" t="e">
        <f>'4 Canaccord Genuity '!P25+#REF!</f>
        <v>#REF!</v>
      </c>
      <c r="M129" s="191" t="e">
        <f>'4 Canaccord Genuity '!Q25+#REF!</f>
        <v>#REF!</v>
      </c>
      <c r="N129" s="191" t="e">
        <f t="shared" si="32"/>
        <v>#REF!</v>
      </c>
      <c r="O129" s="400" t="e">
        <f t="shared" si="33"/>
        <v>#REF!</v>
      </c>
      <c r="P129" s="191">
        <f t="shared" si="30"/>
        <v>0</v>
      </c>
      <c r="Q129" s="191">
        <f t="shared" si="31"/>
        <v>0</v>
      </c>
    </row>
    <row r="130" spans="3:17" x14ac:dyDescent="0.2">
      <c r="C130" s="1839" t="s">
        <v>450</v>
      </c>
      <c r="D130" s="1748">
        <f>D133-SUM(D128:D129)-SUM(D131:D132)</f>
        <v>-111214</v>
      </c>
      <c r="E130" s="1753">
        <f>E133-SUM(E128:E129)-SUM(E131:E132)</f>
        <v>-105774</v>
      </c>
      <c r="F130" s="1732">
        <f t="shared" si="34"/>
        <v>5.1430408228865319E-2</v>
      </c>
      <c r="G130" s="1821">
        <f>G133-SUM(G128:G129)-SUM(G131:G132)</f>
        <v>201969</v>
      </c>
      <c r="H130" s="1753">
        <f>H133-SUM(H128:H129)-SUM(H131:H132)</f>
        <v>224964</v>
      </c>
      <c r="I130" s="2054">
        <f t="shared" si="35"/>
        <v>-0.10221635461673868</v>
      </c>
      <c r="K130" s="1036" t="s">
        <v>65</v>
      </c>
      <c r="L130" s="191" t="e">
        <f>'4 Canaccord Genuity '!P26+#REF!</f>
        <v>#REF!</v>
      </c>
      <c r="M130" s="191" t="e">
        <f>'4 Canaccord Genuity '!Q26+#REF!</f>
        <v>#REF!</v>
      </c>
      <c r="N130" s="191" t="e">
        <f t="shared" si="32"/>
        <v>#REF!</v>
      </c>
      <c r="O130" s="400" t="e">
        <f t="shared" si="33"/>
        <v>#REF!</v>
      </c>
      <c r="P130" s="191" t="str">
        <f t="shared" si="30"/>
        <v>Reverse Sign</v>
      </c>
      <c r="Q130" s="191">
        <f t="shared" si="31"/>
        <v>0</v>
      </c>
    </row>
    <row r="131" spans="3:17" x14ac:dyDescent="0.2">
      <c r="C131" s="1839" t="s">
        <v>559</v>
      </c>
      <c r="D131" s="1748">
        <f>(HLOOKUP($B$4,'4 Canaccord Genuity '!$12:$104,ROW('4 Canaccord Genuity '!$A$30)-12,0))</f>
        <v>0</v>
      </c>
      <c r="E131" s="1753">
        <f>(HLOOKUP($B$5,'4 Canaccord Genuity '!$12:$104,ROW('4 Canaccord Genuity '!$A$30)-12,0))</f>
        <v>0</v>
      </c>
      <c r="F131" s="1732" t="str">
        <f>IFERROR(IF(OR(((D131-E131)/E131)&gt;3,((D131-E131)/E131)&lt;-3),"n.m.",((D131-E131)/E131)),"n.m.")</f>
        <v>n.m.</v>
      </c>
      <c r="G131" s="1821">
        <f>INDEX('4 Canaccord Genuity '!$A$1:$Z$74,ROW('4 Canaccord Genuity '!$A30),COLUMN('4 Canaccord Genuity '!$P$1))</f>
        <v>1976</v>
      </c>
      <c r="H131" s="1753">
        <f>INDEX('4 Canaccord Genuity '!$A$1:$Z$74,ROW('4 Canaccord Genuity '!$A30),COLUMN('4 Canaccord Genuity '!$Q$1))</f>
        <v>0</v>
      </c>
      <c r="I131" s="2054" t="str">
        <f>IFERROR(IF(OR(((G131-H131)/H131)&gt;3,((G131-H131)/H131)&lt;-3),"n.m.",((G131-H131)/H131)),"n.m.")</f>
        <v>n.m.</v>
      </c>
      <c r="K131" s="1036" t="s">
        <v>66</v>
      </c>
      <c r="L131" s="191" t="e">
        <f>'4 Canaccord Genuity '!P27+#REF!</f>
        <v>#REF!</v>
      </c>
      <c r="M131" s="191" t="e">
        <f>'4 Canaccord Genuity '!Q27+#REF!</f>
        <v>#REF!</v>
      </c>
      <c r="N131" s="191" t="e">
        <f t="shared" si="32"/>
        <v>#REF!</v>
      </c>
      <c r="O131" s="400" t="e">
        <f t="shared" si="33"/>
        <v>#REF!</v>
      </c>
      <c r="P131" s="191" t="e">
        <f t="shared" si="30"/>
        <v>#VALUE!</v>
      </c>
      <c r="Q131" s="191" t="e">
        <f t="shared" si="31"/>
        <v>#VALUE!</v>
      </c>
    </row>
    <row r="132" spans="3:17" ht="13.5" thickBot="1" x14ac:dyDescent="0.25">
      <c r="C132" s="1839" t="s">
        <v>451</v>
      </c>
      <c r="D132" s="1748">
        <f>(HLOOKUP($B$4,'4 Canaccord Genuity '!$12:$104,ROW('4 Canaccord Genuity '!$A$29)-12,0))+(HLOOKUP($B$4,'4 Canaccord Genuity '!$12:$104,ROW('4 Canaccord Genuity '!$A$42)-12,0))</f>
        <v>141</v>
      </c>
      <c r="E132" s="1753">
        <f>(HLOOKUP($B$5,'4 Canaccord Genuity '!$12:$104,ROW('4 Canaccord Genuity '!$A$29)-12,0))+(HLOOKUP($B$5,'4 Canaccord Genuity '!$12:$104,ROW('4 Canaccord Genuity '!$A$42)-12,0))</f>
        <v>92</v>
      </c>
      <c r="F132" s="1732">
        <f t="shared" si="34"/>
        <v>0.53260869565217395</v>
      </c>
      <c r="G132" s="1821">
        <f>INDEX('4 Canaccord Genuity '!$A$1:$Z$74,ROW('4 Canaccord Genuity '!$A29),COLUMN('4 Canaccord Genuity '!$P$1))+INDEX('4 Canaccord Genuity '!$A$1:$Z$74,ROW('4 Canaccord Genuity '!$A42),COLUMN('4 Canaccord Genuity '!$P$1))</f>
        <v>13070</v>
      </c>
      <c r="H132" s="1753">
        <f>INDEX('4 Canaccord Genuity '!$A$1:$Z$74,ROW('4 Canaccord Genuity '!$A29),COLUMN('4 Canaccord Genuity '!$Q$1))+INDEX('4 Canaccord Genuity '!$A$1:$Z$74,ROW('4 Canaccord Genuity '!$A42),COLUMN('4 Canaccord Genuity '!$Q$1))</f>
        <v>4704</v>
      </c>
      <c r="I132" s="2054">
        <f t="shared" si="35"/>
        <v>1.7784863945578231</v>
      </c>
      <c r="K132" s="1036" t="s">
        <v>67</v>
      </c>
      <c r="L132" s="191" t="e">
        <f>'4 Canaccord Genuity '!P28+#REF!</f>
        <v>#REF!</v>
      </c>
      <c r="M132" s="191" t="e">
        <f>'4 Canaccord Genuity '!Q28+#REF!</f>
        <v>#REF!</v>
      </c>
      <c r="N132" s="191" t="e">
        <f t="shared" si="32"/>
        <v>#REF!</v>
      </c>
      <c r="O132" s="400" t="e">
        <f t="shared" si="33"/>
        <v>#REF!</v>
      </c>
      <c r="P132" s="191">
        <f t="shared" si="30"/>
        <v>0</v>
      </c>
      <c r="Q132" s="191">
        <f t="shared" si="31"/>
        <v>0</v>
      </c>
    </row>
    <row r="133" spans="3:17" x14ac:dyDescent="0.2">
      <c r="C133" s="1844" t="s">
        <v>77</v>
      </c>
      <c r="D133" s="1736">
        <f>(HLOOKUP($B$4,'4 Canaccord Genuity '!$12:$104,ROW('4 Canaccord Genuity '!$A$33)-12,0))+(HLOOKUP($B$4,'4 Canaccord Genuity '!$12:$104,ROW('4 Canaccord Genuity '!$A$45)-12,0))</f>
        <v>230</v>
      </c>
      <c r="E133" s="1868">
        <f>(HLOOKUP($B$5,'4 Canaccord Genuity '!$12:$104,ROW('4 Canaccord Genuity '!$A$33)-12,0))+(HLOOKUP($B$5,'4 Canaccord Genuity '!$12:$104,ROW('4 Canaccord Genuity '!$A$45)-12,0))</f>
        <v>120</v>
      </c>
      <c r="F133" s="1755">
        <f t="shared" si="34"/>
        <v>0.91666666666666663</v>
      </c>
      <c r="G133" s="1819">
        <f>INDEX('4 Canaccord Genuity '!$A$1:$Z$74,ROW('4 Canaccord Genuity '!$A33),COLUMN('4 Canaccord Genuity '!$P$1))+INDEX('4 Canaccord Genuity '!$A$1:$Z$74,ROW('4 Canaccord Genuity '!$A45),COLUMN('4 Canaccord Genuity '!$P$1))</f>
        <v>621262</v>
      </c>
      <c r="H133" s="1868">
        <f>INDEX('4 Canaccord Genuity '!$A$1:$Z$74,ROW('4 Canaccord Genuity '!$A33),COLUMN('4 Canaccord Genuity '!$Q$1))+INDEX('4 Canaccord Genuity '!$A$1:$Z$74,ROW('4 Canaccord Genuity '!$A45),COLUMN('4 Canaccord Genuity '!$Q$1))</f>
        <v>606638</v>
      </c>
      <c r="I133" s="2069">
        <f t="shared" si="35"/>
        <v>2.4106633610159602E-2</v>
      </c>
      <c r="P133" s="191">
        <f t="shared" si="30"/>
        <v>0</v>
      </c>
      <c r="Q133" s="191">
        <f t="shared" si="31"/>
        <v>0</v>
      </c>
    </row>
    <row r="134" spans="3:17" ht="13.5" x14ac:dyDescent="0.2">
      <c r="C134" s="1839" t="s">
        <v>452</v>
      </c>
      <c r="D134" s="1748">
        <f>(HLOOKUP($B$4,'4 Canaccord Genuity '!$12:$104,ROW('4 Canaccord Genuity '!$A$49)-12,0))</f>
        <v>0</v>
      </c>
      <c r="E134" s="1753">
        <f>(HLOOKUP($B$5,'4 Canaccord Genuity '!$12:$104,ROW('4 Canaccord Genuity '!$A$49)-12,0))</f>
        <v>0</v>
      </c>
      <c r="F134" s="1732" t="e">
        <f t="shared" si="34"/>
        <v>#DIV/0!</v>
      </c>
      <c r="G134" s="1821">
        <f>INDEX('4 Canaccord Genuity '!$A$1:$Z$74,ROW('4 Canaccord Genuity '!$A49),COLUMN('4 Canaccord Genuity '!$P$1))</f>
        <v>18689</v>
      </c>
      <c r="H134" s="1753">
        <f>INDEX('4 Canaccord Genuity '!$A$1:$Z$74,ROW('4 Canaccord Genuity '!$A49),COLUMN('4 Canaccord Genuity '!$Q$1))</f>
        <v>16524</v>
      </c>
      <c r="I134" s="2054">
        <f t="shared" si="35"/>
        <v>0.13102154442023722</v>
      </c>
      <c r="P134" s="191" t="e">
        <f t="shared" si="30"/>
        <v>#DIV/0!</v>
      </c>
      <c r="Q134" s="191">
        <f t="shared" si="31"/>
        <v>0</v>
      </c>
    </row>
    <row r="135" spans="3:17" ht="13.5" x14ac:dyDescent="0.2">
      <c r="C135" s="1839" t="s">
        <v>453</v>
      </c>
      <c r="D135" s="1748">
        <f>(HLOOKUP($B$4,'4 Canaccord Genuity '!$12:$104,ROW('4 Canaccord Genuity '!$A$50)-12,0))</f>
        <v>4628</v>
      </c>
      <c r="E135" s="1753">
        <f>(HLOOKUP($B$5,'4 Canaccord Genuity '!$12:$104,ROW('4 Canaccord Genuity '!$A$50)-12,0))</f>
        <v>3835</v>
      </c>
      <c r="F135" s="1732">
        <f>IF(OR(((D135-E135)/E135)&gt;3,((D135-E135)/E135)&lt;-3),"n.m.",((D135-E135)/ABS(E135)))</f>
        <v>0.20677966101694914</v>
      </c>
      <c r="G135" s="1821">
        <f>INDEX('4 Canaccord Genuity '!$A$1:$Z$74,ROW('4 Canaccord Genuity '!$A50),COLUMN('4 Canaccord Genuity '!$P$1))</f>
        <v>62877</v>
      </c>
      <c r="H135" s="1753">
        <f>INDEX('4 Canaccord Genuity '!$A$1:$Z$74,ROW('4 Canaccord Genuity '!$A50),COLUMN('4 Canaccord Genuity '!$Q$1))</f>
        <v>13126</v>
      </c>
      <c r="I135" s="2054" t="str">
        <f t="shared" si="35"/>
        <v>n.m.</v>
      </c>
      <c r="P135" s="191">
        <f t="shared" si="30"/>
        <v>0</v>
      </c>
      <c r="Q135" s="191" t="e">
        <f t="shared" si="31"/>
        <v>#VALUE!</v>
      </c>
    </row>
    <row r="136" spans="3:17" ht="13.5" thickBot="1" x14ac:dyDescent="0.25">
      <c r="C136" s="1845" t="s">
        <v>84</v>
      </c>
      <c r="D136" s="1727">
        <f>(HLOOKUP($B$4,'4 Canaccord Genuity '!$12:$104,ROW('4 Canaccord Genuity '!$A$59)-12,0))</f>
        <v>0</v>
      </c>
      <c r="E136" s="1728">
        <f>(HLOOKUP($B$5,'4 Canaccord Genuity '!$12:$104,ROW('4 Canaccord Genuity '!$A$59)-12,0))</f>
        <v>0</v>
      </c>
      <c r="F136" s="1734" t="e">
        <f t="shared" si="34"/>
        <v>#DIV/0!</v>
      </c>
      <c r="G136" s="1820"/>
      <c r="H136" s="1728"/>
      <c r="I136" s="2071"/>
      <c r="P136" s="191" t="e">
        <f t="shared" si="30"/>
        <v>#DIV/0!</v>
      </c>
      <c r="Q136" s="191">
        <f t="shared" si="31"/>
        <v>0</v>
      </c>
    </row>
    <row r="137" spans="3:17" ht="14.25" x14ac:dyDescent="0.2">
      <c r="C137" s="1857" t="s">
        <v>454</v>
      </c>
      <c r="D137" s="1748"/>
      <c r="E137" s="1753"/>
      <c r="F137" s="1733"/>
      <c r="G137" s="1821"/>
      <c r="H137" s="1753"/>
      <c r="I137" s="2054"/>
      <c r="L137" s="400"/>
      <c r="P137" s="191">
        <f t="shared" si="30"/>
        <v>0</v>
      </c>
      <c r="Q137" s="191">
        <f t="shared" si="31"/>
        <v>0</v>
      </c>
    </row>
    <row r="138" spans="3:17" x14ac:dyDescent="0.2">
      <c r="C138" s="1839" t="s">
        <v>77</v>
      </c>
      <c r="D138" s="1748">
        <f>(HLOOKUP($B$4,'4 Canaccord Genuity '!$12:$104,ROW('4 Canaccord Genuity '!$A$66)-12,0))</f>
        <v>209373</v>
      </c>
      <c r="E138" s="1753">
        <f>(HLOOKUP($B$5,'4 Canaccord Genuity '!$12:$104,ROW('4 Canaccord Genuity '!$A$66)-12,0))</f>
        <v>196203</v>
      </c>
      <c r="F138" s="1732">
        <f>IF(OR(((D138-E138)/E138)&gt;3,((D138-E138)/E138)&lt;-3),"n.m.",((D138-E138)/E138))</f>
        <v>6.7124355896698823E-2</v>
      </c>
      <c r="G138" s="1821">
        <f>INDEX('4 Canaccord Genuity '!$A$1:$Z$74,ROW('4 Canaccord Genuity '!$A66),COLUMN('4 Canaccord Genuity '!$P$1))</f>
        <v>605218</v>
      </c>
      <c r="H138" s="1753">
        <f>INDEX('4 Canaccord Genuity '!$A$1:$Z$74,ROW('4 Canaccord Genuity '!$A66),COLUMN('4 Canaccord Genuity '!$Q$1))</f>
        <v>558486</v>
      </c>
      <c r="I138" s="2054">
        <f>IF(OR(((G138-H138)/H138)&gt;3,((G138-H138)/H138)&lt;-3),"n.m.",((G138-H138)/H138))</f>
        <v>8.3676224650215042E-2</v>
      </c>
      <c r="P138" s="191">
        <f t="shared" si="30"/>
        <v>0</v>
      </c>
      <c r="Q138" s="191">
        <f t="shared" si="31"/>
        <v>0</v>
      </c>
    </row>
    <row r="139" spans="3:17" ht="13.5" x14ac:dyDescent="0.2">
      <c r="C139" s="1839" t="s">
        <v>452</v>
      </c>
      <c r="D139" s="1748">
        <f>(HLOOKUP($B$4,'4 Canaccord Genuity '!$12:$104,ROW('4 Canaccord Genuity '!$A$67)-12,0))</f>
        <v>173010</v>
      </c>
      <c r="E139" s="1753">
        <f>(HLOOKUP($B$5,'4 Canaccord Genuity '!$12:$104,ROW('4 Canaccord Genuity '!$A$67)-12,0))</f>
        <v>157523</v>
      </c>
      <c r="F139" s="1732">
        <f>IF(OR(((D139-E139)/E139)&gt;3,((D139-E139)/E139)&lt;-3),"n.m.",((D139-E139)/E139))</f>
        <v>9.8315801502002878E-2</v>
      </c>
      <c r="G139" s="1821">
        <f>INDEX('4 Canaccord Genuity '!$A$1:$Z$74,ROW('4 Canaccord Genuity '!$A67),COLUMN('4 Canaccord Genuity '!$P$1))</f>
        <v>18689</v>
      </c>
      <c r="H139" s="1753">
        <f>INDEX('4 Canaccord Genuity '!$A$1:$Z$74,ROW('4 Canaccord Genuity '!$A67),COLUMN('4 Canaccord Genuity '!$Q$1))</f>
        <v>16524</v>
      </c>
      <c r="I139" s="2054">
        <f>IF(OR(((G139-H139)/H139)&gt;3,((G139-H139)/H139)&lt;-3),"n.m.",((G139-H139)/H139))</f>
        <v>0.13102154442023722</v>
      </c>
      <c r="P139" s="191">
        <f t="shared" si="30"/>
        <v>0</v>
      </c>
      <c r="Q139" s="191">
        <f t="shared" si="31"/>
        <v>0</v>
      </c>
    </row>
    <row r="140" spans="3:17" ht="14.25" thickBot="1" x14ac:dyDescent="0.25">
      <c r="C140" s="1845" t="s">
        <v>453</v>
      </c>
      <c r="D140" s="1727">
        <f>D126-D138-D139</f>
        <v>-376087</v>
      </c>
      <c r="E140" s="1728">
        <f>E126-E138-E139</f>
        <v>-331609</v>
      </c>
      <c r="F140" s="1734">
        <f>IF(OR(((D140-E140)/E140)&gt;3,((D140-E140)/E140)&lt;-3),"n.m.",((D140-E140)/ABS(E140)))</f>
        <v>-0.13412784333356453</v>
      </c>
      <c r="G140" s="1820">
        <f>G126-G138-G139</f>
        <v>80419</v>
      </c>
      <c r="H140" s="1728">
        <f>H126-H138-H139</f>
        <v>62546</v>
      </c>
      <c r="I140" s="2071">
        <f>IF(OR(((G140-H140)/H140)&gt;3,((G140-H140)/H140)&lt;-3),"n.m.",((G140-H140)/H140))</f>
        <v>0.28575768234579352</v>
      </c>
      <c r="P140" s="191">
        <f t="shared" si="30"/>
        <v>0</v>
      </c>
      <c r="Q140" s="191">
        <f t="shared" si="31"/>
        <v>0</v>
      </c>
    </row>
    <row r="141" spans="3:17" x14ac:dyDescent="0.2">
      <c r="G141" s="2056"/>
      <c r="H141" s="2056"/>
      <c r="I141" s="2056"/>
    </row>
    <row r="142" spans="3:17" x14ac:dyDescent="0.2">
      <c r="G142" s="2056"/>
      <c r="H142" s="2056"/>
      <c r="I142" s="2056"/>
    </row>
    <row r="143" spans="3:17" ht="15" thickBot="1" x14ac:dyDescent="0.25">
      <c r="C143" s="1846" t="s">
        <v>455</v>
      </c>
      <c r="D143" s="1817"/>
      <c r="E143" s="1817"/>
      <c r="F143" s="1817"/>
      <c r="G143" s="2083"/>
      <c r="H143" s="2083"/>
      <c r="I143" s="2083"/>
    </row>
    <row r="144" spans="3:17" x14ac:dyDescent="0.2">
      <c r="C144" s="2321"/>
      <c r="D144" s="1865"/>
      <c r="E144" s="1866"/>
      <c r="F144" s="2340" t="s">
        <v>392</v>
      </c>
      <c r="G144" s="2076"/>
      <c r="H144" s="2091"/>
      <c r="I144" s="2364" t="s">
        <v>438</v>
      </c>
    </row>
    <row r="145" spans="3:17" ht="19.5" customHeight="1" x14ac:dyDescent="0.2">
      <c r="C145" s="2322"/>
      <c r="D145" s="2380" t="str">
        <f>D124</f>
        <v>Three months ended December 31</v>
      </c>
      <c r="E145" s="2380"/>
      <c r="F145" s="2341"/>
      <c r="G145" s="2381">
        <f>G124</f>
        <v>0</v>
      </c>
      <c r="H145" s="2381"/>
      <c r="I145" s="2365"/>
    </row>
    <row r="146" spans="3:17" ht="13.5" thickBot="1" x14ac:dyDescent="0.25">
      <c r="C146" s="1847"/>
      <c r="D146" s="1867">
        <f>D125</f>
        <v>2018</v>
      </c>
      <c r="E146" s="1867">
        <f>E125</f>
        <v>2017</v>
      </c>
      <c r="F146" s="2342"/>
      <c r="G146" s="2094">
        <f>G125</f>
        <v>2018</v>
      </c>
      <c r="H146" s="2094">
        <f>H125</f>
        <v>2017</v>
      </c>
      <c r="I146" s="2366"/>
    </row>
    <row r="147" spans="3:17" x14ac:dyDescent="0.2">
      <c r="C147" s="1839" t="s">
        <v>456</v>
      </c>
      <c r="D147" s="1848"/>
      <c r="E147" s="1848"/>
      <c r="F147" s="1848"/>
      <c r="G147" s="2098"/>
      <c r="H147" s="2098"/>
      <c r="I147" s="2099"/>
    </row>
    <row r="148" spans="3:17" x14ac:dyDescent="0.2">
      <c r="C148" s="1849" t="s">
        <v>81</v>
      </c>
      <c r="D148" s="1739">
        <f>(HLOOKUP($B$4,'4 Canaccord Genuity '!$12:$104,ROW('4 Canaccord Genuity '!$A$14)-12,0))/$D$126</f>
        <v>0</v>
      </c>
      <c r="E148" s="1879">
        <f>(HLOOKUP($B$5,'4 Canaccord Genuity '!$12:$104,ROW('4 Canaccord Genuity '!$A$14)-12,0))/$E$126</f>
        <v>0</v>
      </c>
      <c r="F148" s="1743">
        <f>(D148-E148)*100</f>
        <v>0</v>
      </c>
      <c r="G148" s="2078">
        <f>INDEX('4 Canaccord Genuity '!$A$1:$Z$74,ROW('4 Canaccord Genuity '!$A14),COLUMN('4 Canaccord Genuity '!$P$1))/$G$126</f>
        <v>0.37009140653617784</v>
      </c>
      <c r="H148" s="2079">
        <f>INDEX('4 Canaccord Genuity '!$A$1:$Z$74,ROW('4 Canaccord Genuity '!$A14),COLUMN('4 Canaccord Genuity '!$Q$1))/$H$126</f>
        <v>0.33896002860925156</v>
      </c>
      <c r="I148" s="2080">
        <f>(G148-H148)*100</f>
        <v>3.1131377926926271</v>
      </c>
      <c r="P148" s="191">
        <f>IF((D148-E148)*F148&lt;0,"Reverse Sign",)</f>
        <v>0</v>
      </c>
      <c r="Q148" s="191">
        <f>IF((G148-H148)*I148&lt;0,"Reverse Sign",)</f>
        <v>0</v>
      </c>
    </row>
    <row r="149" spans="3:17" x14ac:dyDescent="0.2">
      <c r="C149" s="1849" t="s">
        <v>457</v>
      </c>
      <c r="D149" s="1739">
        <f>(HLOOKUP($B$4,'4 Canaccord Genuity '!$12:$104,ROW('4 Canaccord Genuity '!$A$15)-12,0))/$D$126</f>
        <v>13.237134688691233</v>
      </c>
      <c r="E149" s="1879">
        <f>(HLOOKUP($B$5,'4 Canaccord Genuity '!$12:$104,ROW('4 Canaccord Genuity '!$A$15)-12,0))/$E$126</f>
        <v>3.4036261699145456</v>
      </c>
      <c r="F149" s="1743">
        <f>(D149-E149)*100</f>
        <v>983.35085187766879</v>
      </c>
      <c r="G149" s="2078">
        <f>INDEX('4 Canaccord Genuity '!$A$1:$Z$74,ROW('4 Canaccord Genuity '!$A15),COLUMN('4 Canaccord Genuity '!$P$1))/$G$126</f>
        <v>0.15445830481907527</v>
      </c>
      <c r="H149" s="2079">
        <f>INDEX('4 Canaccord Genuity '!$A$1:$Z$74,ROW('4 Canaccord Genuity '!$A15),COLUMN('4 Canaccord Genuity '!$Q$1))/$H$126</f>
        <v>0.20148504601948691</v>
      </c>
      <c r="I149" s="2080">
        <f>(G149-H149)*100</f>
        <v>-4.7026741200411646</v>
      </c>
      <c r="P149" s="191">
        <f>IF((D149-E149)*F149&lt;0,"Reverse Sign",)</f>
        <v>0</v>
      </c>
      <c r="Q149" s="191">
        <f>IF((G149-H149)*I149&lt;0,"Reverse Sign",)</f>
        <v>0</v>
      </c>
    </row>
    <row r="150" spans="3:17" x14ac:dyDescent="0.2">
      <c r="C150" s="1849" t="s">
        <v>90</v>
      </c>
      <c r="D150" s="1739">
        <f>(HLOOKUP($B$4,'4 Canaccord Genuity '!$12:$104,ROW('4 Canaccord Genuity '!$A$16)-12,0))/$D$126</f>
        <v>6.1216645489199495</v>
      </c>
      <c r="E150" s="1879">
        <f>(HLOOKUP($B$5,'4 Canaccord Genuity '!$12:$104,ROW('4 Canaccord Genuity '!$A$16)-12,0))/$E$126</f>
        <v>1.456888366414975</v>
      </c>
      <c r="F150" s="1743">
        <f>(D150-E150)*100</f>
        <v>466.47761825049747</v>
      </c>
      <c r="G150" s="2078">
        <f>INDEX('4 Canaccord Genuity '!$A$1:$Z$74,ROW('4 Canaccord Genuity '!$A16),COLUMN('4 Canaccord Genuity '!$P$1))/$G$126</f>
        <v>0.43103193691557601</v>
      </c>
      <c r="H150" s="2079">
        <f>INDEX('4 Canaccord Genuity '!$A$1:$Z$74,ROW('4 Canaccord Genuity '!$A16),COLUMN('4 Canaccord Genuity '!$Q$1))/$H$126</f>
        <v>0.37007258970192425</v>
      </c>
      <c r="I150" s="2080">
        <f>(G150-H150)*100</f>
        <v>6.0959347213651762</v>
      </c>
      <c r="P150" s="191">
        <f>IF((D150-E150)*F150&lt;0,"Reverse Sign",)</f>
        <v>0</v>
      </c>
      <c r="Q150" s="191">
        <f>IF((G150-H150)*I150&lt;0,"Reverse Sign",)</f>
        <v>0</v>
      </c>
    </row>
    <row r="151" spans="3:17" x14ac:dyDescent="0.2">
      <c r="C151" s="1849" t="s">
        <v>265</v>
      </c>
      <c r="D151" s="1739">
        <f>(HLOOKUP($B$4,'4 Canaccord Genuity '!$12:$104,ROW('4 Canaccord Genuity '!$A$17)-12,0))/$D$126</f>
        <v>12.898348157560356</v>
      </c>
      <c r="E151" s="1879">
        <f>(HLOOKUP($B$5,'4 Canaccord Genuity '!$12:$104,ROW('4 Canaccord Genuity '!$A$17)-12,0))/$E$126</f>
        <v>3.0113939503549307</v>
      </c>
      <c r="F151" s="1743">
        <f>(D151-E151)*100</f>
        <v>988.69542072054253</v>
      </c>
      <c r="G151" s="2100">
        <f>INDEX('4 Canaccord Genuity '!$A$1:$Z$74,ROW('4 Canaccord Genuity '!$A17),COLUMN('4 Canaccord Genuity '!$P$1))/$G$126</f>
        <v>4.4533355292861544E-2</v>
      </c>
      <c r="H151" s="2101">
        <f>INDEX('4 Canaccord Genuity '!$A$1:$Z$74,ROW('4 Canaccord Genuity '!$A17),COLUMN('4 Canaccord Genuity '!$Q$1))/$H$126</f>
        <v>8.9438417958579319E-2</v>
      </c>
      <c r="I151" s="2080">
        <f>(G151-H151)*100</f>
        <v>-4.4905062665717779</v>
      </c>
      <c r="P151" s="191">
        <f>IF((D151-E151)*F151&lt;0,"Reverse Sign",)</f>
        <v>0</v>
      </c>
      <c r="Q151" s="191">
        <f>IF((G151-H151)*I151&lt;0,"Reverse Sign",)</f>
        <v>0</v>
      </c>
    </row>
    <row r="152" spans="3:17" ht="13.5" thickBot="1" x14ac:dyDescent="0.25">
      <c r="C152" s="1850" t="s">
        <v>458</v>
      </c>
      <c r="D152" s="1740">
        <f>(HLOOKUP($B$4,'4 Canaccord Genuity '!$12:$104,ROW('4 Canaccord Genuity '!$A$37)-12,0))/$D$126</f>
        <v>0</v>
      </c>
      <c r="E152" s="1880">
        <f>(HLOOKUP($B$5,'4 Canaccord Genuity '!$12:$104,ROW('4 Canaccord Genuity '!$A$37)-12,0))/$E$126</f>
        <v>0</v>
      </c>
      <c r="F152" s="1757">
        <f>(D152-E152)*100</f>
        <v>0</v>
      </c>
      <c r="G152" s="2102">
        <f>INDEX('4 Canaccord Genuity '!$A$1:$Z$74,ROW('4 Canaccord Genuity '!$A37),COLUMN('4 Canaccord Genuity '!$P$1))/$G$126</f>
        <v>-1.1500356369067733E-4</v>
      </c>
      <c r="H152" s="2103">
        <f>INDEX('4 Canaccord Genuity '!$A$1:$Z$74,ROW('4 Canaccord Genuity '!$A37),COLUMN('4 Canaccord Genuity '!$Q$1))/$H$126</f>
        <v>4.3917710757956945E-5</v>
      </c>
      <c r="I152" s="2104">
        <f>(G152-H152)*100</f>
        <v>-1.5892127444863426E-2</v>
      </c>
      <c r="P152" s="191">
        <f>IF((D152-E152)*F152&lt;0,"Reverse Sign",)</f>
        <v>0</v>
      </c>
      <c r="Q152" s="191">
        <f>IF((G152-H152)*I152&lt;0,"Reverse Sign",)</f>
        <v>0</v>
      </c>
    </row>
    <row r="153" spans="3:17" ht="13.5" thickBot="1" x14ac:dyDescent="0.25">
      <c r="C153" s="1850"/>
      <c r="D153" s="1737">
        <f>SUM(D148:D152)</f>
        <v>32.257147395171543</v>
      </c>
      <c r="E153" s="1738">
        <f>SUM(E148:E152)</f>
        <v>7.8719084866844513</v>
      </c>
      <c r="F153" s="1738"/>
      <c r="G153" s="2105">
        <f>SUM(G148:G152)</f>
        <v>0.99999999999999989</v>
      </c>
      <c r="H153" s="2106">
        <f>SUM(H148:H152)</f>
        <v>1</v>
      </c>
      <c r="I153" s="2107"/>
    </row>
    <row r="154" spans="3:17" x14ac:dyDescent="0.2">
      <c r="G154" s="2056"/>
      <c r="H154" s="2056"/>
      <c r="I154" s="2056"/>
    </row>
    <row r="155" spans="3:17" x14ac:dyDescent="0.2">
      <c r="G155" s="2056"/>
      <c r="H155" s="2056"/>
      <c r="I155" s="2056"/>
    </row>
    <row r="156" spans="3:17" ht="16.5" thickBot="1" x14ac:dyDescent="0.25">
      <c r="C156" s="1984" t="s">
        <v>475</v>
      </c>
      <c r="D156" s="1817"/>
      <c r="E156" s="1817"/>
      <c r="F156" s="1817"/>
      <c r="G156" s="2083"/>
      <c r="H156" s="2083"/>
      <c r="I156" s="2083"/>
    </row>
    <row r="157" spans="3:17" x14ac:dyDescent="0.2">
      <c r="C157" s="2321"/>
      <c r="D157" s="1869"/>
      <c r="E157" s="1870"/>
      <c r="F157" s="2340" t="s">
        <v>392</v>
      </c>
      <c r="G157" s="2108"/>
      <c r="H157" s="2109"/>
      <c r="I157" s="2347" t="s">
        <v>438</v>
      </c>
    </row>
    <row r="158" spans="3:17" ht="21" customHeight="1" x14ac:dyDescent="0.2">
      <c r="C158" s="2322"/>
      <c r="D158" s="2382" t="str">
        <f>D145</f>
        <v>Three months ended December 31</v>
      </c>
      <c r="E158" s="2382"/>
      <c r="F158" s="2341"/>
      <c r="G158" s="2381">
        <f>G145</f>
        <v>0</v>
      </c>
      <c r="H158" s="2381"/>
      <c r="I158" s="2348"/>
    </row>
    <row r="159" spans="3:17" ht="13.5" thickBot="1" x14ac:dyDescent="0.25">
      <c r="C159" s="1847"/>
      <c r="D159" s="1871">
        <f>D146</f>
        <v>2018</v>
      </c>
      <c r="E159" s="1871">
        <f>E146</f>
        <v>2017</v>
      </c>
      <c r="F159" s="2342"/>
      <c r="G159" s="2110">
        <f>G146</f>
        <v>2018</v>
      </c>
      <c r="H159" s="2110">
        <f>H146</f>
        <v>2017</v>
      </c>
      <c r="I159" s="2349"/>
    </row>
    <row r="160" spans="3:17" x14ac:dyDescent="0.2">
      <c r="C160" s="1849" t="s">
        <v>81</v>
      </c>
      <c r="D160" s="1739">
        <f>(HLOOKUP($B$4,'5 Capital Markets Canada'!$10:$115,ROW('5 Capital Markets Canada'!$A$34)-10,0))</f>
        <v>0.49196673906000649</v>
      </c>
      <c r="E160" s="1879">
        <f>(HLOOKUP($B$5,'5 Capital Markets Canada'!$10:$115,ROW('5 Capital Markets Canada'!$A$34)-10,0))</f>
        <v>0.51738887855681603</v>
      </c>
      <c r="F160" s="1766">
        <f t="shared" ref="F160:F165" si="36">(D160-E160)*100</f>
        <v>-2.5422139496809546</v>
      </c>
      <c r="G160" s="2078">
        <f>INDEX('5 Capital Markets Canada'!$A$1:$Z$85,ROW('5 Capital Markets Canada'!$A34),COLUMN('5 Capital Markets Canada'!$P$1))</f>
        <v>0.51622580707037768</v>
      </c>
      <c r="H160" s="2079">
        <f>INDEX('5 Capital Markets Canada'!$A$1:$Z$85,ROW('5 Capital Markets Canada'!$A34),COLUMN('5 Capital Markets Canada'!$Q$1))</f>
        <v>0.54619492286192883</v>
      </c>
      <c r="I160" s="2111">
        <f t="shared" ref="I160:I165" si="37">(G160-H160)*100</f>
        <v>-2.9969115791551149</v>
      </c>
      <c r="P160" s="191">
        <f>IF((D160-E160)*F160&lt;0,"Reverse Sign",)</f>
        <v>0</v>
      </c>
      <c r="Q160" s="191">
        <f>IF((G160-H160)*I160&lt;0,"Reverse Sign",)</f>
        <v>0</v>
      </c>
    </row>
    <row r="161" spans="1:17" x14ac:dyDescent="0.2">
      <c r="C161" s="1849" t="s">
        <v>457</v>
      </c>
      <c r="D161" s="1739">
        <f>(HLOOKUP($B$4,'7 UK &amp; Dubai'!$11:$118,ROW('7 UK &amp; Dubai'!$A$35)-11,0))</f>
        <v>0.59068029681905454</v>
      </c>
      <c r="E161" s="1879">
        <f>(HLOOKUP($B$5,'7 UK &amp; Dubai'!$11:$118,ROW('7 UK &amp; Dubai'!$A$35)-11,0))</f>
        <v>0.59667308050400347</v>
      </c>
      <c r="F161" s="1766">
        <f t="shared" si="36"/>
        <v>-0.59927836849489324</v>
      </c>
      <c r="G161" s="2078">
        <f>INDEX('7 UK &amp; Dubai'!$A$1:$Z$88,ROW('7 UK &amp; Dubai'!$A35),COLUMN('7 UK &amp; Dubai'!$P$1))</f>
        <v>0.7195396593405583</v>
      </c>
      <c r="H161" s="2079">
        <f>INDEX('7 UK &amp; Dubai'!$A$1:$Z$88,ROW('7 UK &amp; Dubai'!$A35),COLUMN('7 UK &amp; Dubai'!$Q$1))</f>
        <v>0.66710520170016663</v>
      </c>
      <c r="I161" s="2111">
        <f t="shared" si="37"/>
        <v>5.2434457640391674</v>
      </c>
      <c r="P161" s="191">
        <f>IF((D161-E161)*F161&lt;0,"Reverse Sign",)</f>
        <v>0</v>
      </c>
      <c r="Q161" s="191">
        <f>IF((G161-H161)*I161&lt;0,"Reverse Sign",)</f>
        <v>0</v>
      </c>
    </row>
    <row r="162" spans="1:17" x14ac:dyDescent="0.2">
      <c r="C162" s="1849" t="s">
        <v>90</v>
      </c>
      <c r="D162" s="1739">
        <f>(HLOOKUP($B$4,'6 CG - US'!$11:$121,ROW('6 CG - US'!$A$36)-11,0))</f>
        <v>0.54276672249039504</v>
      </c>
      <c r="E162" s="1879">
        <f>(HLOOKUP($B$5,'6 CG - US'!$11:$121,ROW('6 CG - US'!$A$36)-11,0))</f>
        <v>0.54943471014819156</v>
      </c>
      <c r="F162" s="1766">
        <f t="shared" si="36"/>
        <v>-0.66679876577965258</v>
      </c>
      <c r="G162" s="2078">
        <f>INDEX('6 CG - US'!$A$1:$Z$91,ROW('6 CG - US'!$A36),COLUMN('6 CG - US'!$P$1))</f>
        <v>0.56200693705593452</v>
      </c>
      <c r="H162" s="2079">
        <f>INDEX('6 CG - US'!$A$1:$Z$91,ROW('6 CG - US'!$A36),COLUMN('6 CG - US'!$Q$1))</f>
        <v>0.592997431572166</v>
      </c>
      <c r="I162" s="2111">
        <f t="shared" si="37"/>
        <v>-3.0990494516231482</v>
      </c>
      <c r="P162" s="191">
        <f>IF((D162-E162)*F162&lt;0,"Reverse Sign",)</f>
        <v>0</v>
      </c>
      <c r="Q162" s="191">
        <f>IF((G162-H162)*I162&lt;0,"Reverse Sign",)</f>
        <v>0</v>
      </c>
    </row>
    <row r="163" spans="1:17" x14ac:dyDescent="0.2">
      <c r="C163" s="1849" t="s">
        <v>265</v>
      </c>
      <c r="D163" s="1739">
        <f>(HLOOKUP($B$4,'8 CG - Australia'!$10:$117,ROW('8 CG - Australia'!$A$32)-10,0))</f>
        <v>0.53796060991105465</v>
      </c>
      <c r="E163" s="1879">
        <f>(HLOOKUP($B$5,'8 CG - Australia'!$10:$117,ROW('8 CG - Australia'!$A$32)-10,0))</f>
        <v>0.49884704073789393</v>
      </c>
      <c r="F163" s="1766">
        <f t="shared" si="36"/>
        <v>3.9113569173160725</v>
      </c>
      <c r="G163" s="2078">
        <f>INDEX('8 CG - Australia'!$A$1:$Z$87,ROW('8 CG - Australia'!$A32),COLUMN('8 CG - Australia'!$P$1))</f>
        <v>0.63702735446024361</v>
      </c>
      <c r="H163" s="2079">
        <f>INDEX('8 CG - Australia'!$A$1:$Z$87,ROW('8 CG - Australia'!$A32),COLUMN('8 CG - Australia'!$Q$1))</f>
        <v>0.57232296306688646</v>
      </c>
      <c r="I163" s="2111">
        <f t="shared" si="37"/>
        <v>6.4704391393357152</v>
      </c>
      <c r="P163" s="191">
        <f>IF((D163-E163)*F163&lt;0,"Reverse Sign",)</f>
        <v>0</v>
      </c>
      <c r="Q163" s="191">
        <f>IF((G163-H163)*I163&lt;0,"Reverse Sign",)</f>
        <v>0</v>
      </c>
    </row>
    <row r="164" spans="1:17" ht="13.5" thickBot="1" x14ac:dyDescent="0.25">
      <c r="A164" s="1742" t="s">
        <v>441</v>
      </c>
      <c r="C164" s="1850" t="s">
        <v>458</v>
      </c>
      <c r="D164" s="1756" t="e">
        <f>(HLOOKUP($B$4,#REF!,ROW(#REF!)-11,0))</f>
        <v>#REF!</v>
      </c>
      <c r="E164" s="1880" t="e">
        <f>(HLOOKUP($B$5,#REF!,ROW(#REF!)-11,0))</f>
        <v>#REF!</v>
      </c>
      <c r="F164" s="1767" t="s">
        <v>38</v>
      </c>
      <c r="G164" s="1756" t="e">
        <f>(HLOOKUP($B$4,#REF!,ROW(#REF!)-11,0))</f>
        <v>#REF!</v>
      </c>
      <c r="H164" s="1880" t="e">
        <f>(HLOOKUP($B$5,#REF!,ROW(#REF!)-11,0))</f>
        <v>#REF!</v>
      </c>
      <c r="I164" s="2114" t="s">
        <v>38</v>
      </c>
      <c r="P164" s="191" t="e">
        <f>IF((D164-E164)*F164&lt;0,"Reverse Sign",)</f>
        <v>#REF!</v>
      </c>
      <c r="Q164" s="191" t="e">
        <f>IF((G164-H164)*I164&lt;0,"Reverse Sign",)</f>
        <v>#REF!</v>
      </c>
    </row>
    <row r="165" spans="1:17" ht="13.5" thickBot="1" x14ac:dyDescent="0.25">
      <c r="C165" s="1850" t="s">
        <v>476</v>
      </c>
      <c r="D165" s="1740">
        <f>(HLOOKUP($B$4,'4 Canaccord Genuity '!$12:$104,ROW('4 Canaccord Genuity '!$A$53)-12,0))</f>
        <v>0.53160149589488614</v>
      </c>
      <c r="E165" s="1881">
        <f>(HLOOKUP($B$5,'4 Canaccord Genuity '!$12:$104,ROW('4 Canaccord Genuity '!$A$53)-12,0))</f>
        <v>0.53924761598956183</v>
      </c>
      <c r="F165" s="1767">
        <f t="shared" si="36"/>
        <v>-0.76461200946756902</v>
      </c>
      <c r="G165" s="2112">
        <f>INDEX('4 Canaccord Genuity '!$A$1:$Z$74,ROW('4 Canaccord Genuity '!$A53),COLUMN('4 Canaccord Genuity '!$P$1))</f>
        <v>0.57394871125018809</v>
      </c>
      <c r="H165" s="2113">
        <f>INDEX('4 Canaccord Genuity '!$A$1:$Z$74,ROW('4 Canaccord Genuity '!$A53),COLUMN('4 Canaccord Genuity '!$Q$1))</f>
        <v>0.59127355087239397</v>
      </c>
      <c r="I165" s="2114">
        <f t="shared" si="37"/>
        <v>-1.7324839622205879</v>
      </c>
    </row>
    <row r="166" spans="1:17" x14ac:dyDescent="0.2">
      <c r="G166" s="2056"/>
      <c r="H166" s="2056"/>
      <c r="I166" s="2056"/>
    </row>
    <row r="167" spans="1:17" x14ac:dyDescent="0.2">
      <c r="G167" s="2056"/>
      <c r="H167" s="2056"/>
      <c r="I167" s="2056"/>
    </row>
    <row r="168" spans="1:17" x14ac:dyDescent="0.2">
      <c r="G168" s="2056"/>
      <c r="H168" s="2056"/>
      <c r="I168" s="2056"/>
    </row>
    <row r="169" spans="1:17" x14ac:dyDescent="0.2">
      <c r="G169" s="2056"/>
      <c r="H169" s="2056"/>
      <c r="I169" s="2056"/>
    </row>
    <row r="170" spans="1:17" ht="16.5" x14ac:dyDescent="0.2">
      <c r="C170" s="1985" t="s">
        <v>567</v>
      </c>
      <c r="D170" s="1817"/>
      <c r="E170" s="1817"/>
      <c r="F170" s="1817"/>
      <c r="G170" s="2083"/>
      <c r="H170" s="2083"/>
      <c r="I170" s="2083"/>
    </row>
    <row r="171" spans="1:17" ht="13.5" thickBot="1" x14ac:dyDescent="0.25">
      <c r="C171" s="1851"/>
      <c r="D171" s="1817"/>
      <c r="E171" s="1817"/>
      <c r="F171" s="1817"/>
      <c r="G171" s="2083"/>
      <c r="H171" s="2083"/>
      <c r="I171" s="2083"/>
    </row>
    <row r="172" spans="1:17" ht="12.75" customHeight="1" x14ac:dyDescent="0.2">
      <c r="C172" s="2331" t="s">
        <v>460</v>
      </c>
      <c r="D172" s="1864"/>
      <c r="E172" s="1872"/>
      <c r="F172" s="2323" t="s">
        <v>392</v>
      </c>
      <c r="G172" s="2115"/>
      <c r="H172" s="2116"/>
      <c r="I172" s="2334" t="s">
        <v>438</v>
      </c>
    </row>
    <row r="173" spans="1:17" ht="22.5" customHeight="1" x14ac:dyDescent="0.2">
      <c r="C173" s="2332"/>
      <c r="D173" s="2329" t="str">
        <f>D158</f>
        <v>Three months ended December 31</v>
      </c>
      <c r="E173" s="2329"/>
      <c r="F173" s="2324"/>
      <c r="G173" s="2383">
        <f>G158</f>
        <v>0</v>
      </c>
      <c r="H173" s="2383"/>
      <c r="I173" s="2335"/>
    </row>
    <row r="174" spans="1:17" ht="13.5" thickBot="1" x14ac:dyDescent="0.25">
      <c r="C174" s="2333"/>
      <c r="D174" s="1862">
        <f>D159</f>
        <v>2018</v>
      </c>
      <c r="E174" s="1862">
        <f>E159</f>
        <v>2017</v>
      </c>
      <c r="F174" s="2325"/>
      <c r="G174" s="2117">
        <f>G159</f>
        <v>2018</v>
      </c>
      <c r="H174" s="2117">
        <f>H159</f>
        <v>2017</v>
      </c>
      <c r="I174" s="2336"/>
    </row>
    <row r="175" spans="1:17" x14ac:dyDescent="0.2">
      <c r="C175" s="1839" t="s">
        <v>4</v>
      </c>
      <c r="D175" s="1748">
        <f>(HLOOKUP($B$4,'10 CWM Canada'!$11:$113,ROW('10 CWM Canada'!$A$16)-10,0))</f>
        <v>54202</v>
      </c>
      <c r="E175" s="1753">
        <f>(HLOOKUP($B$5,'10 CWM Canada'!$11:$113,ROW('10 CWM Canada'!$A$16)-10,0))</f>
        <v>48428</v>
      </c>
      <c r="F175" s="1732">
        <f>IF(OR(((D175-E175)/E175)&gt;3,((D175-E175)/E175)&lt;-3),"n.m.",((D175-E175)/E175))</f>
        <v>0.11922854546956306</v>
      </c>
      <c r="G175" s="2087">
        <f>INDEX('10 CWM Canada'!$A$1:$Z$83,ROW('10 CWM Canada'!$A16),COLUMN('10 CWM Canada'!$P$1))</f>
        <v>206826</v>
      </c>
      <c r="H175" s="2088">
        <f>INDEX('10 CWM Canada'!$A$1:$Z$83,ROW('10 CWM Canada'!$A16),COLUMN('10 CWM Canada'!$Q$1))</f>
        <v>168882</v>
      </c>
      <c r="I175" s="2054">
        <f>IF(OR(((G175-H175)/H175)&gt;3,((G175-H175)/H175)&lt;-3),"n.m.",((G175-H175)/H175))</f>
        <v>0.22467758553309411</v>
      </c>
      <c r="J175" s="191">
        <f>D175-E175</f>
        <v>5774</v>
      </c>
      <c r="K175" s="347">
        <f>G175-H175</f>
        <v>37944</v>
      </c>
      <c r="P175" s="191">
        <f t="shared" ref="P175:P189" si="38">IF((D175-E175)*F175&lt;0,"Reverse Sign",)</f>
        <v>0</v>
      </c>
      <c r="Q175" s="191">
        <f t="shared" ref="Q175:Q189" si="39">IF((G175-H175)*I175&lt;0,"Reverse Sign",)</f>
        <v>0</v>
      </c>
    </row>
    <row r="176" spans="1:17" x14ac:dyDescent="0.2">
      <c r="C176" s="1839" t="s">
        <v>5</v>
      </c>
      <c r="D176" s="1748"/>
      <c r="E176" s="1753"/>
      <c r="F176" s="1759"/>
      <c r="G176" s="2087"/>
      <c r="H176" s="2088"/>
      <c r="I176" s="2118"/>
      <c r="J176" s="191">
        <f t="shared" ref="J176:J193" si="40">D176-E176</f>
        <v>0</v>
      </c>
      <c r="K176" s="347">
        <f t="shared" ref="K176:K193" si="41">G176-H176</f>
        <v>0</v>
      </c>
      <c r="P176" s="191">
        <f t="shared" si="38"/>
        <v>0</v>
      </c>
      <c r="Q176" s="191">
        <f t="shared" si="39"/>
        <v>0</v>
      </c>
    </row>
    <row r="177" spans="3:17" x14ac:dyDescent="0.2">
      <c r="C177" s="1839" t="s">
        <v>461</v>
      </c>
      <c r="D177" s="1748">
        <f>(HLOOKUP($B$4,'10 CWM Canada'!$11:$113,ROW('10 CWM Canada'!$A$18)-10,0))</f>
        <v>27907</v>
      </c>
      <c r="E177" s="1753">
        <f>(HLOOKUP($B$5,'10 CWM Canada'!$11:$113,ROW('10 CWM Canada'!$A$18)-10,0))</f>
        <v>25068</v>
      </c>
      <c r="F177" s="1759">
        <f t="shared" ref="F177:F182" si="42">IF(OR(((D177-E177)/E177)&gt;3,((D177-E177)/E177)&lt;-3),"n.m.",((D177-E177)/E177))</f>
        <v>0.11325195468326153</v>
      </c>
      <c r="G177" s="2087">
        <f>INDEX('10 CWM Canada'!$A$1:$Z$83,ROW('10 CWM Canada'!$A18),COLUMN('10 CWM Canada'!$P$1))</f>
        <v>104768</v>
      </c>
      <c r="H177" s="2088">
        <f>INDEX('10 CWM Canada'!$A$1:$Z$83,ROW('10 CWM Canada'!$A18),COLUMN('10 CWM Canada'!$Q$1))</f>
        <v>86382</v>
      </c>
      <c r="I177" s="2118">
        <f t="shared" ref="I177:I182" si="43">IF(OR(((G177-H177)/H177)&gt;3,((G177-H177)/H177)&lt;-3),"n.m.",((G177-H177)/H177))</f>
        <v>0.2128452686902364</v>
      </c>
      <c r="J177" s="191">
        <f t="shared" si="40"/>
        <v>2839</v>
      </c>
      <c r="K177" s="347">
        <f t="shared" si="41"/>
        <v>18386</v>
      </c>
      <c r="P177" s="191">
        <f t="shared" si="38"/>
        <v>0</v>
      </c>
      <c r="Q177" s="191">
        <f t="shared" si="39"/>
        <v>0</v>
      </c>
    </row>
    <row r="178" spans="3:17" x14ac:dyDescent="0.2">
      <c r="C178" s="1839" t="s">
        <v>462</v>
      </c>
      <c r="D178" s="1748">
        <f>(HLOOKUP($B$4,'10 CWM Canada'!$11:$113,ROW('10 CWM Canada'!$A$19)-10,0))</f>
        <v>3513</v>
      </c>
      <c r="E178" s="1753">
        <f>(HLOOKUP($B$5,'10 CWM Canada'!$11:$113,ROW('10 CWM Canada'!$A$19)-10,0))</f>
        <v>2586</v>
      </c>
      <c r="F178" s="1759">
        <f t="shared" si="42"/>
        <v>0.35846867749419953</v>
      </c>
      <c r="G178" s="2087">
        <f>INDEX('10 CWM Canada'!$A$1:$Z$83,ROW('10 CWM Canada'!$A19),COLUMN('10 CWM Canada'!$P$1))</f>
        <v>14092</v>
      </c>
      <c r="H178" s="2088">
        <f>INDEX('10 CWM Canada'!$A$1:$Z$83,ROW('10 CWM Canada'!$A19),COLUMN('10 CWM Canada'!$Q$1))</f>
        <v>11315</v>
      </c>
      <c r="I178" s="2118">
        <f t="shared" si="43"/>
        <v>0.24542642509942555</v>
      </c>
      <c r="J178" s="191">
        <f t="shared" si="40"/>
        <v>927</v>
      </c>
      <c r="K178" s="347">
        <f t="shared" si="41"/>
        <v>2777</v>
      </c>
      <c r="P178" s="191">
        <f t="shared" si="38"/>
        <v>0</v>
      </c>
      <c r="Q178" s="191">
        <f t="shared" si="39"/>
        <v>0</v>
      </c>
    </row>
    <row r="179" spans="3:17" ht="13.5" thickBot="1" x14ac:dyDescent="0.25">
      <c r="C179" s="1843" t="s">
        <v>463</v>
      </c>
      <c r="D179" s="1754">
        <f>D180-SUM(D177:D178)</f>
        <v>11196</v>
      </c>
      <c r="E179" s="1749">
        <f>E180-SUM(E177:E178)</f>
        <v>9931</v>
      </c>
      <c r="F179" s="1760">
        <f t="shared" si="42"/>
        <v>0.12737891451011982</v>
      </c>
      <c r="G179" s="2087">
        <f>G180-SUM(G177:G178)</f>
        <v>47968</v>
      </c>
      <c r="H179" s="2088">
        <f>H180-SUM(H177:H178)</f>
        <v>37463</v>
      </c>
      <c r="I179" s="2118">
        <f t="shared" si="43"/>
        <v>0.28041000453781062</v>
      </c>
      <c r="J179" s="191">
        <f t="shared" si="40"/>
        <v>1265</v>
      </c>
      <c r="K179" s="347">
        <f t="shared" si="41"/>
        <v>10505</v>
      </c>
      <c r="P179" s="191">
        <f t="shared" si="38"/>
        <v>0</v>
      </c>
      <c r="Q179" s="191">
        <f t="shared" si="39"/>
        <v>0</v>
      </c>
    </row>
    <row r="180" spans="3:17" x14ac:dyDescent="0.2">
      <c r="C180" s="1844" t="s">
        <v>77</v>
      </c>
      <c r="D180" s="1736">
        <f>(HLOOKUP($B$4,'10 CWM Canada'!$11:$113,ROW('10 CWM Canada'!$A$29)-10,0))</f>
        <v>42616</v>
      </c>
      <c r="E180" s="1868">
        <f>(HLOOKUP($B$5,'10 CWM Canada'!$11:$113,ROW('10 CWM Canada'!$A$29)-10,0))</f>
        <v>37585</v>
      </c>
      <c r="F180" s="1761">
        <f t="shared" si="42"/>
        <v>0.13385659172542239</v>
      </c>
      <c r="G180" s="1819">
        <f>INDEX('10 CWM Canada'!$A$1:$Z$83,ROW('10 CWM Canada'!$A29),COLUMN('10 CWM Canada'!$P$1))</f>
        <v>166828</v>
      </c>
      <c r="H180" s="2068">
        <f>INDEX('10 CWM Canada'!$A$1:$Z$83,ROW('10 CWM Canada'!$A29),COLUMN('10 CWM Canada'!$Q$1))</f>
        <v>135160</v>
      </c>
      <c r="I180" s="2119">
        <f t="shared" si="43"/>
        <v>0.23430008878366382</v>
      </c>
      <c r="J180" s="191">
        <f t="shared" si="40"/>
        <v>5031</v>
      </c>
      <c r="K180" s="347">
        <f t="shared" si="41"/>
        <v>31668</v>
      </c>
      <c r="P180" s="191">
        <f t="shared" si="38"/>
        <v>0</v>
      </c>
      <c r="Q180" s="191">
        <f t="shared" si="39"/>
        <v>0</v>
      </c>
    </row>
    <row r="181" spans="3:17" ht="13.5" x14ac:dyDescent="0.2">
      <c r="C181" s="1839" t="s">
        <v>464</v>
      </c>
      <c r="D181" s="1748">
        <f>(HLOOKUP($B$4,'10 CWM Canada'!$11:$113,ROW('10 CWM Canada'!$A$31)-10,0))</f>
        <v>2725</v>
      </c>
      <c r="E181" s="1753">
        <f>(HLOOKUP($B$5,'10 CWM Canada'!$11:$113,ROW('10 CWM Canada'!$A$31)-10,0))</f>
        <v>3345</v>
      </c>
      <c r="F181" s="1759">
        <f t="shared" si="42"/>
        <v>-0.18535127055306427</v>
      </c>
      <c r="G181" s="2087">
        <f>INDEX('10 CWM Canada'!$A$1:$Z$83,ROW('10 CWM Canada'!$A31),COLUMN('10 CWM Canada'!$P$1))</f>
        <v>13152</v>
      </c>
      <c r="H181" s="2088">
        <f>INDEX('10 CWM Canada'!$A$1:$Z$83,ROW('10 CWM Canada'!$A31),COLUMN('10 CWM Canada'!$Q$1))</f>
        <v>14200</v>
      </c>
      <c r="I181" s="2118">
        <f t="shared" si="43"/>
        <v>-7.3802816901408455E-2</v>
      </c>
      <c r="J181" s="191">
        <f t="shared" si="40"/>
        <v>-620</v>
      </c>
      <c r="K181" s="347">
        <f t="shared" si="41"/>
        <v>-1048</v>
      </c>
      <c r="P181" s="191">
        <f t="shared" si="38"/>
        <v>0</v>
      </c>
      <c r="Q181" s="191">
        <f t="shared" si="39"/>
        <v>0</v>
      </c>
    </row>
    <row r="182" spans="3:17" ht="13.5" x14ac:dyDescent="0.2">
      <c r="C182" s="1839" t="s">
        <v>465</v>
      </c>
      <c r="D182" s="1748">
        <f>(HLOOKUP($B$4,'10 CWM Canada'!$11:$113,ROW('10 CWM Canada'!$A$32)-10,0))</f>
        <v>8861</v>
      </c>
      <c r="E182" s="1753">
        <f>(HLOOKUP($B$5,'10 CWM Canada'!$11:$113,ROW('10 CWM Canada'!$A$32)-10,0))</f>
        <v>7498</v>
      </c>
      <c r="F182" s="1759">
        <f t="shared" si="42"/>
        <v>0.18178180848226194</v>
      </c>
      <c r="G182" s="2087">
        <f>INDEX('10 CWM Canada'!$A$1:$Z$83,ROW('10 CWM Canada'!$A32),COLUMN('10 CWM Canada'!$P$1))</f>
        <v>26846</v>
      </c>
      <c r="H182" s="2088">
        <f>INDEX('10 CWM Canada'!$A$1:$Z$83,ROW('10 CWM Canada'!$A32),COLUMN('10 CWM Canada'!$Q$1))</f>
        <v>19522</v>
      </c>
      <c r="I182" s="2118">
        <f t="shared" si="43"/>
        <v>0.3751664788443807</v>
      </c>
      <c r="J182" s="191">
        <f t="shared" si="40"/>
        <v>1363</v>
      </c>
      <c r="K182" s="347">
        <f t="shared" si="41"/>
        <v>7324</v>
      </c>
      <c r="P182" s="191">
        <f t="shared" si="38"/>
        <v>0</v>
      </c>
      <c r="Q182" s="191">
        <f t="shared" si="39"/>
        <v>0</v>
      </c>
    </row>
    <row r="183" spans="3:17" x14ac:dyDescent="0.2">
      <c r="C183" s="1839"/>
      <c r="D183" s="1748"/>
      <c r="E183" s="1753"/>
      <c r="F183" s="1762"/>
      <c r="G183" s="2087"/>
      <c r="H183" s="2088"/>
      <c r="I183" s="2118"/>
      <c r="J183" s="191">
        <f t="shared" si="40"/>
        <v>0</v>
      </c>
      <c r="K183" s="347">
        <f t="shared" si="41"/>
        <v>0</v>
      </c>
      <c r="P183" s="191">
        <f t="shared" si="38"/>
        <v>0</v>
      </c>
      <c r="Q183" s="191">
        <f t="shared" si="39"/>
        <v>0</v>
      </c>
    </row>
    <row r="184" spans="3:17" ht="13.5" x14ac:dyDescent="0.2">
      <c r="C184" s="1839" t="s">
        <v>466</v>
      </c>
      <c r="D184" s="1748">
        <f>(HLOOKUP($B$4,'10 CWM Canada'!$11:$113,ROW('10 CWM Canada'!$A$42)-10,0))</f>
        <v>3954</v>
      </c>
      <c r="E184" s="1753">
        <f>(HLOOKUP($B$5,'10 CWM Canada'!$11:$113,ROW('10 CWM Canada'!$A$42)-10,0))</f>
        <v>2838</v>
      </c>
      <c r="F184" s="1760">
        <f>IF(OR(((D184-E184)/E184)&gt;3,((D184-E184)/E184)&lt;-3),"n.m.",((D184-E184)/E184))</f>
        <v>0.39323467230443976</v>
      </c>
      <c r="G184" s="2087"/>
      <c r="H184" s="2088"/>
      <c r="I184" s="2118"/>
      <c r="J184" s="191">
        <f t="shared" si="40"/>
        <v>1116</v>
      </c>
      <c r="K184" s="347">
        <f t="shared" si="41"/>
        <v>0</v>
      </c>
      <c r="P184" s="191">
        <f t="shared" si="38"/>
        <v>0</v>
      </c>
      <c r="Q184" s="191">
        <f t="shared" si="39"/>
        <v>0</v>
      </c>
    </row>
    <row r="185" spans="3:17" ht="13.5" x14ac:dyDescent="0.2">
      <c r="C185" s="1839" t="s">
        <v>467</v>
      </c>
      <c r="D185" s="1748">
        <f>(HLOOKUP($B$4,'10 CWM Canada'!$11:$113,ROW('10 CWM Canada'!$A$43)-10,0))</f>
        <v>18260</v>
      </c>
      <c r="E185" s="1753">
        <f>(HLOOKUP($B$5,'10 CWM Canada'!$11:$113,ROW('10 CWM Canada'!$A$43)-10,0))</f>
        <v>14451</v>
      </c>
      <c r="F185" s="1760">
        <f>IF(OR(((D185-E185)/E185)&gt;3,((D185-E185)/E185)&lt;-3),"n.m.",((D185-E185)/E185))</f>
        <v>0.26358037506054943</v>
      </c>
      <c r="G185" s="2087"/>
      <c r="H185" s="2088"/>
      <c r="I185" s="2118"/>
      <c r="J185" s="191">
        <f t="shared" si="40"/>
        <v>3809</v>
      </c>
      <c r="K185" s="347">
        <f t="shared" si="41"/>
        <v>0</v>
      </c>
      <c r="P185" s="191">
        <f t="shared" si="38"/>
        <v>0</v>
      </c>
      <c r="Q185" s="191">
        <f t="shared" si="39"/>
        <v>0</v>
      </c>
    </row>
    <row r="186" spans="3:17" x14ac:dyDescent="0.2">
      <c r="C186" s="1839"/>
      <c r="D186" s="1748"/>
      <c r="E186" s="1753"/>
      <c r="F186" s="1762"/>
      <c r="G186" s="2087"/>
      <c r="H186" s="2088"/>
      <c r="I186" s="2118"/>
      <c r="J186" s="191">
        <f t="shared" si="40"/>
        <v>0</v>
      </c>
      <c r="K186" s="347">
        <f t="shared" si="41"/>
        <v>0</v>
      </c>
      <c r="P186" s="191">
        <f t="shared" si="38"/>
        <v>0</v>
      </c>
      <c r="Q186" s="191">
        <f t="shared" si="39"/>
        <v>0</v>
      </c>
    </row>
    <row r="187" spans="3:17" x14ac:dyDescent="0.2">
      <c r="C187" s="1839" t="s">
        <v>468</v>
      </c>
      <c r="D187" s="1748">
        <f>(HLOOKUP($B$4,'10 CWM Canada'!$11:$113,ROW('10 CWM Canada'!$A$46)-10,0))</f>
        <v>150</v>
      </c>
      <c r="E187" s="1753">
        <f>(HLOOKUP($B$5,'10 CWM Canada'!$11:$113,ROW('10 CWM Canada'!$A$46)-10,0))</f>
        <v>134</v>
      </c>
      <c r="F187" s="1760">
        <f>IF(OR(((D187-E187)/E187)&gt;3,((D187-E187)/E187)&lt;-3),"n.m.",((D187-E187)/E187))</f>
        <v>0.11940298507462686</v>
      </c>
      <c r="G187" s="2087"/>
      <c r="H187" s="2088"/>
      <c r="I187" s="2118"/>
      <c r="J187" s="191">
        <f t="shared" si="40"/>
        <v>16</v>
      </c>
      <c r="K187" s="347">
        <f t="shared" si="41"/>
        <v>0</v>
      </c>
      <c r="P187" s="191">
        <f t="shared" si="38"/>
        <v>0</v>
      </c>
      <c r="Q187" s="191">
        <f t="shared" si="39"/>
        <v>0</v>
      </c>
    </row>
    <row r="188" spans="3:17" x14ac:dyDescent="0.2">
      <c r="C188" s="1839" t="s">
        <v>84</v>
      </c>
      <c r="D188" s="1748">
        <f>(HLOOKUP($B$4,'10 CWM Canada'!$11:$113,ROW('10 CWM Canada'!$A$45)-10,0))</f>
        <v>425</v>
      </c>
      <c r="E188" s="1753">
        <f>(HLOOKUP($B$5,'10 CWM Canada'!$11:$113,ROW('10 CWM Canada'!$A$45)-10,0))</f>
        <v>352</v>
      </c>
      <c r="F188" s="1760">
        <f>IF(OR(((D188-E188)/E188)&gt;3,((D188-E188)/E188)&lt;-3),"n.m.",((D188-E188)/E188))</f>
        <v>0.20738636363636365</v>
      </c>
      <c r="G188" s="2087"/>
      <c r="H188" s="2088"/>
      <c r="I188" s="2118"/>
      <c r="J188" s="191">
        <f t="shared" si="40"/>
        <v>73</v>
      </c>
      <c r="K188" s="347">
        <f t="shared" si="41"/>
        <v>0</v>
      </c>
      <c r="P188" s="191">
        <f t="shared" si="38"/>
        <v>0</v>
      </c>
      <c r="Q188" s="191">
        <f t="shared" si="39"/>
        <v>0</v>
      </c>
    </row>
    <row r="189" spans="3:17" ht="13.5" thickBot="1" x14ac:dyDescent="0.25">
      <c r="C189" s="1845"/>
      <c r="D189" s="1727"/>
      <c r="E189" s="1728"/>
      <c r="F189" s="1763"/>
      <c r="G189" s="1820"/>
      <c r="H189" s="2070"/>
      <c r="I189" s="2120"/>
      <c r="J189" s="191">
        <f t="shared" si="40"/>
        <v>0</v>
      </c>
      <c r="K189" s="347">
        <f t="shared" si="41"/>
        <v>0</v>
      </c>
      <c r="P189" s="191">
        <f t="shared" si="38"/>
        <v>0</v>
      </c>
      <c r="Q189" s="191">
        <f t="shared" si="39"/>
        <v>0</v>
      </c>
    </row>
    <row r="190" spans="3:17" ht="14.25" x14ac:dyDescent="0.2">
      <c r="C190" s="1857" t="s">
        <v>469</v>
      </c>
      <c r="D190" s="1748"/>
      <c r="E190" s="1753"/>
      <c r="F190" s="1760"/>
      <c r="G190" s="2087"/>
      <c r="H190" s="2088"/>
      <c r="I190" s="2121"/>
      <c r="J190" s="191">
        <f t="shared" si="40"/>
        <v>0</v>
      </c>
      <c r="K190" s="347">
        <f t="shared" si="41"/>
        <v>0</v>
      </c>
    </row>
    <row r="191" spans="3:17" x14ac:dyDescent="0.2">
      <c r="C191" s="1839" t="s">
        <v>77</v>
      </c>
      <c r="D191" s="1748">
        <f>(HLOOKUP($B$4,'10 CWM Canada'!$11:$113,ROW('10 CWM Canada'!$A$53)-10,0))</f>
        <v>42616</v>
      </c>
      <c r="E191" s="1753">
        <f>(HLOOKUP($B$5,'10 CWM Canada'!$11:$113,ROW('10 CWM Canada'!$A$53)-10,0))</f>
        <v>37585</v>
      </c>
      <c r="F191" s="1760">
        <f>IF(OR(((D191-E191)/E191)&gt;3,((D191-E191)/E191)&lt;-3),"n.m.",((D191-E191)/E191))</f>
        <v>0.13385659172542239</v>
      </c>
      <c r="G191" s="2087">
        <f>INDEX('10 CWM Canada'!$A$1:$Z$83,ROW('10 CWM Canada'!$A53),COLUMN('10 CWM Canada'!$P$1))</f>
        <v>166828</v>
      </c>
      <c r="H191" s="2088">
        <f>INDEX('10 CWM Canada'!$A$1:$Z$83,ROW('10 CWM Canada'!$A53),COLUMN('10 CWM Canada'!$Q$1))</f>
        <v>134492</v>
      </c>
      <c r="I191" s="2118">
        <f>IF(OR(((G191-H191)/H191)&gt;3,((G191-H191)/H191)&lt;-3),"n.m.",((G191-H191)/H191))</f>
        <v>0.2404306575855813</v>
      </c>
      <c r="J191" s="191">
        <f t="shared" si="40"/>
        <v>5031</v>
      </c>
      <c r="K191" s="347">
        <f t="shared" si="41"/>
        <v>32336</v>
      </c>
      <c r="P191" s="191">
        <f>IF((D191-E191)*F191&lt;0,"Reverse Sign",)</f>
        <v>0</v>
      </c>
      <c r="Q191" s="191">
        <f>IF((G191-H191)*I191&lt;0,"Reverse Sign",)</f>
        <v>0</v>
      </c>
    </row>
    <row r="192" spans="3:17" ht="13.5" x14ac:dyDescent="0.2">
      <c r="C192" s="1839" t="s">
        <v>464</v>
      </c>
      <c r="D192" s="1748">
        <f>D181</f>
        <v>2725</v>
      </c>
      <c r="E192" s="1753">
        <f>E181</f>
        <v>3345</v>
      </c>
      <c r="F192" s="1760">
        <f>IF(OR(((D192-E192)/E192)&gt;3,((D192-E192)/E192)&lt;-3),"n.m.",((D192-E192)/E192))</f>
        <v>-0.18535127055306427</v>
      </c>
      <c r="G192" s="2087">
        <f>G181</f>
        <v>13152</v>
      </c>
      <c r="H192" s="2088">
        <f>H181</f>
        <v>14200</v>
      </c>
      <c r="I192" s="2118">
        <f>IF(OR(((G192-H192)/H192)&gt;3,((G192-H192)/H192)&lt;-3),"n.m.",((G192-H192)/H192))</f>
        <v>-7.3802816901408455E-2</v>
      </c>
      <c r="J192" s="191">
        <f t="shared" si="40"/>
        <v>-620</v>
      </c>
      <c r="K192" s="347">
        <f t="shared" si="41"/>
        <v>-1048</v>
      </c>
      <c r="P192" s="191">
        <f>IF((D192-E192)*F192&lt;0,"Reverse Sign",)</f>
        <v>0</v>
      </c>
      <c r="Q192" s="191">
        <f>IF((G192-H192)*I192&lt;0,"Reverse Sign",)</f>
        <v>0</v>
      </c>
    </row>
    <row r="193" spans="3:17" ht="14.25" thickBot="1" x14ac:dyDescent="0.25">
      <c r="C193" s="1845" t="s">
        <v>470</v>
      </c>
      <c r="D193" s="1727">
        <f>(HLOOKUP($B$4,'10 CWM Canada'!$11:$113,ROW('10 CWM Canada'!$A$55)-10,0))</f>
        <v>8861</v>
      </c>
      <c r="E193" s="1728">
        <f>(HLOOKUP($B$5,'10 CWM Canada'!$11:$113,ROW('10 CWM Canada'!$A$55)-10,0))</f>
        <v>7498</v>
      </c>
      <c r="F193" s="1764">
        <f>IF(OR(((D193-E193)/E193)&gt;3,((D193-E193)/E193)&lt;-3),"n.m.",((D193-E193)/E193))</f>
        <v>0.18178180848226194</v>
      </c>
      <c r="G193" s="1820">
        <f>INDEX('10 CWM Canada'!$A$1:$Z$83,ROW('10 CWM Canada'!$A55),COLUMN('10 CWM Canada'!$P$1))</f>
        <v>26846</v>
      </c>
      <c r="H193" s="2070">
        <f>INDEX('10 CWM Canada'!$A$1:$Z$83,ROW('10 CWM Canada'!$A55),COLUMN('10 CWM Canada'!$Q$1))</f>
        <v>20190</v>
      </c>
      <c r="I193" s="2120">
        <f>IF(OR(((G193-H193)/H193)&gt;3,((G193-H193)/H193)&lt;-3),"n.m.",((G193-H193)/H193))</f>
        <v>0.3296681525507677</v>
      </c>
      <c r="J193" s="191">
        <f t="shared" si="40"/>
        <v>1363</v>
      </c>
      <c r="K193" s="347">
        <f t="shared" si="41"/>
        <v>6656</v>
      </c>
      <c r="P193" s="191">
        <f>IF((D193-E193)*F193&lt;0,"Reverse Sign",)</f>
        <v>0</v>
      </c>
      <c r="Q193" s="191">
        <f>IF((G193-H193)*I193&lt;0,"Reverse Sign",)</f>
        <v>0</v>
      </c>
    </row>
    <row r="194" spans="3:17" x14ac:dyDescent="0.2">
      <c r="G194" s="2056"/>
      <c r="H194" s="2056"/>
      <c r="I194" s="2056"/>
    </row>
    <row r="195" spans="3:17" x14ac:dyDescent="0.2">
      <c r="G195" s="2056"/>
      <c r="H195" s="2056"/>
      <c r="I195" s="2056"/>
    </row>
    <row r="196" spans="3:17" ht="15" x14ac:dyDescent="0.2">
      <c r="C196" s="1852"/>
      <c r="D196" s="1817"/>
      <c r="E196" s="1817"/>
      <c r="F196" s="1817"/>
      <c r="G196" s="2083"/>
      <c r="H196" s="2083"/>
      <c r="I196" s="2083"/>
    </row>
    <row r="197" spans="3:17" ht="17.25" thickBot="1" x14ac:dyDescent="0.25">
      <c r="C197" s="1985" t="s">
        <v>568</v>
      </c>
      <c r="D197" s="1817"/>
      <c r="E197" s="1817"/>
      <c r="F197" s="1817"/>
      <c r="G197" s="2083"/>
      <c r="H197" s="2083"/>
      <c r="I197" s="2083"/>
    </row>
    <row r="198" spans="3:17" ht="12.75" customHeight="1" x14ac:dyDescent="0.2">
      <c r="C198" s="2337" t="s">
        <v>477</v>
      </c>
      <c r="D198" s="1869"/>
      <c r="E198" s="1870"/>
      <c r="F198" s="2340" t="s">
        <v>392</v>
      </c>
      <c r="G198" s="2122"/>
      <c r="H198" s="2123"/>
      <c r="I198" s="2343" t="s">
        <v>438</v>
      </c>
    </row>
    <row r="199" spans="3:17" ht="24.75" customHeight="1" x14ac:dyDescent="0.2">
      <c r="C199" s="2338"/>
      <c r="D199" s="2382" t="str">
        <f>D173</f>
        <v>Three months ended December 31</v>
      </c>
      <c r="E199" s="2382"/>
      <c r="F199" s="2341"/>
      <c r="G199" s="2346">
        <f>G173</f>
        <v>0</v>
      </c>
      <c r="H199" s="2346"/>
      <c r="I199" s="2344"/>
    </row>
    <row r="200" spans="3:17" ht="13.5" thickBot="1" x14ac:dyDescent="0.25">
      <c r="C200" s="2339"/>
      <c r="D200" s="1871">
        <f>D174</f>
        <v>2018</v>
      </c>
      <c r="E200" s="1871">
        <f>E174</f>
        <v>2017</v>
      </c>
      <c r="F200" s="2342"/>
      <c r="G200" s="2110">
        <f>G174</f>
        <v>2018</v>
      </c>
      <c r="H200" s="2110">
        <f>H174</f>
        <v>2017</v>
      </c>
      <c r="I200" s="2345"/>
    </row>
    <row r="201" spans="3:17" x14ac:dyDescent="0.2">
      <c r="C201" s="1839" t="s">
        <v>4</v>
      </c>
      <c r="D201" s="1748">
        <f>(HLOOKUP($B$4,'11 CWM UK and Europe'!$11:$119,ROW('11 CWM UK and Europe'!$A$15)-10,0))</f>
        <v>61777</v>
      </c>
      <c r="E201" s="2088">
        <f>(HLOOKUP($B$5,'11 CWM UK and Europe'!$11:$119,ROW('11 CWM UK and Europe'!$A$15)-10,0))</f>
        <v>60945</v>
      </c>
      <c r="F201" s="1759">
        <f>IF(OR(((D201-E201)/E201)&gt;3,((D201-E201)/E201)&lt;-3),"n.m.",((D201-E201)/E201))</f>
        <v>1.3651653129871195E-2</v>
      </c>
      <c r="G201" s="2087">
        <f>INDEX('11 CWM UK and Europe'!$A$1:$Z$89,ROW('11 CWM UK and Europe'!$A15),COLUMN('11 CWM UK and Europe'!$P$1))</f>
        <v>254985</v>
      </c>
      <c r="H201" s="2088">
        <f>INDEX('11 CWM UK and Europe'!$A$1:$Z$89,ROW('11 CWM UK and Europe'!$A15),COLUMN('11 CWM UK and Europe'!$Q$1))</f>
        <v>201383</v>
      </c>
      <c r="I201" s="2118">
        <f>IF(OR(((G201-H201)/H201)&gt;3,((G201-H201)/H201)&lt;-3),"n.m.",((G201-H201)/H201))</f>
        <v>0.26616943833392093</v>
      </c>
      <c r="J201" s="191">
        <f>D201-E201</f>
        <v>832</v>
      </c>
      <c r="K201" s="191">
        <f>G201-H201</f>
        <v>53602</v>
      </c>
      <c r="P201" s="191">
        <f>IF((D201-E201)*F201&lt;0,"Reverse Sign",)</f>
        <v>0</v>
      </c>
      <c r="Q201" s="191">
        <f>IF((G201-H201)*I201&lt;0,"Reverse Sign",)</f>
        <v>0</v>
      </c>
    </row>
    <row r="202" spans="3:17" x14ac:dyDescent="0.2">
      <c r="C202" s="1839" t="s">
        <v>5</v>
      </c>
      <c r="D202" s="1748"/>
      <c r="E202" s="2088"/>
      <c r="F202" s="1759"/>
      <c r="G202" s="2087"/>
      <c r="H202" s="2088"/>
      <c r="I202" s="2118"/>
      <c r="J202" s="191">
        <f t="shared" ref="J202:J219" si="44">D202-E202</f>
        <v>0</v>
      </c>
      <c r="K202" s="191">
        <f t="shared" ref="K202:K219" si="45">G202-H202</f>
        <v>0</v>
      </c>
    </row>
    <row r="203" spans="3:17" x14ac:dyDescent="0.2">
      <c r="C203" s="1839" t="s">
        <v>461</v>
      </c>
      <c r="D203" s="1748">
        <f>(HLOOKUP($B$4,'11 CWM UK and Europe'!$11:$119,ROW('11 CWM UK and Europe'!$A$17)-10,0))</f>
        <v>22360</v>
      </c>
      <c r="E203" s="2088">
        <f>(HLOOKUP($B$5,'11 CWM UK and Europe'!$11:$119,ROW('11 CWM UK and Europe'!$A$17)-10,0))</f>
        <v>23912</v>
      </c>
      <c r="F203" s="1759">
        <f t="shared" ref="F203:F210" si="46">IF(OR(((D203-E203)/E203)&gt;3,((D203-E203)/E203)&lt;-3),"n.m.",((D203-E203)/E203))</f>
        <v>-6.4904650384744064E-2</v>
      </c>
      <c r="G203" s="2087">
        <f>INDEX('11 CWM UK and Europe'!$A$1:$Z$89,ROW('11 CWM UK and Europe'!$A17),COLUMN('11 CWM UK and Europe'!$P$1))</f>
        <v>96005</v>
      </c>
      <c r="H203" s="2088">
        <f>INDEX('11 CWM UK and Europe'!$A$1:$Z$89,ROW('11 CWM UK and Europe'!$A17),COLUMN('11 CWM UK and Europe'!$Q$1))</f>
        <v>77303</v>
      </c>
      <c r="I203" s="2118">
        <f>IF(OR(((G203-H203)/H203)&gt;3,((G203-H203)/H203)&lt;-3),"n.m.",((G203-H203)/H203))</f>
        <v>0.24193110228581038</v>
      </c>
      <c r="J203" s="191">
        <f t="shared" si="44"/>
        <v>-1552</v>
      </c>
      <c r="K203" s="191">
        <f t="shared" si="45"/>
        <v>18702</v>
      </c>
      <c r="P203" s="191">
        <f>IF((D203-E203)*F203&lt;0,"Reverse Sign",)</f>
        <v>0</v>
      </c>
      <c r="Q203" s="191">
        <f>IF((G203-H203)*I203&lt;0,"Reverse Sign",)</f>
        <v>0</v>
      </c>
    </row>
    <row r="204" spans="3:17" x14ac:dyDescent="0.2">
      <c r="C204" s="1839" t="s">
        <v>462</v>
      </c>
      <c r="D204" s="1748">
        <f>(HLOOKUP($B$4,'11 CWM UK and Europe'!$11:$119,ROW('11 CWM UK and Europe'!$A$18)-10,0))</f>
        <v>12292</v>
      </c>
      <c r="E204" s="2088">
        <f>(HLOOKUP($B$5,'11 CWM UK and Europe'!$11:$119,ROW('11 CWM UK and Europe'!$A$18)-10,0))</f>
        <v>11055</v>
      </c>
      <c r="F204" s="1759">
        <f t="shared" si="46"/>
        <v>0.11189507010402533</v>
      </c>
      <c r="G204" s="2087">
        <f>INDEX('11 CWM UK and Europe'!$A$1:$Z$89,ROW('11 CWM UK and Europe'!$A18),COLUMN('11 CWM UK and Europe'!$P$1))</f>
        <v>48822</v>
      </c>
      <c r="H204" s="2088">
        <f>INDEX('11 CWM UK and Europe'!$A$1:$Z$89,ROW('11 CWM UK and Europe'!$A18),COLUMN('11 CWM UK and Europe'!$Q$1))</f>
        <v>36214</v>
      </c>
      <c r="I204" s="2118">
        <f>IF(OR(((G204-H204)/H204)&gt;3,((G204-H204)/H204)&lt;-3),"n.m.",((G204-H204)/H204))</f>
        <v>0.34815264814712543</v>
      </c>
      <c r="J204" s="191">
        <f t="shared" si="44"/>
        <v>1237</v>
      </c>
      <c r="K204" s="191">
        <f t="shared" si="45"/>
        <v>12608</v>
      </c>
      <c r="P204" s="191">
        <f>IF((D204-E204)*F204&lt;0,"Reverse Sign",)</f>
        <v>0</v>
      </c>
      <c r="Q204" s="191">
        <f>IF((G204-H204)*I204&lt;0,"Reverse Sign",)</f>
        <v>0</v>
      </c>
    </row>
    <row r="205" spans="3:17" x14ac:dyDescent="0.2">
      <c r="C205" s="1843" t="s">
        <v>463</v>
      </c>
      <c r="D205" s="1748">
        <f>D208-SUM(D203:D204)-SUM(D206:D207)</f>
        <v>20698</v>
      </c>
      <c r="E205" s="2088">
        <f>E208-SUM(E203:E204)-SUM(E206:E207)</f>
        <v>16832</v>
      </c>
      <c r="F205" s="1759">
        <f t="shared" si="46"/>
        <v>0.22968155893536121</v>
      </c>
      <c r="G205" s="2087">
        <f>G208-SUM(G203:G204)-SUM(G206:G207)</f>
        <v>75998</v>
      </c>
      <c r="H205" s="2088">
        <f>H208-SUM(H203:H204)-SUM(H206:H207)</f>
        <v>62389</v>
      </c>
      <c r="I205" s="2118">
        <f>IF(OR(((G205-H205)/H205)&gt;3,((G205-H205)/H205)&lt;-3),"n.m.",((G205-H205)/H205))</f>
        <v>0.21813140136883105</v>
      </c>
      <c r="J205" s="191">
        <f t="shared" si="44"/>
        <v>3866</v>
      </c>
      <c r="K205" s="191">
        <f t="shared" si="45"/>
        <v>13609</v>
      </c>
      <c r="P205" s="191">
        <f>IF((D205-E205)*F205&lt;0,"Reverse Sign",)</f>
        <v>0</v>
      </c>
      <c r="Q205" s="191">
        <f>IF((G205-H205)*I205&lt;0,"Reverse Sign",)</f>
        <v>0</v>
      </c>
    </row>
    <row r="206" spans="3:17" x14ac:dyDescent="0.2">
      <c r="C206" s="1843" t="s">
        <v>471</v>
      </c>
      <c r="D206" s="1873">
        <f>(HLOOKUP($B$4,'11 CWM UK and Europe'!$11:$119,ROW('11 CWM UK and Europe'!$A$26)-10,0))</f>
        <v>0</v>
      </c>
      <c r="E206" s="2088">
        <f>(HLOOKUP($B$5,'11 CWM UK and Europe'!$11:$119,ROW('11 CWM UK and Europe'!$A$26)-10,0))</f>
        <v>0</v>
      </c>
      <c r="F206" s="1874" t="e">
        <f t="shared" si="46"/>
        <v>#DIV/0!</v>
      </c>
      <c r="G206" s="2087">
        <f>INDEX('11 CWM UK and Europe'!$A$1:$Z$89,ROW('11 CWM UK and Europe'!$A26),COLUMN('11 CWM UK and Europe'!$P$1))</f>
        <v>0</v>
      </c>
      <c r="H206" s="2088">
        <f>INDEX('11 CWM UK and Europe'!$A$1:$Z$89,ROW('11 CWM UK and Europe'!$A26),COLUMN('11 CWM UK and Europe'!$Q$1))</f>
        <v>2939</v>
      </c>
      <c r="I206" s="2118">
        <f>IF(OR(((G206-H206)/H206)&gt;3,((G206-H206)/H206)&lt;-3),"n.m.",((G206-H206)/H206))</f>
        <v>-1</v>
      </c>
      <c r="J206" s="191">
        <f t="shared" si="44"/>
        <v>0</v>
      </c>
      <c r="K206" s="191">
        <f t="shared" si="45"/>
        <v>-2939</v>
      </c>
    </row>
    <row r="207" spans="3:17" ht="13.5" thickBot="1" x14ac:dyDescent="0.25">
      <c r="C207" s="1843" t="s">
        <v>517</v>
      </c>
      <c r="D207" s="1768">
        <f>(HLOOKUP($B$4,'11 CWM UK and Europe'!$11:$119,ROW('11 CWM UK and Europe'!$A$27)-10,0))</f>
        <v>170</v>
      </c>
      <c r="E207" s="2070">
        <f>(HLOOKUP($B$5,'11 CWM UK and Europe'!$11:$119,ROW('11 CWM UK and Europe'!$A$27)-10,0))</f>
        <v>0</v>
      </c>
      <c r="F207" s="1764"/>
      <c r="G207" s="1820">
        <f>INDEX('11 CWM UK and Europe'!$A$1:$Z$89,ROW('11 CWM UK and Europe'!$A27),COLUMN('11 CWM UK and Europe'!$P$1))</f>
        <v>1088</v>
      </c>
      <c r="H207" s="2070">
        <f>INDEX('11 CWM UK and Europe'!$A$1:$Z$89,ROW('11 CWM UK and Europe'!$A27),COLUMN('11 CWM UK and Europe'!$Q$1))</f>
        <v>6732</v>
      </c>
      <c r="I207" s="2120"/>
      <c r="J207" s="191">
        <f t="shared" si="44"/>
        <v>170</v>
      </c>
      <c r="K207" s="191">
        <f t="shared" si="45"/>
        <v>-5644</v>
      </c>
    </row>
    <row r="208" spans="3:17" x14ac:dyDescent="0.2">
      <c r="C208" s="1844" t="s">
        <v>77</v>
      </c>
      <c r="D208" s="1748">
        <f>(HLOOKUP($B$4,'11 CWM UK and Europe'!$11:$119,ROW('11 CWM UK and Europe'!$A$29)-10,0))</f>
        <v>55520</v>
      </c>
      <c r="E208" s="2088">
        <f>(HLOOKUP($B$5,'11 CWM UK and Europe'!$11:$119,ROW('11 CWM UK and Europe'!$A$29)-10,0))</f>
        <v>51799</v>
      </c>
      <c r="F208" s="1759">
        <f t="shared" si="46"/>
        <v>7.1835363617058251E-2</v>
      </c>
      <c r="G208" s="2087">
        <f>INDEX('11 CWM UK and Europe'!$A$1:$Z$89,ROW('11 CWM UK and Europe'!$A29),COLUMN('11 CWM UK and Europe'!$P$1))</f>
        <v>221913</v>
      </c>
      <c r="H208" s="2088">
        <f>INDEX('11 CWM UK and Europe'!$A$1:$Z$89,ROW('11 CWM UK and Europe'!$A29),COLUMN('11 CWM UK and Europe'!$Q$1))</f>
        <v>185577</v>
      </c>
      <c r="I208" s="2118">
        <f>IF(OR(((G208-H208)/H208)&gt;3,((G208-H208)/H208)&lt;-3),"n.m.",((G208-H208)/H208))</f>
        <v>0.19580012609321198</v>
      </c>
      <c r="J208" s="191">
        <f t="shared" si="44"/>
        <v>3721</v>
      </c>
      <c r="K208" s="191">
        <f t="shared" si="45"/>
        <v>36336</v>
      </c>
      <c r="P208" s="191">
        <f>IF((D208-E208)*F208&lt;0,"Reverse Sign",)</f>
        <v>0</v>
      </c>
      <c r="Q208" s="191">
        <f>IF((G208-H208)*I208&lt;0,"Reverse Sign",)</f>
        <v>0</v>
      </c>
    </row>
    <row r="209" spans="3:17" ht="13.5" x14ac:dyDescent="0.2">
      <c r="C209" s="1839" t="s">
        <v>464</v>
      </c>
      <c r="D209" s="1748">
        <f>(HLOOKUP($B$4,'11 CWM UK and Europe'!$11:$119,ROW('11 CWM UK and Europe'!$A$31)-10,0))</f>
        <v>305</v>
      </c>
      <c r="E209" s="2088">
        <f>(HLOOKUP($B$5,'11 CWM UK and Europe'!$11:$119,ROW('11 CWM UK and Europe'!$A$31)-10,0))</f>
        <v>322</v>
      </c>
      <c r="F209" s="1759">
        <f t="shared" si="46"/>
        <v>-5.2795031055900624E-2</v>
      </c>
      <c r="G209" s="2087">
        <f>INDEX('11 CWM UK and Europe'!$A$1:$Z$89,ROW('11 CWM UK and Europe'!$A31),COLUMN('11 CWM UK and Europe'!$P$1))</f>
        <v>1315</v>
      </c>
      <c r="H209" s="2088">
        <f>INDEX('11 CWM UK and Europe'!$A$1:$Z$89,ROW('11 CWM UK and Europe'!$A31),COLUMN('11 CWM UK and Europe'!$Q$1))</f>
        <v>1329</v>
      </c>
      <c r="I209" s="2118">
        <f>IF(OR(((G209-H209)/H209)&gt;3,((G209-H209)/H209)&lt;-3),"n.m.",((G209-H209)/H209))</f>
        <v>-1.0534236267870579E-2</v>
      </c>
      <c r="J209" s="191">
        <f t="shared" si="44"/>
        <v>-17</v>
      </c>
      <c r="K209" s="191">
        <f t="shared" si="45"/>
        <v>-14</v>
      </c>
      <c r="P209" s="191">
        <f>IF((D209-E209)*F209&lt;0,"Reverse Sign",)</f>
        <v>0</v>
      </c>
      <c r="Q209" s="191">
        <f>IF((G209-H209)*I209&lt;0,"Reverse Sign",)</f>
        <v>0</v>
      </c>
    </row>
    <row r="210" spans="3:17" ht="13.5" x14ac:dyDescent="0.2">
      <c r="C210" s="1839" t="s">
        <v>478</v>
      </c>
      <c r="D210" s="1748">
        <f>(HLOOKUP($B$4,'11 CWM UK and Europe'!$11:$119,ROW('11 CWM UK and Europe'!$A$32)-10,0))</f>
        <v>5952</v>
      </c>
      <c r="E210" s="2088">
        <f>(HLOOKUP($B$5,'11 CWM UK and Europe'!$11:$119,ROW('11 CWM UK and Europe'!$A$32)-10,0))</f>
        <v>8824</v>
      </c>
      <c r="F210" s="1759">
        <f t="shared" si="46"/>
        <v>-0.32547597461468719</v>
      </c>
      <c r="G210" s="2087">
        <f>INDEX('11 CWM UK and Europe'!$A$1:$Z$89,ROW('11 CWM UK and Europe'!$A32),COLUMN('11 CWM UK and Europe'!$P$1))</f>
        <v>31757</v>
      </c>
      <c r="H210" s="2088">
        <f>INDEX('11 CWM UK and Europe'!$A$1:$Z$89,ROW('11 CWM UK and Europe'!$A32),COLUMN('11 CWM UK and Europe'!$Q$1))</f>
        <v>14477</v>
      </c>
      <c r="I210" s="2118">
        <f>IF(OR(((G210-H210)/H210)&gt;3,((G210-H210)/H210)&lt;-3),"n.m.",((G210-H210)/H210))</f>
        <v>1.1936174621813911</v>
      </c>
      <c r="J210" s="191">
        <f t="shared" si="44"/>
        <v>-2872</v>
      </c>
      <c r="K210" s="191">
        <f t="shared" si="45"/>
        <v>17280</v>
      </c>
      <c r="P210" s="191">
        <f>IF((D210-E210)*F210&lt;0,"Reverse Sign",)</f>
        <v>0</v>
      </c>
      <c r="Q210" s="191">
        <f>IF((G210-H210)*I210&lt;0,"Reverse Sign",)</f>
        <v>0</v>
      </c>
    </row>
    <row r="211" spans="3:17" x14ac:dyDescent="0.2">
      <c r="C211" s="1839"/>
      <c r="D211" s="1748"/>
      <c r="E211" s="2088"/>
      <c r="F211" s="1759"/>
      <c r="G211" s="2087"/>
      <c r="H211" s="2088"/>
      <c r="I211" s="2118"/>
      <c r="J211" s="191">
        <f t="shared" si="44"/>
        <v>0</v>
      </c>
      <c r="K211" s="191">
        <f t="shared" si="45"/>
        <v>0</v>
      </c>
    </row>
    <row r="212" spans="3:17" ht="13.5" x14ac:dyDescent="0.2">
      <c r="C212" s="1839" t="s">
        <v>479</v>
      </c>
      <c r="D212" s="1748">
        <f>(HLOOKUP($B$4,'11 CWM UK and Europe'!$11:$119,ROW('11 CWM UK and Europe'!$A$42)-10,0))</f>
        <v>41153</v>
      </c>
      <c r="E212" s="2088">
        <f>(HLOOKUP($B$5,'11 CWM UK and Europe'!$11:$119,ROW('11 CWM UK and Europe'!$A$42)-10,0))</f>
        <v>43791</v>
      </c>
      <c r="F212" s="1759">
        <f>IF(OR(((D212-E212)/E212)&gt;3,((D212-E212)/E212)&lt;-3),"n.m.",((D212-E212)/E212))</f>
        <v>-6.0240688725993925E-2</v>
      </c>
      <c r="G212" s="2087"/>
      <c r="H212" s="2088"/>
      <c r="I212" s="2118"/>
      <c r="J212" s="191">
        <f t="shared" si="44"/>
        <v>-2638</v>
      </c>
      <c r="K212" s="191">
        <f t="shared" si="45"/>
        <v>0</v>
      </c>
    </row>
    <row r="213" spans="3:17" x14ac:dyDescent="0.2">
      <c r="C213" s="1849" t="s">
        <v>480</v>
      </c>
      <c r="D213" s="1748">
        <f>(HLOOKUP($B$4,'11 CWM UK and Europe'!$11:$119,ROW('11 CWM UK and Europe'!$A$45)-10,0))</f>
        <v>188</v>
      </c>
      <c r="E213" s="2088">
        <f>(HLOOKUP($B$5,'11 CWM UK and Europe'!$11:$119,ROW('11 CWM UK and Europe'!$A$45)-10,0))</f>
        <v>197</v>
      </c>
      <c r="F213" s="1759">
        <f>IF(OR(((D213-E213)/E213)&gt;3,((D213-E213)/E213)&lt;-3),"n.m.",((D213-E213)/E213))</f>
        <v>-4.5685279187817257E-2</v>
      </c>
      <c r="G213" s="2087"/>
      <c r="H213" s="2088"/>
      <c r="I213" s="2118"/>
      <c r="J213" s="191">
        <f t="shared" si="44"/>
        <v>-9</v>
      </c>
      <c r="K213" s="191">
        <f t="shared" si="45"/>
        <v>0</v>
      </c>
    </row>
    <row r="214" spans="3:17" x14ac:dyDescent="0.2">
      <c r="C214" s="1839" t="s">
        <v>84</v>
      </c>
      <c r="D214" s="1748">
        <f>(HLOOKUP($B$4,'11 CWM UK and Europe'!$11:$119,ROW('11 CWM UK and Europe'!$A$44)-10,0))</f>
        <v>548</v>
      </c>
      <c r="E214" s="2088">
        <f>(HLOOKUP($B$5,'11 CWM UK and Europe'!$11:$119,ROW('11 CWM UK and Europe'!$A$44)-10,0))</f>
        <v>574</v>
      </c>
      <c r="F214" s="1759">
        <f>IF(OR(((D214-E214)/E214)&gt;3,((D214-E214)/E214)&lt;-3),"n.m.",((D214-E214)/E214))</f>
        <v>-4.5296167247386762E-2</v>
      </c>
      <c r="G214" s="2087"/>
      <c r="H214" s="2088"/>
      <c r="I214" s="2118"/>
      <c r="J214" s="191">
        <f t="shared" si="44"/>
        <v>-26</v>
      </c>
      <c r="K214" s="191">
        <f t="shared" si="45"/>
        <v>0</v>
      </c>
    </row>
    <row r="215" spans="3:17" ht="13.5" thickBot="1" x14ac:dyDescent="0.25">
      <c r="C215" s="1845"/>
      <c r="D215" s="1727"/>
      <c r="E215" s="2070"/>
      <c r="F215" s="1769"/>
      <c r="G215" s="1820"/>
      <c r="H215" s="2070"/>
      <c r="I215" s="2120"/>
      <c r="J215" s="191">
        <f t="shared" si="44"/>
        <v>0</v>
      </c>
      <c r="K215" s="191">
        <f t="shared" si="45"/>
        <v>0</v>
      </c>
    </row>
    <row r="216" spans="3:17" ht="14.25" x14ac:dyDescent="0.2">
      <c r="C216" s="1857" t="s">
        <v>454</v>
      </c>
      <c r="D216" s="1748"/>
      <c r="E216" s="2088"/>
      <c r="F216" s="1759"/>
      <c r="G216" s="2087"/>
      <c r="H216" s="2088"/>
      <c r="I216" s="2118"/>
      <c r="J216" s="191">
        <f t="shared" si="44"/>
        <v>0</v>
      </c>
      <c r="K216" s="191">
        <f t="shared" si="45"/>
        <v>0</v>
      </c>
    </row>
    <row r="217" spans="3:17" x14ac:dyDescent="0.2">
      <c r="C217" s="1839" t="s">
        <v>77</v>
      </c>
      <c r="D217" s="1748">
        <f>(HLOOKUP($B$4,'11 CWM UK and Europe'!$11:$119,ROW('11 CWM UK and Europe'!$A$52)-10,0))</f>
        <v>50870</v>
      </c>
      <c r="E217" s="2088">
        <f>(HLOOKUP($B$5,'11 CWM UK and Europe'!$11:$119,ROW('11 CWM UK and Europe'!$A$52)-10,0))</f>
        <v>48979</v>
      </c>
      <c r="F217" s="1759">
        <f>IF(OR(((D217-E217)/E217)&gt;3,((D217-E217)/E217)&lt;-3),"n.m.",((D217-E217)/E217))</f>
        <v>3.8608383184630148E-2</v>
      </c>
      <c r="G217" s="2087">
        <f>INDEX('11 CWM UK and Europe'!$A$1:$Z$89,ROW('11 CWM UK and Europe'!$A52),COLUMN('11 CWM UK and Europe'!$P$1))</f>
        <v>205133</v>
      </c>
      <c r="H217" s="2088">
        <f>INDEX('11 CWM UK and Europe'!$A$1:$Z$89,ROW('11 CWM UK and Europe'!$A52),COLUMN('11 CWM UK and Europe'!$Q$1))</f>
        <v>162702</v>
      </c>
      <c r="I217" s="2118">
        <f>IF(OR(((G217-H217)/H217)&gt;3,((G217-H217)/H217)&lt;-3),"n.m.",((G217-H217)/H217))</f>
        <v>0.2607896645400794</v>
      </c>
      <c r="J217" s="191">
        <f t="shared" si="44"/>
        <v>1891</v>
      </c>
      <c r="K217" s="191">
        <f t="shared" si="45"/>
        <v>42431</v>
      </c>
      <c r="P217" s="191">
        <f>IF((D217-E217)*F217&lt;0,"Reverse Sign",)</f>
        <v>0</v>
      </c>
      <c r="Q217" s="191">
        <f>IF((G217-H217)*I217&lt;0,"Reverse Sign",)</f>
        <v>0</v>
      </c>
    </row>
    <row r="218" spans="3:17" ht="13.5" x14ac:dyDescent="0.2">
      <c r="C218" s="1839" t="s">
        <v>464</v>
      </c>
      <c r="D218" s="1748">
        <f>D209</f>
        <v>305</v>
      </c>
      <c r="E218" s="2088">
        <f>E209</f>
        <v>322</v>
      </c>
      <c r="F218" s="1759">
        <f>IF(OR(((D218-E218)/E218)&gt;3,((D218-E218)/E218)&lt;-3),"n.m.",((D218-E218)/E218))</f>
        <v>-5.2795031055900624E-2</v>
      </c>
      <c r="G218" s="2087">
        <f>G209</f>
        <v>1315</v>
      </c>
      <c r="H218" s="2088">
        <f>H209</f>
        <v>1329</v>
      </c>
      <c r="I218" s="2118">
        <f>IF(OR(((G218-H218)/H218)&gt;3,((G218-H218)/H218)&lt;-3),"n.m.",((G218-H218)/H218))</f>
        <v>-1.0534236267870579E-2</v>
      </c>
      <c r="J218" s="191">
        <f t="shared" si="44"/>
        <v>-17</v>
      </c>
      <c r="K218" s="191">
        <f t="shared" si="45"/>
        <v>-14</v>
      </c>
      <c r="P218" s="191">
        <f>IF((D218-E218)*F218&lt;0,"Reverse Sign",)</f>
        <v>0</v>
      </c>
      <c r="Q218" s="191">
        <f>IF((G218-H218)*I218&lt;0,"Reverse Sign",)</f>
        <v>0</v>
      </c>
    </row>
    <row r="219" spans="3:17" ht="14.25" thickBot="1" x14ac:dyDescent="0.25">
      <c r="C219" s="1845" t="s">
        <v>481</v>
      </c>
      <c r="D219" s="1727">
        <f>(HLOOKUP($B$4,'11 CWM UK and Europe'!$11:$119,ROW('11 CWM UK and Europe'!$A$54)-10,0))</f>
        <v>10602</v>
      </c>
      <c r="E219" s="2070">
        <f>(HLOOKUP($B$5,'11 CWM UK and Europe'!$11:$119,ROW('11 CWM UK and Europe'!$A$54)-10,0))</f>
        <v>11644</v>
      </c>
      <c r="F219" s="1769">
        <f>IF(OR(((D219-E219)/E219)&gt;3,((D219-E219)/E219)&lt;-3),"n.m.",((D219-E219)/E219))</f>
        <v>-8.9488148402610782E-2</v>
      </c>
      <c r="G219" s="1820">
        <f>INDEX('11 CWM UK and Europe'!$A$1:$Z$89,ROW('11 CWM UK and Europe'!$A54),COLUMN('11 CWM UK and Europe'!$P$1))</f>
        <v>48537</v>
      </c>
      <c r="H219" s="2070">
        <f>INDEX('11 CWM UK and Europe'!$A$1:$Z$89,ROW('11 CWM UK and Europe'!$A54),COLUMN('11 CWM UK and Europe'!$Q$1))</f>
        <v>37352</v>
      </c>
      <c r="I219" s="2120">
        <f>IF(OR(((G219-H219)/H219)&gt;3,((G219-H219)/H219)&lt;-3),"n.m.",((G219-H219)/H219))</f>
        <v>0.29944849004069396</v>
      </c>
      <c r="J219" s="191">
        <f t="shared" si="44"/>
        <v>-1042</v>
      </c>
      <c r="K219" s="191">
        <f t="shared" si="45"/>
        <v>11185</v>
      </c>
      <c r="P219" s="191">
        <f>IF((D219-E219)*F219&lt;0,"Reverse Sign",)</f>
        <v>0</v>
      </c>
      <c r="Q219" s="191">
        <f>IF((G219-H219)*I219&lt;0,"Reverse Sign",)</f>
        <v>0</v>
      </c>
    </row>
    <row r="220" spans="3:17" x14ac:dyDescent="0.2">
      <c r="G220" s="2056"/>
      <c r="H220" s="2056"/>
      <c r="I220" s="2056"/>
    </row>
    <row r="221" spans="3:17" x14ac:dyDescent="0.2">
      <c r="G221" s="2056"/>
      <c r="H221" s="2056"/>
      <c r="I221" s="2056"/>
    </row>
    <row r="222" spans="3:17" x14ac:dyDescent="0.2">
      <c r="G222" s="2056"/>
      <c r="H222" s="2056"/>
      <c r="I222" s="2056"/>
    </row>
    <row r="223" spans="3:17" ht="16.5" x14ac:dyDescent="0.2">
      <c r="C223" s="1985" t="s">
        <v>569</v>
      </c>
      <c r="D223" s="1817"/>
      <c r="E223" s="1817"/>
      <c r="F223" s="1817"/>
      <c r="G223" s="2083"/>
      <c r="H223" s="2083"/>
      <c r="I223" s="2083"/>
    </row>
    <row r="224" spans="3:17" ht="13.5" thickBot="1" x14ac:dyDescent="0.25">
      <c r="C224" s="1851"/>
      <c r="D224" s="1817"/>
      <c r="E224" s="1817"/>
      <c r="F224" s="1817"/>
      <c r="G224" s="2083"/>
      <c r="H224" s="2083"/>
      <c r="I224" s="2083"/>
    </row>
    <row r="225" spans="3:17" x14ac:dyDescent="0.2">
      <c r="C225" s="2321"/>
      <c r="D225" s="1864"/>
      <c r="E225" s="1872"/>
      <c r="F225" s="2323" t="s">
        <v>392</v>
      </c>
      <c r="G225" s="2084"/>
      <c r="H225" s="2124"/>
      <c r="I225" s="2326" t="s">
        <v>438</v>
      </c>
    </row>
    <row r="226" spans="3:17" ht="32.25" customHeight="1" x14ac:dyDescent="0.2">
      <c r="C226" s="2322"/>
      <c r="D226" s="2329" t="str">
        <f>D199</f>
        <v>Three months ended December 31</v>
      </c>
      <c r="E226" s="2329"/>
      <c r="F226" s="2324"/>
      <c r="G226" s="2330">
        <f>G199</f>
        <v>0</v>
      </c>
      <c r="H226" s="2330"/>
      <c r="I226" s="2327"/>
    </row>
    <row r="227" spans="3:17" ht="13.5" thickBot="1" x14ac:dyDescent="0.25">
      <c r="C227" s="1859" t="s">
        <v>447</v>
      </c>
      <c r="D227" s="1862">
        <f>D200</f>
        <v>2018</v>
      </c>
      <c r="E227" s="1862">
        <f>E200</f>
        <v>2017</v>
      </c>
      <c r="F227" s="2325"/>
      <c r="G227" s="2117">
        <f>G200</f>
        <v>2018</v>
      </c>
      <c r="H227" s="2117">
        <f>H200</f>
        <v>2017</v>
      </c>
      <c r="I227" s="2328"/>
    </row>
    <row r="228" spans="3:17" x14ac:dyDescent="0.2">
      <c r="C228" s="1839" t="s">
        <v>4</v>
      </c>
      <c r="D228" s="1748">
        <f>(HLOOKUP($B$4,'12 Other'!$11:$114,ROW('12 Other'!$A$15)-9,0))</f>
        <v>0</v>
      </c>
      <c r="E228" s="2088">
        <f>(HLOOKUP($B$5,'12 Other'!$11:$114,ROW('12 Other'!$A$15)-9,0))</f>
        <v>0</v>
      </c>
      <c r="F228" s="1759" t="e">
        <f>IF(OR(((D228-E228)/E228)&gt;3,((D228-E228)/E228)&lt;-3),"n.m.",((D228-E228)/E228))</f>
        <v>#DIV/0!</v>
      </c>
      <c r="G228" s="2087">
        <f>INDEX('12 Other'!$A$1:$Z$84,ROW('12 Other'!$A15),COLUMN('12 Other'!$P$1))</f>
        <v>24430</v>
      </c>
      <c r="H228" s="2088">
        <f>INDEX('12 Other'!$A$1:$Z$84,ROW('12 Other'!$A15),COLUMN('12 Other'!$Q$1))</f>
        <v>15056</v>
      </c>
      <c r="I228" s="2118">
        <f>IF(OR(((G228-H228)/H228)&gt;3,((G228-H228)/H228)&lt;-3),"n.m.",((G228-H228)/H228))</f>
        <v>0.62260892667375134</v>
      </c>
      <c r="J228" s="191">
        <f>D228-E228</f>
        <v>0</v>
      </c>
      <c r="K228" s="191">
        <f>G228-H228</f>
        <v>9374</v>
      </c>
      <c r="P228" s="191" t="e">
        <f t="shared" ref="P228:P245" si="47">IF((D228-E228)*F228&lt;0,"Reverse Sign",)</f>
        <v>#DIV/0!</v>
      </c>
      <c r="Q228" s="191">
        <f t="shared" ref="Q228:Q245" si="48">IF((G228-H228)*I228&lt;0,"Reverse Sign",)</f>
        <v>0</v>
      </c>
    </row>
    <row r="229" spans="3:17" x14ac:dyDescent="0.2">
      <c r="C229" s="1839" t="s">
        <v>5</v>
      </c>
      <c r="D229" s="1748"/>
      <c r="E229" s="2088"/>
      <c r="F229" s="1759"/>
      <c r="G229" s="2087"/>
      <c r="H229" s="2088"/>
      <c r="I229" s="2118"/>
      <c r="J229" s="191">
        <f t="shared" ref="J229:J244" si="49">D229-E229</f>
        <v>0</v>
      </c>
      <c r="K229" s="191">
        <f t="shared" ref="K229:K244" si="50">G229-H229</f>
        <v>0</v>
      </c>
      <c r="P229" s="191">
        <f t="shared" si="47"/>
        <v>0</v>
      </c>
      <c r="Q229" s="191">
        <f t="shared" si="48"/>
        <v>0</v>
      </c>
    </row>
    <row r="230" spans="3:17" x14ac:dyDescent="0.2">
      <c r="C230" s="1843" t="s">
        <v>461</v>
      </c>
      <c r="D230" s="1748">
        <f>(HLOOKUP($B$4,'12 Other'!$11:$114,ROW('12 Other'!$A$17)-9,0))</f>
        <v>7216</v>
      </c>
      <c r="E230" s="2088">
        <f>(HLOOKUP($B$5,'12 Other'!$11:$114,ROW('12 Other'!$A$17)-9,0))</f>
        <v>6479</v>
      </c>
      <c r="F230" s="1759">
        <f t="shared" ref="F230:F239" si="51">IF(OR(((D230-E230)/E230)&gt;3,((D230-E230)/E230)&lt;-3),"n.m.",((D230-E230)/E230))</f>
        <v>0.11375212224108659</v>
      </c>
      <c r="G230" s="2087">
        <f>INDEX('12 Other'!$A$1:$Z$84,ROW('12 Other'!$A17),COLUMN('12 Other'!$P$1))</f>
        <v>19380</v>
      </c>
      <c r="H230" s="2088">
        <f>INDEX('12 Other'!$A$1:$Z$84,ROW('12 Other'!$A17),COLUMN('12 Other'!$Q$1))</f>
        <v>11471</v>
      </c>
      <c r="I230" s="2118">
        <f t="shared" ref="I230:I236" si="52">IF(OR(((G230-H230)/H230)&gt;3,((G230-H230)/H230)&lt;-3),"n.m.",((G230-H230)/H230))</f>
        <v>0.68947781361694704</v>
      </c>
      <c r="J230" s="191">
        <f t="shared" si="49"/>
        <v>737</v>
      </c>
      <c r="K230" s="191">
        <f t="shared" si="50"/>
        <v>7909</v>
      </c>
      <c r="P230" s="191">
        <f t="shared" si="47"/>
        <v>0</v>
      </c>
      <c r="Q230" s="191">
        <f t="shared" si="48"/>
        <v>0</v>
      </c>
    </row>
    <row r="231" spans="3:17" x14ac:dyDescent="0.2">
      <c r="C231" s="1843" t="s">
        <v>462</v>
      </c>
      <c r="D231" s="1748">
        <f>(HLOOKUP($B$4,'12 Other'!$11:$114,ROW('12 Other'!$A$18)-9,0))</f>
        <v>-1788</v>
      </c>
      <c r="E231" s="2088">
        <f>(HLOOKUP($B$5,'12 Other'!$11:$114,ROW('12 Other'!$A$18)-9,0))</f>
        <v>-1973</v>
      </c>
      <c r="F231" s="1759">
        <f t="shared" si="51"/>
        <v>-9.3765838824125702E-2</v>
      </c>
      <c r="G231" s="2087">
        <f>INDEX('12 Other'!$A$1:$Z$84,ROW('12 Other'!$A18),COLUMN('12 Other'!$P$1))</f>
        <v>29311</v>
      </c>
      <c r="H231" s="2088">
        <f>INDEX('12 Other'!$A$1:$Z$84,ROW('12 Other'!$A18),COLUMN('12 Other'!$Q$1))</f>
        <v>26198</v>
      </c>
      <c r="I231" s="2118">
        <f t="shared" si="52"/>
        <v>0.11882586456981449</v>
      </c>
      <c r="J231" s="191">
        <f t="shared" si="49"/>
        <v>185</v>
      </c>
      <c r="K231" s="191">
        <f t="shared" si="50"/>
        <v>3113</v>
      </c>
      <c r="P231" s="191" t="str">
        <f t="shared" si="47"/>
        <v>Reverse Sign</v>
      </c>
      <c r="Q231" s="191">
        <f t="shared" si="48"/>
        <v>0</v>
      </c>
    </row>
    <row r="232" spans="3:17" x14ac:dyDescent="0.2">
      <c r="C232" s="1843" t="s">
        <v>463</v>
      </c>
      <c r="D232" s="1731">
        <f>D236-SUM(D230:D231)-SUM(D233:D235)</f>
        <v>-37749</v>
      </c>
      <c r="E232" s="1824">
        <f>E236-SUM(E230:E231)-SUM(E233:E235)</f>
        <v>-30786</v>
      </c>
      <c r="F232" s="1770">
        <f t="shared" si="51"/>
        <v>0.22617423504190215</v>
      </c>
      <c r="G232" s="1821">
        <f>G236-SUM(G230:G231)-SUM(G233:G235)</f>
        <v>28807</v>
      </c>
      <c r="H232" s="1824">
        <f>H236-SUM(H230:H231)-SUM(H233:H235)</f>
        <v>20521</v>
      </c>
      <c r="I232" s="2118">
        <f t="shared" si="52"/>
        <v>0.40378149213001313</v>
      </c>
      <c r="J232" s="191">
        <f t="shared" si="49"/>
        <v>-6963</v>
      </c>
      <c r="K232" s="191">
        <f t="shared" si="50"/>
        <v>8286</v>
      </c>
      <c r="P232" s="191" t="str">
        <f>IF((D232-E232)*F232&lt;0,"Reverse Sign",)</f>
        <v>Reverse Sign</v>
      </c>
      <c r="Q232" s="191">
        <f t="shared" si="48"/>
        <v>0</v>
      </c>
    </row>
    <row r="233" spans="3:17" x14ac:dyDescent="0.2">
      <c r="C233" s="1843" t="s">
        <v>471</v>
      </c>
      <c r="D233" s="1731">
        <f>(HLOOKUP($B$4,'12 Other'!$11:$114,ROW('12 Other'!$A$26)-9,0))</f>
        <v>0</v>
      </c>
      <c r="E233" s="1824">
        <f>(HLOOKUP($B$5,'12 Other'!$11:$114,ROW('12 Other'!$A$26)-9,0))</f>
        <v>0</v>
      </c>
      <c r="F233" s="1770" t="e">
        <f t="shared" si="51"/>
        <v>#DIV/0!</v>
      </c>
      <c r="G233" s="1821">
        <f>INDEX('12 Other'!$A$1:$Z$84,ROW('12 Other'!$A26),COLUMN('12 Other'!$P$1))</f>
        <v>0</v>
      </c>
      <c r="H233" s="1824">
        <f>INDEX('12 Other'!$A$1:$Z$84,ROW('12 Other'!$A26),COLUMN('12 Other'!$Q$1))</f>
        <v>0</v>
      </c>
      <c r="I233" s="2118" t="e">
        <f t="shared" si="52"/>
        <v>#DIV/0!</v>
      </c>
      <c r="J233" s="191">
        <f t="shared" si="49"/>
        <v>0</v>
      </c>
      <c r="K233" s="191">
        <f t="shared" si="50"/>
        <v>0</v>
      </c>
      <c r="P233" s="191" t="e">
        <f t="shared" si="47"/>
        <v>#DIV/0!</v>
      </c>
      <c r="Q233" s="191" t="e">
        <f t="shared" si="48"/>
        <v>#DIV/0!</v>
      </c>
    </row>
    <row r="234" spans="3:17" x14ac:dyDescent="0.2">
      <c r="C234" s="1933" t="s">
        <v>579</v>
      </c>
      <c r="D234" s="1731">
        <f>(HLOOKUP($B$4,'12 Other'!$11:$114,ROW('12 Other'!$A$29)-9,0))</f>
        <v>157</v>
      </c>
      <c r="E234" s="1824">
        <f>(HLOOKUP($B$5,'12 Other'!$11:$114,ROW('12 Other'!$A$26)-9,0))</f>
        <v>0</v>
      </c>
      <c r="F234" s="1770" t="e">
        <f t="shared" ref="F234:F235" si="53">IF(OR(((D234-E234)/E234)&gt;3,((D234-E234)/E234)&lt;-3),"n.m.",((D234-E234)/E234))</f>
        <v>#DIV/0!</v>
      </c>
      <c r="G234" s="1821">
        <f>INDEX('12 Other'!$A$1:$Z$84,ROW('12 Other'!$A29),COLUMN('12 Other'!$P$1))</f>
        <v>8608</v>
      </c>
      <c r="H234" s="1824">
        <f>INDEX('12 Other'!$A$1:$Z$84,ROW('12 Other'!$A27),COLUMN('12 Other'!$Q$1))</f>
        <v>0</v>
      </c>
      <c r="I234" s="2118" t="e">
        <f t="shared" ref="I234:I235" si="54">IF(OR(((G234-H234)/H234)&gt;3,((G234-H234)/H234)&lt;-3),"n.m.",((G234-H234)/H234))</f>
        <v>#DIV/0!</v>
      </c>
      <c r="J234" s="191">
        <f t="shared" si="49"/>
        <v>157</v>
      </c>
      <c r="K234" s="191">
        <f t="shared" si="50"/>
        <v>8608</v>
      </c>
    </row>
    <row r="235" spans="3:17" ht="13.5" thickBot="1" x14ac:dyDescent="0.25">
      <c r="C235" s="1843" t="s">
        <v>504</v>
      </c>
      <c r="D235" s="1727">
        <f>(HLOOKUP($B$4,'12 Other'!$11:$114,ROW('12 Other'!$A$30)-9,0))</f>
        <v>19206</v>
      </c>
      <c r="E235" s="2070">
        <f>(HLOOKUP($B$5,'12 Other'!$11:$114,ROW('12 Other'!$A$30)-9,0))</f>
        <v>15073</v>
      </c>
      <c r="F235" s="1769">
        <f t="shared" si="53"/>
        <v>0.27419889869302727</v>
      </c>
      <c r="G235" s="1820">
        <f>INDEX('12 Other'!$A$1:$Z$84,ROW('12 Other'!$A30),COLUMN('12 Other'!$P$1))</f>
        <v>304</v>
      </c>
      <c r="H235" s="2070">
        <f>INDEX('12 Other'!$A$1:$Z$84,ROW('12 Other'!$A30),COLUMN('12 Other'!$Q$1))</f>
        <v>298</v>
      </c>
      <c r="I235" s="2120">
        <f t="shared" si="54"/>
        <v>2.0134228187919462E-2</v>
      </c>
      <c r="J235" s="191">
        <f t="shared" si="49"/>
        <v>4133</v>
      </c>
      <c r="K235" s="191">
        <f t="shared" si="50"/>
        <v>6</v>
      </c>
    </row>
    <row r="236" spans="3:17" x14ac:dyDescent="0.2">
      <c r="C236" s="1853" t="s">
        <v>77</v>
      </c>
      <c r="D236" s="1748">
        <f>(HLOOKUP($B$4,'12 Other'!$11:$114,ROW('12 Other'!$A$31)-9,0))</f>
        <v>-12958</v>
      </c>
      <c r="E236" s="2088">
        <f>(HLOOKUP($B$5,'12 Other'!$11:$114,ROW('12 Other'!$A$31)-9,0))</f>
        <v>-11207</v>
      </c>
      <c r="F236" s="1759">
        <f t="shared" si="51"/>
        <v>0.15624163469260283</v>
      </c>
      <c r="G236" s="2087">
        <f>INDEX('12 Other'!$A$1:$Z$84,ROW('12 Other'!$A31),COLUMN('12 Other'!$P$1))</f>
        <v>86410</v>
      </c>
      <c r="H236" s="2088">
        <f>INDEX('12 Other'!$A$1:$Z$84,ROW('12 Other'!$A31),COLUMN('12 Other'!$Q$1))</f>
        <v>58488</v>
      </c>
      <c r="I236" s="2118">
        <f t="shared" si="52"/>
        <v>0.47739707290384353</v>
      </c>
      <c r="J236" s="191">
        <f t="shared" si="49"/>
        <v>-1751</v>
      </c>
      <c r="K236" s="191">
        <f t="shared" si="50"/>
        <v>27922</v>
      </c>
      <c r="P236" s="191" t="str">
        <f t="shared" si="47"/>
        <v>Reverse Sign</v>
      </c>
      <c r="Q236" s="191">
        <f t="shared" si="48"/>
        <v>0</v>
      </c>
    </row>
    <row r="237" spans="3:17" ht="13.5" x14ac:dyDescent="0.2">
      <c r="C237" s="1839" t="s">
        <v>464</v>
      </c>
      <c r="D237" s="1748">
        <f>(HLOOKUP($B$4,'12 Other'!$11:$114,ROW('12 Other'!$A$33)-9,0))</f>
        <v>-5300</v>
      </c>
      <c r="E237" s="2088">
        <f>(HLOOKUP($B$5,'12 Other'!$11:$114,ROW('12 Other'!$A$33)-9,0))</f>
        <v>-3705</v>
      </c>
      <c r="F237" s="1759">
        <f>IF(OR(((D237-E237)/E237)&gt;3,((D237-E237)/E237)&lt;-3),"n.m.",((D237-E237)/ABS(E237)))</f>
        <v>-0.43049932523616735</v>
      </c>
      <c r="G237" s="2087">
        <f>INDEX('12 Other'!$A$1:$Z$84,ROW('12 Other'!$A33),COLUMN('12 Other'!$P$1))</f>
        <v>-33156</v>
      </c>
      <c r="H237" s="2088">
        <f>INDEX('12 Other'!$A$1:$Z$84,ROW('12 Other'!$A33),COLUMN('12 Other'!$Q$1))</f>
        <v>-32053</v>
      </c>
      <c r="I237" s="2118">
        <f>IF(OR(((G237-H237)/H237)&gt;3,((G237-H237)/H237)&lt;-3),"n.m.",((G237-H237)/ABS(H237)))</f>
        <v>-3.4411755529903595E-2</v>
      </c>
      <c r="J237" s="191">
        <f t="shared" si="49"/>
        <v>-1595</v>
      </c>
      <c r="K237" s="191">
        <f t="shared" si="50"/>
        <v>-1103</v>
      </c>
      <c r="P237" s="191">
        <f t="shared" si="47"/>
        <v>0</v>
      </c>
      <c r="Q237" s="191">
        <f t="shared" si="48"/>
        <v>0</v>
      </c>
    </row>
    <row r="238" spans="3:17" ht="13.5" x14ac:dyDescent="0.2">
      <c r="C238" s="1839" t="s">
        <v>472</v>
      </c>
      <c r="D238" s="1748">
        <f>(HLOOKUP($B$4,'12 Other'!$11:$114,ROW('12 Other'!$A$34)-9,0))</f>
        <v>0</v>
      </c>
      <c r="E238" s="2088">
        <f>(HLOOKUP($B$5,'12 Other'!$11:$114,ROW('12 Other'!$A$34)-9,0))</f>
        <v>0</v>
      </c>
      <c r="F238" s="1759" t="e">
        <f>IF(OR(((D238-E238)/E238)&gt;3,((D238-E238)/E238)&lt;-3),"n.m.",((D238-E238)/ABS(E238)))</f>
        <v>#DIV/0!</v>
      </c>
      <c r="G238" s="2087">
        <f>INDEX('12 Other'!$A$1:$Z$84,ROW('12 Other'!$A34),COLUMN('12 Other'!$P$1))</f>
        <v>-28824</v>
      </c>
      <c r="H238" s="2088">
        <f>INDEX('12 Other'!$A$1:$Z$84,ROW('12 Other'!$A34),COLUMN('12 Other'!$Q$1))</f>
        <v>-11379</v>
      </c>
      <c r="I238" s="2118">
        <f>IF(OR(((G238-H238)/H238)&gt;3,((G238-H238)/H238)&lt;-3),"n.m.",((G238-H238)/ABS(H238)))</f>
        <v>-1.5330872660163459</v>
      </c>
      <c r="J238" s="191">
        <f t="shared" si="49"/>
        <v>0</v>
      </c>
      <c r="K238" s="191">
        <f t="shared" si="50"/>
        <v>-17445</v>
      </c>
      <c r="P238" s="191" t="e">
        <f t="shared" si="47"/>
        <v>#DIV/0!</v>
      </c>
      <c r="Q238" s="191">
        <f t="shared" si="48"/>
        <v>0</v>
      </c>
    </row>
    <row r="239" spans="3:17" x14ac:dyDescent="0.2">
      <c r="C239" s="1839" t="s">
        <v>84</v>
      </c>
      <c r="D239" s="1748">
        <f>(HLOOKUP($B$4,'12 Other'!$11:$114,ROW('12 Other'!$A$36)-9,0))</f>
        <v>0</v>
      </c>
      <c r="E239" s="2088">
        <f>(HLOOKUP($B$5,'12 Other'!$11:$114,ROW('12 Other'!$A$36)-9,0))</f>
        <v>0</v>
      </c>
      <c r="F239" s="1759" t="e">
        <f t="shared" si="51"/>
        <v>#DIV/0!</v>
      </c>
      <c r="G239" s="2087"/>
      <c r="H239" s="2088"/>
      <c r="I239" s="2118"/>
      <c r="J239" s="191">
        <f t="shared" si="49"/>
        <v>0</v>
      </c>
      <c r="K239" s="191">
        <f t="shared" si="50"/>
        <v>0</v>
      </c>
      <c r="P239" s="191" t="e">
        <f t="shared" si="47"/>
        <v>#DIV/0!</v>
      </c>
      <c r="Q239" s="191">
        <f t="shared" si="48"/>
        <v>0</v>
      </c>
    </row>
    <row r="240" spans="3:17" x14ac:dyDescent="0.2">
      <c r="C240" s="1839"/>
      <c r="D240" s="1748"/>
      <c r="E240" s="2088"/>
      <c r="F240" s="1759"/>
      <c r="G240" s="2087"/>
      <c r="H240" s="2088"/>
      <c r="I240" s="2118"/>
      <c r="J240" s="191">
        <f t="shared" si="49"/>
        <v>0</v>
      </c>
      <c r="K240" s="191">
        <f t="shared" si="50"/>
        <v>0</v>
      </c>
      <c r="P240" s="191">
        <f t="shared" si="47"/>
        <v>0</v>
      </c>
      <c r="Q240" s="191">
        <f t="shared" si="48"/>
        <v>0</v>
      </c>
    </row>
    <row r="241" spans="3:23" ht="14.25" x14ac:dyDescent="0.2">
      <c r="C241" s="1857" t="s">
        <v>473</v>
      </c>
      <c r="D241" s="1748"/>
      <c r="E241" s="2088"/>
      <c r="F241" s="1759"/>
      <c r="G241" s="2087"/>
      <c r="H241" s="2088"/>
      <c r="I241" s="2118"/>
      <c r="J241" s="191">
        <f t="shared" si="49"/>
        <v>0</v>
      </c>
      <c r="K241" s="191">
        <f t="shared" si="50"/>
        <v>0</v>
      </c>
      <c r="P241" s="191">
        <f t="shared" si="47"/>
        <v>0</v>
      </c>
      <c r="Q241" s="191">
        <f t="shared" si="48"/>
        <v>0</v>
      </c>
    </row>
    <row r="242" spans="3:23" x14ac:dyDescent="0.2">
      <c r="C242" s="1839" t="s">
        <v>77</v>
      </c>
      <c r="D242" s="1748">
        <f>(HLOOKUP($B$4,'12 Other'!$11:$114,ROW('12 Other'!$A$45)-9,0))</f>
        <v>-7658</v>
      </c>
      <c r="E242" s="2088">
        <f>(HLOOKUP($B$5,'12 Other'!$11:$114,ROW('12 Other'!$A$45)-9,0))</f>
        <v>-7502</v>
      </c>
      <c r="F242" s="1759">
        <f>IF(OR(((D242-E242)/E242)&gt;3,((D242-E242)/E242)&lt;-3),"n.m.",((D242-E242)/E242))</f>
        <v>2.0794454812050119E-2</v>
      </c>
      <c r="G242" s="2087">
        <f>INDEX('12 Other'!$A$1:$Z$84,ROW('12 Other'!$A45),COLUMN('12 Other'!$P$1))</f>
        <v>77802</v>
      </c>
      <c r="H242" s="2088">
        <f>INDEX('12 Other'!$A$1:$Z$84,ROW('12 Other'!$A45),COLUMN('12 Other'!$Q$1))</f>
        <v>56590</v>
      </c>
      <c r="I242" s="2118">
        <f>IF(OR(((G242-H242)/H242)&gt;3,((G242-H242)/H242)&lt;-3),"n.m.",((G242-H242)/H242))</f>
        <v>0.3748365435589327</v>
      </c>
      <c r="J242" s="191">
        <f t="shared" si="49"/>
        <v>-156</v>
      </c>
      <c r="K242" s="191">
        <f t="shared" si="50"/>
        <v>21212</v>
      </c>
      <c r="P242" s="191" t="str">
        <f t="shared" si="47"/>
        <v>Reverse Sign</v>
      </c>
      <c r="Q242" s="191">
        <f t="shared" si="48"/>
        <v>0</v>
      </c>
    </row>
    <row r="243" spans="3:23" ht="13.5" x14ac:dyDescent="0.2">
      <c r="C243" s="1839" t="s">
        <v>464</v>
      </c>
      <c r="D243" s="1748">
        <f>D237</f>
        <v>-5300</v>
      </c>
      <c r="E243" s="2088">
        <f>E237</f>
        <v>-3705</v>
      </c>
      <c r="F243" s="1759">
        <f>IF(OR(((D243-E243)/E243)&gt;3,((D243-E243)/E243)&lt;-3),"n.m.",((D243-E243)/ABS(E243)))</f>
        <v>-0.43049932523616735</v>
      </c>
      <c r="G243" s="2087">
        <f>G237</f>
        <v>-33156</v>
      </c>
      <c r="H243" s="2088">
        <f>H237</f>
        <v>-32053</v>
      </c>
      <c r="I243" s="2118">
        <f>IF(OR(((G243-H243)/H243)&gt;3,((G243-H243)/H243)&lt;-3),"n.m.",((G243-H243)/ABS(H243)))</f>
        <v>-3.4411755529903595E-2</v>
      </c>
      <c r="J243" s="191">
        <f t="shared" si="49"/>
        <v>-1595</v>
      </c>
      <c r="K243" s="191">
        <f t="shared" si="50"/>
        <v>-1103</v>
      </c>
      <c r="P243" s="191">
        <f t="shared" si="47"/>
        <v>0</v>
      </c>
      <c r="Q243" s="191">
        <f t="shared" si="48"/>
        <v>0</v>
      </c>
    </row>
    <row r="244" spans="3:23" ht="14.25" thickBot="1" x14ac:dyDescent="0.25">
      <c r="C244" s="1845" t="s">
        <v>474</v>
      </c>
      <c r="D244" s="1727">
        <f>(HLOOKUP($B$4,'12 Other'!$11:$114,ROW('12 Other'!$A$47)-9,0))</f>
        <v>0</v>
      </c>
      <c r="E244" s="2070">
        <f>(HLOOKUP($B$5,'12 Other'!$11:$114,ROW('12 Other'!$A$47)-9,0))</f>
        <v>0</v>
      </c>
      <c r="F244" s="1769" t="e">
        <f>IF(OR(((D244-E244)/E244)&gt;3,((D244-E244)/E244)&lt;-3),"n.m.",((D244-E244)/ABS(E244)))</f>
        <v>#DIV/0!</v>
      </c>
      <c r="G244" s="1820">
        <f>INDEX('12 Other'!$A$1:$Z$84,ROW('12 Other'!$A47),COLUMN('12 Other'!$P$1))</f>
        <v>-20216</v>
      </c>
      <c r="H244" s="2070">
        <f>INDEX('12 Other'!$A$1:$Z$84,ROW('12 Other'!$A47),COLUMN('12 Other'!$Q$1))</f>
        <v>-9481</v>
      </c>
      <c r="I244" s="2120">
        <f>IF(OR(((G244-H244)/H244)&gt;3,((G244-H244)/H244)&lt;-3),"n.m.",((G244-H244)/ABS(H244)))</f>
        <v>-1.1322645290581161</v>
      </c>
      <c r="J244" s="191">
        <f t="shared" si="49"/>
        <v>0</v>
      </c>
      <c r="K244" s="191">
        <f t="shared" si="50"/>
        <v>-10735</v>
      </c>
      <c r="P244" s="191" t="e">
        <f t="shared" si="47"/>
        <v>#DIV/0!</v>
      </c>
      <c r="Q244" s="191">
        <f t="shared" si="48"/>
        <v>0</v>
      </c>
    </row>
    <row r="245" spans="3:23" x14ac:dyDescent="0.2">
      <c r="P245" s="191">
        <f t="shared" si="47"/>
        <v>0</v>
      </c>
      <c r="Q245" s="191">
        <f t="shared" si="48"/>
        <v>0</v>
      </c>
    </row>
    <row r="248" spans="3:23" x14ac:dyDescent="0.2">
      <c r="C248" s="1983" t="s">
        <v>515</v>
      </c>
    </row>
    <row r="250" spans="3:23" x14ac:dyDescent="0.2">
      <c r="F250" s="191">
        <f>'2 Consolidated IS'!H20-'2 Consolidated IS'!I20</f>
        <v>25913</v>
      </c>
      <c r="G250" s="400">
        <f>F250/'2 Consolidated IS'!I20</f>
        <v>9.4530557450487551E-2</v>
      </c>
    </row>
    <row r="253" spans="3:23" ht="13.5" thickBot="1" x14ac:dyDescent="0.25"/>
    <row r="254" spans="3:23" ht="13.5" thickBot="1" x14ac:dyDescent="0.25">
      <c r="C254" s="1986"/>
      <c r="D254" s="1987">
        <v>43373</v>
      </c>
      <c r="E254" s="1987"/>
      <c r="F254" s="1987"/>
      <c r="G254" s="1987"/>
      <c r="H254" s="1988"/>
      <c r="I254" s="1989">
        <v>43008</v>
      </c>
      <c r="J254" s="1989"/>
      <c r="K254" s="1989"/>
      <c r="L254" s="1989"/>
      <c r="M254" s="480"/>
      <c r="N254" s="480"/>
      <c r="O254" s="480"/>
      <c r="P254" s="480"/>
      <c r="Q254" s="480"/>
      <c r="R254" s="480"/>
      <c r="S254" s="480"/>
      <c r="T254" s="480"/>
      <c r="U254" s="480"/>
      <c r="V254" s="480"/>
      <c r="W254" s="480"/>
    </row>
    <row r="255" spans="3:23" x14ac:dyDescent="0.2">
      <c r="C255" s="1986"/>
      <c r="D255" s="1990"/>
      <c r="E255" s="1990" t="s">
        <v>505</v>
      </c>
      <c r="F255" s="1991"/>
      <c r="G255" s="1990"/>
      <c r="H255" s="1988"/>
      <c r="I255" s="1990"/>
      <c r="J255" s="1990" t="s">
        <v>505</v>
      </c>
      <c r="K255" s="1992"/>
      <c r="L255" s="1992"/>
      <c r="M255" s="480"/>
      <c r="N255" s="480"/>
      <c r="O255" s="480"/>
      <c r="P255" s="480"/>
      <c r="Q255" s="480"/>
      <c r="R255" s="480"/>
      <c r="S255" s="480"/>
      <c r="T255" s="480"/>
      <c r="U255" s="480"/>
      <c r="V255" s="480"/>
      <c r="W255" s="480"/>
    </row>
    <row r="256" spans="3:23" ht="25.5" x14ac:dyDescent="0.2">
      <c r="C256" s="1986"/>
      <c r="D256" s="1990" t="s">
        <v>505</v>
      </c>
      <c r="E256" s="1990" t="s">
        <v>508</v>
      </c>
      <c r="F256" s="1990" t="s">
        <v>570</v>
      </c>
      <c r="G256" s="1993"/>
      <c r="H256" s="1994"/>
      <c r="I256" s="1990" t="s">
        <v>505</v>
      </c>
      <c r="J256" s="1990" t="s">
        <v>508</v>
      </c>
      <c r="K256" s="1990" t="s">
        <v>571</v>
      </c>
      <c r="L256" s="1993"/>
      <c r="M256" s="480"/>
      <c r="N256" s="480"/>
      <c r="O256" s="480"/>
      <c r="P256" s="480"/>
      <c r="Q256" s="480"/>
      <c r="R256" s="480"/>
      <c r="S256" s="480"/>
      <c r="T256" s="480"/>
      <c r="U256" s="480"/>
      <c r="V256" s="480"/>
      <c r="W256" s="480"/>
    </row>
    <row r="257" spans="3:23" x14ac:dyDescent="0.2">
      <c r="C257" s="1986"/>
      <c r="D257" s="1990" t="s">
        <v>510</v>
      </c>
      <c r="E257" s="1990" t="s">
        <v>511</v>
      </c>
      <c r="F257" s="1990" t="s">
        <v>60</v>
      </c>
      <c r="G257" s="1990" t="s">
        <v>55</v>
      </c>
      <c r="H257" s="1988"/>
      <c r="I257" s="1990" t="s">
        <v>510</v>
      </c>
      <c r="J257" s="1990" t="s">
        <v>511</v>
      </c>
      <c r="K257" s="1990" t="s">
        <v>60</v>
      </c>
      <c r="L257" s="1990" t="s">
        <v>55</v>
      </c>
      <c r="M257" s="480"/>
      <c r="N257" s="480"/>
      <c r="O257" s="480"/>
      <c r="P257" s="480"/>
      <c r="Q257" s="480"/>
      <c r="R257" s="480"/>
      <c r="S257" s="480"/>
      <c r="T257" s="480"/>
      <c r="U257" s="480"/>
      <c r="V257" s="480"/>
      <c r="W257" s="480"/>
    </row>
    <row r="258" spans="3:23" ht="13.5" thickBot="1" x14ac:dyDescent="0.25">
      <c r="C258" s="1995"/>
      <c r="D258" s="1996" t="s">
        <v>512</v>
      </c>
      <c r="E258" s="1996" t="s">
        <v>512</v>
      </c>
      <c r="F258" s="1996" t="s">
        <v>512</v>
      </c>
      <c r="G258" s="1996" t="s">
        <v>512</v>
      </c>
      <c r="H258" s="1997"/>
      <c r="I258" s="1996" t="s">
        <v>512</v>
      </c>
      <c r="J258" s="1996" t="s">
        <v>512</v>
      </c>
      <c r="K258" s="1996" t="s">
        <v>512</v>
      </c>
      <c r="L258" s="1996" t="s">
        <v>512</v>
      </c>
      <c r="M258" s="480"/>
      <c r="N258" s="480"/>
      <c r="O258" s="480"/>
      <c r="P258" s="480"/>
      <c r="Q258" s="480"/>
      <c r="R258" s="480"/>
      <c r="S258" s="1998"/>
      <c r="T258" s="2374" t="s">
        <v>572</v>
      </c>
      <c r="U258" s="2374"/>
      <c r="V258" s="2374"/>
      <c r="W258" s="2374"/>
    </row>
    <row r="259" spans="3:23" ht="13.5" customHeight="1" x14ac:dyDescent="0.2">
      <c r="C259" s="1999" t="s">
        <v>282</v>
      </c>
      <c r="D259" s="2000">
        <f>'3 Business Segments FY19'!I16</f>
        <v>41156</v>
      </c>
      <c r="E259" s="2000">
        <f>'3 Business Segments FY19'!L16</f>
        <v>96422</v>
      </c>
      <c r="F259" s="1980">
        <v>0</v>
      </c>
      <c r="G259" s="2000">
        <f>SUM(D259:F259)</f>
        <v>137578</v>
      </c>
      <c r="H259" s="2001">
        <f>SUM(D259:F259)-G259</f>
        <v>0</v>
      </c>
      <c r="I259" s="2002">
        <f>'4 Canaccord Genuity '!L78</f>
        <v>36039</v>
      </c>
      <c r="J259" s="2002">
        <f>'9 Wealth Management'!L69</f>
        <v>60089</v>
      </c>
      <c r="L259" s="2002">
        <f>SUM(I259:K259)</f>
        <v>96128</v>
      </c>
      <c r="M259" s="480"/>
      <c r="N259" s="480"/>
      <c r="O259" s="480"/>
      <c r="P259" s="480"/>
      <c r="Q259" s="480"/>
      <c r="R259" s="480"/>
      <c r="S259" s="2024"/>
      <c r="T259" s="2003">
        <f>D254</f>
        <v>43373</v>
      </c>
      <c r="U259" s="2004" t="s">
        <v>573</v>
      </c>
      <c r="V259" s="2005">
        <v>42916</v>
      </c>
      <c r="W259" s="2005">
        <f>I254</f>
        <v>43008</v>
      </c>
    </row>
    <row r="260" spans="3:23" ht="13.5" customHeight="1" x14ac:dyDescent="0.2">
      <c r="C260" s="1999" t="s">
        <v>57</v>
      </c>
      <c r="D260" s="2000">
        <f>'3 Business Segments FY19'!I17</f>
        <v>47298</v>
      </c>
      <c r="E260" s="2000">
        <f>'3 Business Segments FY19'!L17</f>
        <v>13018</v>
      </c>
      <c r="F260" s="1980">
        <v>0</v>
      </c>
      <c r="G260" s="2000">
        <f t="shared" ref="G260" si="55">SUM(D260:F260)</f>
        <v>60316</v>
      </c>
      <c r="H260" s="2001">
        <f>SUM(D260:F260)-G260</f>
        <v>0</v>
      </c>
      <c r="I260" s="2002">
        <f>'4 Canaccord Genuity '!L79</f>
        <v>27392</v>
      </c>
      <c r="J260" s="2002">
        <f>'9 Wealth Management'!L70</f>
        <v>5964</v>
      </c>
      <c r="L260" s="2002">
        <f t="shared" ref="L260:L272" si="56">SUM(I260:K260)</f>
        <v>33356</v>
      </c>
      <c r="M260" s="480"/>
      <c r="N260" s="480"/>
      <c r="O260" s="480"/>
      <c r="P260" s="480"/>
      <c r="Q260" s="480"/>
      <c r="R260" s="480"/>
      <c r="S260" s="2024"/>
      <c r="T260" s="2003" t="s">
        <v>512</v>
      </c>
      <c r="U260" s="2004" t="s">
        <v>512</v>
      </c>
      <c r="V260" s="2005" t="s">
        <v>512</v>
      </c>
      <c r="W260" s="2005" t="s">
        <v>512</v>
      </c>
    </row>
    <row r="261" spans="3:23" ht="13.5" customHeight="1" x14ac:dyDescent="0.2">
      <c r="C261" s="1999" t="s">
        <v>188</v>
      </c>
      <c r="D261" s="2000">
        <f>'3 Business Segments FY19'!I18</f>
        <v>32138</v>
      </c>
      <c r="E261" s="2000">
        <f>'3 Business Segments FY19'!L18</f>
        <v>82</v>
      </c>
      <c r="F261" s="1980">
        <v>0</v>
      </c>
      <c r="G261" s="2000">
        <f>SUM(D261:F261)</f>
        <v>32220</v>
      </c>
      <c r="H261" s="2001">
        <f t="shared" ref="H261:H264" si="57">SUM(D261:F261)-G261</f>
        <v>0</v>
      </c>
      <c r="I261" s="2002">
        <f>'4 Canaccord Genuity '!L80</f>
        <v>30449</v>
      </c>
      <c r="J261" s="2002">
        <f>'9 Wealth Management'!L71</f>
        <v>140</v>
      </c>
      <c r="K261" s="2002"/>
      <c r="L261" s="2002">
        <f t="shared" si="56"/>
        <v>30589</v>
      </c>
      <c r="M261" s="480"/>
      <c r="N261" s="480"/>
      <c r="O261" s="480"/>
      <c r="P261" s="480"/>
      <c r="Q261" s="480"/>
      <c r="R261" s="480"/>
      <c r="S261" s="2024" t="s">
        <v>81</v>
      </c>
      <c r="T261" s="2125">
        <f>'3 Business Segments FY19'!D22+'3 Business Segments FY19'!J22+'3 Business Segments FY19'!M22</f>
        <v>115753</v>
      </c>
      <c r="U261" s="2126">
        <v>57502</v>
      </c>
      <c r="V261" s="2127">
        <f>'3 Business Segments FY19'!P22+'3 Business Segments FY19'!V22+'3 Business Segments FY19'!Y22</f>
        <v>491921</v>
      </c>
      <c r="W261" s="2127">
        <f>W266-W265-W263-W262-W264</f>
        <v>285845</v>
      </c>
    </row>
    <row r="262" spans="3:23" ht="13.5" customHeight="1" x14ac:dyDescent="0.2">
      <c r="C262" s="1999" t="s">
        <v>58</v>
      </c>
      <c r="D262" s="2000">
        <f>'3 Business Segments FY19'!I19</f>
        <v>35136</v>
      </c>
      <c r="E262" s="2000">
        <f>'3 Business Segments FY19'!L19</f>
        <v>61</v>
      </c>
      <c r="F262" s="1980">
        <v>0</v>
      </c>
      <c r="G262" s="2000">
        <f t="shared" ref="G262:G264" si="58">SUM(D262:F262)</f>
        <v>35197</v>
      </c>
      <c r="H262" s="2001">
        <f t="shared" si="57"/>
        <v>0</v>
      </c>
      <c r="I262" s="2002">
        <f>'4 Canaccord Genuity '!L81</f>
        <v>22746</v>
      </c>
      <c r="J262" s="2002">
        <f>'9 Wealth Management'!L72</f>
        <v>102</v>
      </c>
      <c r="K262" s="2002"/>
      <c r="L262" s="2002">
        <f t="shared" si="56"/>
        <v>22848</v>
      </c>
      <c r="M262" s="480"/>
      <c r="N262" s="480"/>
      <c r="O262" s="480"/>
      <c r="P262" s="480"/>
      <c r="Q262" s="480"/>
      <c r="R262" s="480"/>
      <c r="S262" s="2024" t="s">
        <v>232</v>
      </c>
      <c r="T262" s="2125">
        <f>'3 Business Segments FY19'!F22+'3 Business Segments FY19'!K22</f>
        <v>92382</v>
      </c>
      <c r="U262" s="2126">
        <v>64381</v>
      </c>
      <c r="V262" s="2127">
        <f>'3 Business Segments FY19'!R22+'3 Business Segments FY19'!W22</f>
        <v>363774</v>
      </c>
      <c r="W262" s="2127">
        <f>138359+106654</f>
        <v>245013</v>
      </c>
    </row>
    <row r="263" spans="3:23" ht="13.5" customHeight="1" x14ac:dyDescent="0.2">
      <c r="C263" s="1999" t="s">
        <v>59</v>
      </c>
      <c r="D263" s="2000">
        <f>'3 Business Segments FY19'!I20</f>
        <v>3407</v>
      </c>
      <c r="E263" s="2000">
        <f>'3 Business Segments FY19'!L20</f>
        <v>5823</v>
      </c>
      <c r="F263" s="1980">
        <f>'3 Business Segments FY19'!M20</f>
        <v>4503</v>
      </c>
      <c r="G263" s="2000">
        <f t="shared" si="58"/>
        <v>13733</v>
      </c>
      <c r="H263" s="2001">
        <f t="shared" si="57"/>
        <v>0</v>
      </c>
      <c r="I263" s="2002">
        <f>'4 Canaccord Genuity '!L82</f>
        <v>1814</v>
      </c>
      <c r="J263" s="2002">
        <f>'9 Wealth Management'!L73</f>
        <v>2632</v>
      </c>
      <c r="K263" s="2002">
        <v>1347</v>
      </c>
      <c r="L263" s="2002">
        <f t="shared" si="56"/>
        <v>5793</v>
      </c>
      <c r="M263" s="480"/>
      <c r="N263" s="480"/>
      <c r="O263" s="480"/>
      <c r="P263" s="480"/>
      <c r="Q263" s="480"/>
      <c r="R263" s="480"/>
      <c r="S263" s="2024" t="s">
        <v>516</v>
      </c>
      <c r="T263" s="2125">
        <f>'3 Business Segments FY19'!E22</f>
        <v>73443</v>
      </c>
      <c r="U263" s="2126">
        <v>51791</v>
      </c>
      <c r="V263" s="2127">
        <f>'3 Business Segments FY19'!Q22</f>
        <v>303587</v>
      </c>
      <c r="W263" s="2127">
        <f>217411+1554</f>
        <v>218965</v>
      </c>
    </row>
    <row r="264" spans="3:23" ht="13.5" customHeight="1" x14ac:dyDescent="0.2">
      <c r="C264" s="1999" t="s">
        <v>60</v>
      </c>
      <c r="D264" s="2000">
        <f>'3 Business Segments FY19'!I21</f>
        <v>912</v>
      </c>
      <c r="E264" s="2000">
        <f>'3 Business Segments FY19'!L21</f>
        <v>1724</v>
      </c>
      <c r="F264" s="1980">
        <f>'3 Business Segments FY19'!M21</f>
        <v>3128</v>
      </c>
      <c r="G264" s="2000">
        <f t="shared" si="58"/>
        <v>5764</v>
      </c>
      <c r="H264" s="2001">
        <f t="shared" si="57"/>
        <v>0</v>
      </c>
      <c r="I264" s="2002">
        <f>'4 Canaccord Genuity '!L83</f>
        <v>440</v>
      </c>
      <c r="J264" s="2002">
        <f>'9 Wealth Management'!L74</f>
        <v>636</v>
      </c>
      <c r="K264" s="2002">
        <v>1757</v>
      </c>
      <c r="L264" s="2002">
        <f t="shared" si="56"/>
        <v>2833</v>
      </c>
      <c r="M264" s="480"/>
      <c r="N264" s="480"/>
      <c r="O264" s="480"/>
      <c r="P264" s="480"/>
      <c r="Q264" s="480"/>
      <c r="R264" s="480"/>
      <c r="S264" s="2024" t="s">
        <v>265</v>
      </c>
      <c r="T264" s="2125">
        <f>'3 Business Segments FY19'!G22</f>
        <v>3286</v>
      </c>
      <c r="U264" s="2126">
        <v>6906</v>
      </c>
      <c r="V264" s="2127">
        <f>'3 Business Segments FY19'!S22</f>
        <v>31366</v>
      </c>
      <c r="W264" s="2127">
        <v>31138</v>
      </c>
    </row>
    <row r="265" spans="3:23" ht="13.5" customHeight="1" x14ac:dyDescent="0.2">
      <c r="C265" s="1999" t="s">
        <v>513</v>
      </c>
      <c r="D265" s="2000">
        <f>'3 Business Segments FY19'!I38-SUM(D266:D272)</f>
        <v>139878</v>
      </c>
      <c r="E265" s="2000">
        <f>'3 Business Segments FY19'!L38-SUM(E266:E272)</f>
        <v>91965</v>
      </c>
      <c r="F265" s="1980">
        <f>'3 Business Segments FY19'!M38-SUM(F266:F272)</f>
        <v>20529</v>
      </c>
      <c r="G265" s="2000">
        <f>'3 Business Segments FY19'!N38-SUM(G266:G272)</f>
        <v>251454</v>
      </c>
      <c r="H265" s="2001">
        <f>SUM(D265:F265)-G265</f>
        <v>918</v>
      </c>
      <c r="I265" s="2002" t="e">
        <f>'4 Canaccord Genuity '!L33+'4 Canaccord Genuity '!L39+'4 Canaccord Genuity '!L40+'4 Canaccord Genuity '!L41+'4 Canaccord Genuity '!L44-SUM(I266:I272)</f>
        <v>#REF!</v>
      </c>
      <c r="J265" s="2002">
        <f>'9 Wealth Management'!L31-SUM(J266:J270)</f>
        <v>54456</v>
      </c>
      <c r="K265" s="2002">
        <f>'12 Other'!L31-SUM(K266:K272)</f>
        <v>10497</v>
      </c>
      <c r="L265" s="2002" t="e">
        <f t="shared" si="56"/>
        <v>#REF!</v>
      </c>
      <c r="M265" s="480"/>
      <c r="N265" s="480"/>
      <c r="O265" s="480"/>
      <c r="P265" s="480"/>
      <c r="Q265" s="480"/>
      <c r="R265" s="480"/>
      <c r="S265" s="2024" t="s">
        <v>458</v>
      </c>
      <c r="T265" s="2125">
        <f>'3 Business Segments FY19'!H22</f>
        <v>-56</v>
      </c>
      <c r="U265" s="2126">
        <v>1257</v>
      </c>
      <c r="V265" s="2127">
        <f>'3 Business Segments FY19'!T22</f>
        <v>-81</v>
      </c>
      <c r="W265" s="2127">
        <v>6844</v>
      </c>
    </row>
    <row r="266" spans="3:23" ht="13.5" customHeight="1" x14ac:dyDescent="0.2">
      <c r="C266" s="1999" t="s">
        <v>66</v>
      </c>
      <c r="D266" s="2000">
        <f>'3 Business Segments FY19'!I31</f>
        <v>1650</v>
      </c>
      <c r="E266" s="2000">
        <f>'3 Business Segments FY19'!L31</f>
        <v>4000</v>
      </c>
      <c r="F266" s="1980">
        <f>'3 Business Segments FY19'!M31</f>
        <v>119</v>
      </c>
      <c r="G266" s="2000">
        <f>'3 Business Segments FY19'!N31</f>
        <v>5769</v>
      </c>
      <c r="H266" s="2001">
        <f t="shared" ref="H266:H275" si="59">SUM(D266:F266)-G266</f>
        <v>0</v>
      </c>
      <c r="I266" s="2002">
        <f>'4 Canaccord Genuity '!L27+'4 Canaccord Genuity '!L41</f>
        <v>2438</v>
      </c>
      <c r="J266" s="2002">
        <f>'9 Wealth Management'!L26</f>
        <v>2358</v>
      </c>
      <c r="K266" s="2002">
        <f>'12 Other'!L24</f>
        <v>352</v>
      </c>
      <c r="L266" s="2002">
        <f t="shared" si="56"/>
        <v>5148</v>
      </c>
      <c r="M266" s="480"/>
      <c r="N266" s="480"/>
      <c r="O266" s="480"/>
      <c r="P266" s="480"/>
      <c r="Q266" s="480"/>
      <c r="R266" s="480"/>
      <c r="S266" s="2024"/>
      <c r="T266" s="2125">
        <f>SUM(T261:T265)</f>
        <v>284808</v>
      </c>
      <c r="U266" s="2126">
        <f>SUM(U261:U265)</f>
        <v>181837</v>
      </c>
      <c r="V266" s="2125">
        <f>SUM(V261:V265)</f>
        <v>1190567</v>
      </c>
      <c r="W266" s="2127">
        <v>787805</v>
      </c>
    </row>
    <row r="267" spans="3:23" ht="13.5" customHeight="1" x14ac:dyDescent="0.2">
      <c r="C267" s="1999" t="s">
        <v>67</v>
      </c>
      <c r="D267" s="2000">
        <f>'3 Business Segments FY19'!I32</f>
        <v>143</v>
      </c>
      <c r="E267" s="2000">
        <f>'3 Business Segments FY19'!L32</f>
        <v>2760</v>
      </c>
      <c r="F267" s="1980">
        <f t="shared" ref="F267:F268" si="60">G267-E267-D267</f>
        <v>37</v>
      </c>
      <c r="G267" s="2000">
        <f>'3 Business Segments FY19'!N32</f>
        <v>2940</v>
      </c>
      <c r="H267" s="2001">
        <f t="shared" si="59"/>
        <v>0</v>
      </c>
      <c r="I267" s="2002">
        <f>'4 Canaccord Genuity '!L28</f>
        <v>256</v>
      </c>
      <c r="J267" s="2002">
        <f>'9 Wealth Management'!L27</f>
        <v>1191</v>
      </c>
      <c r="K267" s="2002">
        <f>'12 Other'!L25</f>
        <v>39</v>
      </c>
      <c r="L267" s="2002">
        <f t="shared" si="56"/>
        <v>1486</v>
      </c>
      <c r="M267" s="480"/>
      <c r="N267" s="480"/>
      <c r="O267" s="480"/>
      <c r="P267" s="480"/>
      <c r="Q267" s="480"/>
      <c r="R267" s="480"/>
      <c r="S267" s="2024"/>
      <c r="T267" s="2003"/>
      <c r="U267" s="2004"/>
      <c r="V267" s="2005"/>
      <c r="W267" s="2005"/>
    </row>
    <row r="268" spans="3:23" ht="13.5" customHeight="1" x14ac:dyDescent="0.2">
      <c r="C268" s="1999" t="s">
        <v>514</v>
      </c>
      <c r="D268" s="2000">
        <v>2702</v>
      </c>
      <c r="E268" s="2000">
        <f>'3 Business Segments FY19'!L29</f>
        <v>887</v>
      </c>
      <c r="F268" s="1980">
        <f t="shared" si="60"/>
        <v>2149</v>
      </c>
      <c r="G268" s="2000">
        <f>'3 Business Segments FY19'!N29</f>
        <v>5738</v>
      </c>
      <c r="H268" s="2001">
        <f t="shared" si="59"/>
        <v>0</v>
      </c>
      <c r="I268" s="2002" t="e">
        <f>'4 Canaccord Genuity '!L25+#REF!</f>
        <v>#REF!</v>
      </c>
      <c r="J268" s="2002">
        <f>'9 Wealth Management'!L24</f>
        <v>184</v>
      </c>
      <c r="K268" s="2002">
        <f>'12 Other'!L22</f>
        <v>1180</v>
      </c>
      <c r="L268" s="2002" t="e">
        <f t="shared" si="56"/>
        <v>#REF!</v>
      </c>
      <c r="M268" s="480"/>
      <c r="N268" s="480"/>
      <c r="O268" s="480"/>
      <c r="P268" s="480"/>
      <c r="Q268" s="480"/>
      <c r="R268" s="480"/>
      <c r="S268" s="2024"/>
      <c r="T268" s="2003"/>
      <c r="U268" s="2004"/>
      <c r="V268" s="2005"/>
      <c r="W268" s="2005"/>
    </row>
    <row r="269" spans="3:23" ht="13.5" customHeight="1" x14ac:dyDescent="0.2">
      <c r="C269" s="1999" t="s">
        <v>149</v>
      </c>
      <c r="D269" s="2000">
        <f>'3 Business Segments FY19'!I33</f>
        <v>11754</v>
      </c>
      <c r="E269" s="2000">
        <v>0</v>
      </c>
      <c r="F269" s="1980">
        <v>0</v>
      </c>
      <c r="G269" s="2000">
        <f>'3 Business Segments FY19'!N33</f>
        <v>11754</v>
      </c>
      <c r="H269" s="2001">
        <f t="shared" si="59"/>
        <v>0</v>
      </c>
      <c r="I269" s="2002">
        <f>'4 Canaccord Genuity '!L29</f>
        <v>4256</v>
      </c>
      <c r="J269" s="2002">
        <f>'9 Wealth Management'!L28</f>
        <v>2000</v>
      </c>
      <c r="K269" s="2002">
        <f>'12 Other'!L26</f>
        <v>0</v>
      </c>
      <c r="L269" s="2002">
        <f t="shared" si="56"/>
        <v>6256</v>
      </c>
      <c r="M269" s="480"/>
      <c r="N269" s="480"/>
      <c r="O269" s="480"/>
      <c r="P269" s="480"/>
      <c r="Q269" s="480"/>
      <c r="R269" s="480"/>
      <c r="S269" s="2024"/>
      <c r="T269" s="2003"/>
      <c r="U269" s="2004"/>
      <c r="V269" s="2005"/>
      <c r="W269" s="2005"/>
    </row>
    <row r="270" spans="3:23" ht="13.5" customHeight="1" x14ac:dyDescent="0.2">
      <c r="C270" s="1999" t="s">
        <v>169</v>
      </c>
      <c r="D270" s="2000">
        <f>'3 Business Segments FY19'!I34</f>
        <v>803</v>
      </c>
      <c r="E270" s="2000"/>
      <c r="F270" s="1980">
        <v>0</v>
      </c>
      <c r="G270" s="2000">
        <f>'3 Business Segments FY19'!N34</f>
        <v>1721</v>
      </c>
      <c r="H270" s="2001">
        <f t="shared" si="59"/>
        <v>-918</v>
      </c>
      <c r="I270" s="2002">
        <v>0</v>
      </c>
      <c r="J270" s="2002">
        <f>'9 Wealth Management'!L30</f>
        <v>4364</v>
      </c>
      <c r="K270" s="2002" t="s">
        <v>574</v>
      </c>
      <c r="L270" s="2002">
        <f t="shared" si="56"/>
        <v>4364</v>
      </c>
      <c r="M270" s="480"/>
      <c r="N270" s="480"/>
      <c r="O270" s="480"/>
      <c r="P270" s="480"/>
      <c r="Q270" s="480"/>
      <c r="R270" s="480"/>
      <c r="S270" s="2024"/>
      <c r="T270" s="2003"/>
      <c r="U270" s="2004"/>
      <c r="V270" s="2005"/>
      <c r="W270" s="2005"/>
    </row>
    <row r="271" spans="3:23" ht="23.25" customHeight="1" x14ac:dyDescent="0.2">
      <c r="C271" s="1999" t="s">
        <v>580</v>
      </c>
      <c r="D271" s="2000"/>
      <c r="E271" s="2000"/>
      <c r="F271" s="1980">
        <f>'3 Business Segments FY19'!M36</f>
        <v>0</v>
      </c>
      <c r="G271" s="2000">
        <f>F271</f>
        <v>0</v>
      </c>
      <c r="H271" s="2001">
        <f t="shared" si="59"/>
        <v>0</v>
      </c>
      <c r="I271" s="2002"/>
      <c r="J271" s="2002"/>
      <c r="K271" s="2002"/>
      <c r="L271" s="2002">
        <f t="shared" si="56"/>
        <v>0</v>
      </c>
      <c r="M271" s="480"/>
      <c r="N271" s="480"/>
      <c r="O271" s="480"/>
      <c r="P271" s="480"/>
      <c r="Q271" s="480"/>
      <c r="R271" s="480"/>
      <c r="S271" s="2024"/>
      <c r="T271" s="2003"/>
      <c r="U271" s="2004"/>
      <c r="V271" s="2005"/>
      <c r="W271" s="2005"/>
    </row>
    <row r="272" spans="3:23" ht="13.5" customHeight="1" thickBot="1" x14ac:dyDescent="0.25">
      <c r="C272" s="2043" t="s">
        <v>575</v>
      </c>
      <c r="D272" s="2013">
        <v>0</v>
      </c>
      <c r="E272" s="2013"/>
      <c r="F272" s="1860">
        <f>'3 Business Segments FY19'!M37</f>
        <v>-111</v>
      </c>
      <c r="G272" s="2013">
        <f>'3 Business Segments FY19'!N37</f>
        <v>-111</v>
      </c>
      <c r="H272" s="2001">
        <f>SUM(D272:F272)-G272</f>
        <v>0</v>
      </c>
      <c r="I272" s="2009"/>
      <c r="J272" s="2009"/>
      <c r="K272" s="2009">
        <f>'12 Other'!L30</f>
        <v>208</v>
      </c>
      <c r="L272" s="2009">
        <f t="shared" si="56"/>
        <v>208</v>
      </c>
      <c r="M272" s="480"/>
      <c r="N272" s="480"/>
      <c r="O272" s="480"/>
      <c r="P272" s="480"/>
      <c r="Q272" s="480"/>
      <c r="R272" s="480"/>
      <c r="S272" s="2024"/>
      <c r="T272" s="2003"/>
      <c r="U272" s="2004"/>
      <c r="V272" s="2005"/>
      <c r="W272" s="2005"/>
    </row>
    <row r="273" spans="3:23" ht="13.5" customHeight="1" thickTop="1" thickBot="1" x14ac:dyDescent="0.25">
      <c r="C273" s="2010" t="s">
        <v>168</v>
      </c>
      <c r="D273" s="2011">
        <f>SUM(D259:D264)-SUM(D265:D272)</f>
        <v>3117</v>
      </c>
      <c r="E273" s="2011">
        <f>SUM(E259:E264)-SUM(E265:E272)</f>
        <v>17518</v>
      </c>
      <c r="F273" s="2011">
        <f>SUM(F259:F264)-SUM(F265:F272)</f>
        <v>-15092</v>
      </c>
      <c r="G273" s="2011">
        <f>SUM(G259:G264)-SUM(G265:G272)</f>
        <v>5543</v>
      </c>
      <c r="H273" s="2001">
        <f t="shared" si="59"/>
        <v>0</v>
      </c>
      <c r="I273" s="2011" t="e">
        <f>SUM(I259:I264)-SUM(I265:I272)</f>
        <v>#REF!</v>
      </c>
      <c r="J273" s="2011">
        <f>SUM(J259:J264)-SUM(J265:J272)</f>
        <v>5010</v>
      </c>
      <c r="K273" s="2011">
        <f>SUM(K261:K264)-SUM(K265:K272)</f>
        <v>-9172</v>
      </c>
      <c r="L273" s="2011" t="e">
        <f t="shared" ref="L273" si="61">SUM(L259:L264)-SUM(L265:L272)</f>
        <v>#REF!</v>
      </c>
      <c r="M273" s="480"/>
      <c r="N273" s="480"/>
      <c r="O273" s="480"/>
      <c r="P273" s="480"/>
      <c r="Q273" s="480"/>
      <c r="R273" s="480"/>
      <c r="S273" s="480"/>
      <c r="T273" s="480"/>
      <c r="U273" s="480"/>
      <c r="V273" s="480"/>
      <c r="W273" s="480"/>
    </row>
    <row r="274" spans="3:23" ht="13.5" customHeight="1" thickBot="1" x14ac:dyDescent="0.25">
      <c r="C274" s="2012" t="s">
        <v>313</v>
      </c>
      <c r="D274" s="2013">
        <f>'3 Business Segments FY19'!I41</f>
        <v>5646</v>
      </c>
      <c r="E274" s="2013">
        <f>'3 Business Segments FY19'!L41</f>
        <v>4419</v>
      </c>
      <c r="F274" s="2013">
        <f>G274-E274-D274</f>
        <v>-10065</v>
      </c>
      <c r="G274" s="2013">
        <v>0</v>
      </c>
      <c r="H274" s="2001">
        <f t="shared" si="59"/>
        <v>0</v>
      </c>
      <c r="I274" s="2009">
        <f>'4 Canaccord Genuity '!L49</f>
        <v>3869</v>
      </c>
      <c r="J274" s="2009">
        <f>'9 Wealth Management'!L33</f>
        <v>4091</v>
      </c>
      <c r="K274" s="2009">
        <f>'12 Other'!L33</f>
        <v>-7960</v>
      </c>
      <c r="L274" s="2129">
        <v>0</v>
      </c>
      <c r="M274" s="480"/>
      <c r="N274" s="480"/>
      <c r="O274" s="480"/>
      <c r="P274" s="480"/>
      <c r="Q274" s="480"/>
      <c r="R274" s="480"/>
      <c r="S274" s="480"/>
      <c r="T274" s="480"/>
      <c r="U274" s="480"/>
      <c r="V274" s="480"/>
      <c r="W274" s="480"/>
    </row>
    <row r="275" spans="3:23" ht="13.5" customHeight="1" thickTop="1" thickBot="1" x14ac:dyDescent="0.25">
      <c r="C275" s="2012" t="s">
        <v>69</v>
      </c>
      <c r="D275" s="2013">
        <f>D273-D274</f>
        <v>-2529</v>
      </c>
      <c r="E275" s="2016">
        <f>E273-E274</f>
        <v>13099</v>
      </c>
      <c r="F275" s="2013">
        <f>G275-E275-D275</f>
        <v>-5027</v>
      </c>
      <c r="G275" s="2013">
        <f>G273</f>
        <v>5543</v>
      </c>
      <c r="H275" s="2001">
        <f t="shared" si="59"/>
        <v>0</v>
      </c>
      <c r="I275" s="2013" t="e">
        <f>I273-I274</f>
        <v>#REF!</v>
      </c>
      <c r="J275" s="2013">
        <f t="shared" ref="J275:K275" si="62">J273-J274</f>
        <v>919</v>
      </c>
      <c r="K275" s="2013">
        <f t="shared" si="62"/>
        <v>-1212</v>
      </c>
      <c r="L275" s="2128" t="e">
        <f>L273-L274</f>
        <v>#REF!</v>
      </c>
      <c r="M275" s="480"/>
      <c r="N275" s="480"/>
      <c r="O275" s="480"/>
      <c r="P275" s="480"/>
      <c r="Q275" s="480"/>
      <c r="R275" s="480"/>
      <c r="S275" s="480"/>
      <c r="T275" s="480"/>
      <c r="U275" s="480"/>
      <c r="V275" s="480"/>
      <c r="W275" s="480"/>
    </row>
    <row r="276" spans="3:23" ht="13.5" customHeight="1" thickTop="1" x14ac:dyDescent="0.25">
      <c r="C276" s="480"/>
      <c r="D276" s="480"/>
      <c r="E276" s="2017"/>
      <c r="F276" s="480"/>
      <c r="G276" s="480"/>
      <c r="H276" s="2018"/>
      <c r="I276" s="480"/>
      <c r="J276" s="480"/>
      <c r="K276" s="480"/>
      <c r="L276" s="480"/>
      <c r="M276" s="480"/>
      <c r="N276" s="480"/>
      <c r="O276" s="480"/>
      <c r="P276" s="480"/>
      <c r="Q276" s="480"/>
      <c r="R276" s="480"/>
      <c r="S276" s="480"/>
      <c r="T276" s="480"/>
      <c r="U276" s="480"/>
      <c r="V276" s="480"/>
      <c r="W276" s="480"/>
    </row>
    <row r="277" spans="3:23" ht="13.5" customHeight="1" x14ac:dyDescent="0.25">
      <c r="C277" s="480"/>
      <c r="D277" s="2019" t="s">
        <v>576</v>
      </c>
      <c r="E277" s="2017"/>
      <c r="F277" s="2017"/>
      <c r="G277" s="2017"/>
      <c r="H277" s="2018"/>
      <c r="I277" s="480"/>
      <c r="J277" s="480"/>
      <c r="K277" s="480"/>
      <c r="L277" s="480"/>
      <c r="M277" s="480"/>
      <c r="N277" s="480"/>
      <c r="O277" s="480"/>
      <c r="P277" s="480"/>
      <c r="Q277" s="480"/>
      <c r="R277" s="480"/>
      <c r="S277" s="480"/>
      <c r="T277" s="480"/>
      <c r="U277" s="480"/>
      <c r="V277" s="480"/>
      <c r="W277" s="480"/>
    </row>
    <row r="278" spans="3:23" ht="13.5" customHeight="1" x14ac:dyDescent="0.25">
      <c r="C278" s="480"/>
      <c r="D278" s="2017"/>
      <c r="E278" s="480"/>
      <c r="F278" s="480"/>
      <c r="G278" s="480"/>
      <c r="H278" s="2018"/>
      <c r="I278" s="480"/>
      <c r="J278" s="480"/>
      <c r="K278" s="480"/>
      <c r="L278" s="480"/>
      <c r="M278" s="480"/>
      <c r="N278" s="480"/>
      <c r="O278" s="480"/>
      <c r="P278" s="480"/>
      <c r="Q278" s="480"/>
      <c r="R278" s="480"/>
      <c r="S278" s="480"/>
      <c r="T278" s="480"/>
      <c r="U278" s="480"/>
      <c r="V278" s="480"/>
      <c r="W278" s="480"/>
    </row>
    <row r="279" spans="3:23" ht="13.5" customHeight="1" x14ac:dyDescent="0.25">
      <c r="C279" s="480"/>
      <c r="D279" s="2017"/>
      <c r="E279" s="2017"/>
      <c r="F279" s="2017"/>
      <c r="G279" s="2017"/>
      <c r="H279" s="2018"/>
      <c r="I279" s="480"/>
      <c r="J279" s="480"/>
      <c r="K279" s="480"/>
      <c r="L279" s="480"/>
      <c r="M279" s="480"/>
      <c r="N279" s="480"/>
      <c r="O279" s="480"/>
      <c r="P279" s="480"/>
      <c r="Q279" s="480"/>
      <c r="R279" s="480"/>
      <c r="S279" s="480"/>
      <c r="T279" s="480"/>
      <c r="U279" s="480"/>
      <c r="V279" s="480"/>
      <c r="W279" s="480"/>
    </row>
    <row r="280" spans="3:23" ht="13.5" customHeight="1" x14ac:dyDescent="0.25">
      <c r="C280" s="480"/>
      <c r="D280" s="2017"/>
      <c r="E280" s="2017"/>
      <c r="F280" s="2017"/>
      <c r="G280" s="2017"/>
      <c r="H280" s="2018"/>
      <c r="I280" s="480"/>
      <c r="J280" s="480"/>
      <c r="K280" s="480"/>
      <c r="L280" s="480"/>
      <c r="M280" s="480"/>
      <c r="N280" s="480"/>
      <c r="O280" s="480"/>
      <c r="P280" s="480"/>
      <c r="Q280" s="480"/>
      <c r="R280" s="480"/>
      <c r="S280" s="480"/>
      <c r="T280" s="480"/>
      <c r="U280" s="480"/>
      <c r="V280" s="480"/>
      <c r="W280" s="480"/>
    </row>
    <row r="281" spans="3:23" ht="13.5" customHeight="1" x14ac:dyDescent="0.25">
      <c r="C281" s="480"/>
      <c r="D281" s="2017"/>
      <c r="E281" s="2017"/>
      <c r="F281" s="2017"/>
      <c r="G281" s="2017"/>
      <c r="H281" s="2018"/>
      <c r="I281" s="480"/>
      <c r="J281" s="480"/>
      <c r="K281" s="480"/>
      <c r="L281" s="480"/>
      <c r="M281" s="480"/>
      <c r="N281" s="480"/>
      <c r="O281" s="480"/>
      <c r="P281" s="480"/>
      <c r="Q281" s="480"/>
      <c r="R281" s="480"/>
      <c r="S281" s="480"/>
      <c r="T281" s="480"/>
      <c r="U281" s="480"/>
      <c r="V281" s="480"/>
      <c r="W281" s="480"/>
    </row>
    <row r="282" spans="3:23" ht="13.5" customHeight="1" x14ac:dyDescent="0.25">
      <c r="C282" s="480"/>
      <c r="D282" s="480"/>
      <c r="E282" s="480"/>
      <c r="F282" s="480"/>
      <c r="G282" s="480"/>
      <c r="H282" s="2018"/>
      <c r="I282" s="480"/>
      <c r="J282" s="480"/>
      <c r="K282" s="480"/>
      <c r="L282" s="480"/>
      <c r="M282" s="480"/>
      <c r="N282" s="480"/>
      <c r="O282" s="480"/>
      <c r="P282" s="480"/>
      <c r="Q282" s="480"/>
      <c r="R282" s="480"/>
      <c r="S282" s="480"/>
      <c r="T282" s="480"/>
      <c r="U282" s="480"/>
      <c r="V282" s="480"/>
      <c r="W282" s="480"/>
    </row>
    <row r="283" spans="3:23" ht="13.5" customHeight="1" x14ac:dyDescent="0.25">
      <c r="C283" s="480"/>
      <c r="D283" s="480"/>
      <c r="E283" s="480"/>
      <c r="F283" s="480"/>
      <c r="G283" s="480"/>
      <c r="H283" s="2018"/>
      <c r="I283" s="480"/>
      <c r="J283" s="480"/>
      <c r="K283" s="480"/>
      <c r="L283" s="480"/>
      <c r="M283" s="480"/>
      <c r="N283" s="480"/>
      <c r="O283" s="480"/>
      <c r="P283" s="480"/>
      <c r="Q283" s="480"/>
      <c r="R283" s="480"/>
      <c r="S283" s="480"/>
      <c r="T283" s="480"/>
      <c r="U283" s="480"/>
      <c r="V283" s="480"/>
      <c r="W283" s="480"/>
    </row>
    <row r="284" spans="3:23" ht="13.5" customHeight="1" x14ac:dyDescent="0.2">
      <c r="C284" s="2317"/>
      <c r="D284" s="2319"/>
      <c r="E284" s="2319" t="s">
        <v>577</v>
      </c>
      <c r="F284" s="2319"/>
      <c r="G284" s="2319"/>
      <c r="H284" s="2319"/>
      <c r="I284" s="2319"/>
      <c r="J284" s="2319"/>
      <c r="K284" s="2319"/>
      <c r="L284" s="2319"/>
      <c r="M284" s="2319"/>
      <c r="N284" s="2151"/>
      <c r="O284" s="2151"/>
      <c r="P284" s="2375"/>
      <c r="Q284" s="2375"/>
      <c r="R284" s="480"/>
      <c r="S284" s="480"/>
      <c r="T284" s="2"/>
      <c r="U284" s="2"/>
      <c r="V284" s="2"/>
      <c r="W284" s="2"/>
    </row>
    <row r="285" spans="3:23" ht="13.5" customHeight="1" thickBot="1" x14ac:dyDescent="0.25">
      <c r="C285" s="2317"/>
      <c r="D285" s="2374"/>
      <c r="E285" s="2374"/>
      <c r="F285" s="2374"/>
      <c r="G285" s="2374"/>
      <c r="H285" s="2374"/>
      <c r="I285" s="2374"/>
      <c r="J285" s="2374"/>
      <c r="K285" s="2374"/>
      <c r="L285" s="2374"/>
      <c r="M285" s="2374"/>
      <c r="N285" s="2152"/>
      <c r="O285" s="2152"/>
      <c r="P285" s="2375"/>
      <c r="Q285" s="2375"/>
      <c r="R285" s="480"/>
      <c r="S285" s="480"/>
      <c r="T285" s="2"/>
      <c r="U285" s="2"/>
      <c r="V285" s="2"/>
      <c r="W285" s="2"/>
    </row>
    <row r="286" spans="3:23" ht="16.5" thickBot="1" x14ac:dyDescent="0.25">
      <c r="C286" s="1998"/>
      <c r="D286" s="1987">
        <f>D254</f>
        <v>43373</v>
      </c>
      <c r="E286" s="1987"/>
      <c r="F286" s="1987"/>
      <c r="G286" s="1987"/>
      <c r="H286" s="2020"/>
      <c r="I286" s="1987"/>
      <c r="J286" s="1987"/>
      <c r="K286" s="1987"/>
      <c r="L286" s="1987"/>
      <c r="M286" s="1987"/>
      <c r="N286" s="1987"/>
      <c r="O286" s="1987"/>
      <c r="P286" s="1987"/>
      <c r="Q286" s="2021"/>
      <c r="R286" s="480"/>
      <c r="S286" s="480"/>
      <c r="T286" s="2"/>
      <c r="U286" s="2"/>
      <c r="V286" s="2"/>
      <c r="W286" s="2"/>
    </row>
    <row r="287" spans="3:23" ht="15.75" x14ac:dyDescent="0.2">
      <c r="C287" s="2317"/>
      <c r="D287" s="2318"/>
      <c r="E287" s="2022" t="s">
        <v>505</v>
      </c>
      <c r="F287" s="2318" t="s">
        <v>182</v>
      </c>
      <c r="G287" s="2318"/>
      <c r="H287" s="2376"/>
      <c r="I287" s="2023"/>
      <c r="J287" s="2006" t="s">
        <v>505</v>
      </c>
      <c r="K287" s="2023"/>
      <c r="L287" s="2023"/>
      <c r="M287" s="2023"/>
      <c r="N287" s="2154"/>
      <c r="O287" s="2154"/>
      <c r="P287" s="2021"/>
      <c r="Q287" s="480"/>
      <c r="R287" s="480"/>
      <c r="S287" s="480"/>
      <c r="T287" s="2"/>
      <c r="U287" s="2"/>
      <c r="V287" s="2"/>
      <c r="W287" s="2"/>
    </row>
    <row r="288" spans="3:23" ht="15.75" x14ac:dyDescent="0.2">
      <c r="C288" s="2317"/>
      <c r="D288" s="2319"/>
      <c r="E288" s="2006" t="s">
        <v>506</v>
      </c>
      <c r="F288" s="2320"/>
      <c r="G288" s="2320"/>
      <c r="H288" s="2376"/>
      <c r="I288" s="2024"/>
      <c r="J288" s="2006" t="s">
        <v>506</v>
      </c>
      <c r="K288" s="2024"/>
      <c r="L288" s="2024"/>
      <c r="M288" s="2024"/>
      <c r="N288" s="2024"/>
      <c r="O288" s="2024"/>
      <c r="P288" s="2021"/>
      <c r="Q288" s="480"/>
      <c r="R288" s="480"/>
      <c r="S288" s="480"/>
      <c r="T288" s="2"/>
      <c r="U288" s="2"/>
      <c r="V288" s="2"/>
      <c r="W288" s="2"/>
    </row>
    <row r="289" spans="3:23" ht="25.5" x14ac:dyDescent="0.2">
      <c r="C289" s="1998"/>
      <c r="D289" s="2006" t="s">
        <v>507</v>
      </c>
      <c r="E289" s="2006" t="s">
        <v>508</v>
      </c>
      <c r="F289" s="2006" t="s">
        <v>509</v>
      </c>
      <c r="G289" s="2006"/>
      <c r="H289" s="2020"/>
      <c r="I289" s="2006" t="s">
        <v>507</v>
      </c>
      <c r="J289" s="2006" t="s">
        <v>508</v>
      </c>
      <c r="K289" s="2024" t="s">
        <v>571</v>
      </c>
      <c r="L289" s="2024"/>
      <c r="M289" s="2024"/>
      <c r="N289" s="2024"/>
      <c r="O289" s="2024"/>
      <c r="P289" s="2021"/>
      <c r="Q289" s="480"/>
      <c r="R289" s="480"/>
      <c r="S289" s="480"/>
      <c r="T289" s="2025"/>
      <c r="U289" s="2377"/>
      <c r="V289" s="2377"/>
      <c r="W289" s="2026"/>
    </row>
    <row r="290" spans="3:23" x14ac:dyDescent="0.2">
      <c r="C290" s="1998"/>
      <c r="D290" s="2006" t="s">
        <v>510</v>
      </c>
      <c r="E290" s="2006" t="s">
        <v>511</v>
      </c>
      <c r="F290" s="2006" t="s">
        <v>60</v>
      </c>
      <c r="G290" s="2006" t="s">
        <v>55</v>
      </c>
      <c r="H290" s="2020"/>
      <c r="I290" s="2006" t="s">
        <v>510</v>
      </c>
      <c r="J290" s="2006" t="s">
        <v>511</v>
      </c>
      <c r="K290" s="2024" t="s">
        <v>60</v>
      </c>
      <c r="L290" s="2024" t="s">
        <v>55</v>
      </c>
      <c r="M290" s="480"/>
      <c r="N290" s="480"/>
      <c r="O290" s="480"/>
      <c r="P290" s="480"/>
      <c r="Q290" s="480"/>
      <c r="R290" s="480"/>
      <c r="S290" s="480"/>
      <c r="T290" s="2378"/>
      <c r="U290" s="2027"/>
      <c r="V290" s="2027"/>
      <c r="W290" s="2027"/>
    </row>
    <row r="291" spans="3:23" ht="13.5" thickBot="1" x14ac:dyDescent="0.25">
      <c r="C291" s="2028"/>
      <c r="D291" s="2029" t="s">
        <v>512</v>
      </c>
      <c r="E291" s="2029" t="s">
        <v>512</v>
      </c>
      <c r="F291" s="2029" t="s">
        <v>512</v>
      </c>
      <c r="G291" s="2029" t="s">
        <v>512</v>
      </c>
      <c r="H291" s="1997"/>
      <c r="I291" s="2029" t="s">
        <v>512</v>
      </c>
      <c r="J291" s="2029" t="s">
        <v>512</v>
      </c>
      <c r="K291" s="2030" t="s">
        <v>512</v>
      </c>
      <c r="L291" s="2030" t="s">
        <v>512</v>
      </c>
      <c r="M291" s="480"/>
      <c r="N291" s="480"/>
      <c r="O291" s="480"/>
      <c r="P291" s="480"/>
      <c r="Q291" s="480"/>
      <c r="R291" s="480"/>
      <c r="S291" s="480"/>
      <c r="T291" s="2378"/>
      <c r="U291" s="2026"/>
      <c r="V291" s="2026"/>
      <c r="W291" s="2026"/>
    </row>
    <row r="292" spans="3:23" x14ac:dyDescent="0.2">
      <c r="C292" s="2031"/>
      <c r="D292" s="2031"/>
      <c r="E292" s="2031"/>
      <c r="F292" s="2031"/>
      <c r="G292" s="2031"/>
      <c r="H292" s="2032"/>
      <c r="I292" s="2031"/>
      <c r="J292" s="2031"/>
      <c r="K292" s="2033"/>
      <c r="L292" s="2033"/>
      <c r="M292" s="480"/>
      <c r="N292" s="480"/>
      <c r="O292" s="480"/>
      <c r="P292" s="480"/>
      <c r="Q292" s="480"/>
      <c r="R292" s="480"/>
      <c r="S292" s="480"/>
      <c r="T292" s="2034"/>
      <c r="U292" s="2035"/>
      <c r="V292" s="2036"/>
      <c r="W292" s="2035"/>
    </row>
    <row r="293" spans="3:23" x14ac:dyDescent="0.2">
      <c r="C293" s="2007" t="s">
        <v>282</v>
      </c>
      <c r="D293" s="2000">
        <f>'3 Business Segments FY19'!U16</f>
        <v>175511</v>
      </c>
      <c r="E293" s="2000">
        <f>'3 Business Segments FY19'!X16</f>
        <v>380964</v>
      </c>
      <c r="F293" s="2000">
        <f>'3 Business Segments FY19'!Y16</f>
        <v>0</v>
      </c>
      <c r="G293" s="2000">
        <f>'3 Business Segments FY19'!Z16</f>
        <v>556475</v>
      </c>
      <c r="H293" s="2001">
        <f>SUM(D293:F293)-G293</f>
        <v>0</v>
      </c>
      <c r="I293" s="2002">
        <f>'4 Canaccord Genuity '!Q78</f>
        <v>155126</v>
      </c>
      <c r="J293" s="2002">
        <f>'9 Wealth Management'!Q69</f>
        <v>306816</v>
      </c>
      <c r="K293" s="2008"/>
      <c r="L293" s="2008">
        <f>SUM(I293:K293)</f>
        <v>461942</v>
      </c>
      <c r="M293" s="480"/>
      <c r="N293" s="480"/>
      <c r="O293" s="480"/>
      <c r="P293" s="480"/>
      <c r="Q293" s="480"/>
      <c r="R293" s="480"/>
      <c r="S293" s="480"/>
      <c r="T293" s="2037"/>
      <c r="U293" s="2038"/>
      <c r="V293" s="2039"/>
      <c r="W293" s="2038"/>
    </row>
    <row r="294" spans="3:23" x14ac:dyDescent="0.2">
      <c r="C294" s="2007" t="s">
        <v>57</v>
      </c>
      <c r="D294" s="2000">
        <f>'3 Business Segments FY19'!U17</f>
        <v>243715</v>
      </c>
      <c r="E294" s="2000">
        <f>'3 Business Segments FY19'!X17</f>
        <v>50526</v>
      </c>
      <c r="F294" s="2000">
        <f>'3 Business Segments FY19'!Y17</f>
        <v>0</v>
      </c>
      <c r="G294" s="2000">
        <f>'3 Business Segments FY19'!Z17</f>
        <v>294241</v>
      </c>
      <c r="H294" s="2001"/>
      <c r="I294" s="2002">
        <f>'4 Canaccord Genuity '!Q79</f>
        <v>234820</v>
      </c>
      <c r="J294" s="2002">
        <f>'9 Wealth Management'!Q70</f>
        <v>47375</v>
      </c>
      <c r="K294" s="2008"/>
      <c r="L294" s="2008">
        <f t="shared" ref="L294:L306" si="63">SUM(I294:K294)</f>
        <v>282195</v>
      </c>
      <c r="M294" s="480"/>
      <c r="N294" s="480"/>
      <c r="O294" s="480"/>
      <c r="P294" s="480"/>
      <c r="Q294" s="480"/>
      <c r="R294" s="480"/>
      <c r="S294" s="480"/>
      <c r="T294" s="2037"/>
      <c r="U294" s="2038"/>
      <c r="V294" s="2039"/>
      <c r="W294" s="2038"/>
    </row>
    <row r="295" spans="3:23" x14ac:dyDescent="0.2">
      <c r="C295" s="2007" t="s">
        <v>188</v>
      </c>
      <c r="D295" s="2000">
        <f>'3 Business Segments FY19'!U18</f>
        <v>140744</v>
      </c>
      <c r="E295" s="2000">
        <f>'3 Business Segments FY19'!X18</f>
        <v>1484</v>
      </c>
      <c r="F295" s="2000">
        <f>'3 Business Segments FY19'!Y18</f>
        <v>0</v>
      </c>
      <c r="G295" s="2000">
        <f>'3 Business Segments FY19'!Z18</f>
        <v>142228</v>
      </c>
      <c r="H295" s="2001"/>
      <c r="I295" s="2002">
        <f>'4 Canaccord Genuity '!Q80</f>
        <v>122372</v>
      </c>
      <c r="J295" s="2002">
        <f>'9 Wealth Management'!Q71</f>
        <v>0</v>
      </c>
      <c r="K295" s="2008"/>
      <c r="L295" s="2008">
        <f t="shared" si="63"/>
        <v>122372</v>
      </c>
      <c r="M295" s="480"/>
      <c r="N295" s="480"/>
      <c r="O295" s="480"/>
      <c r="P295" s="480"/>
      <c r="Q295" s="480"/>
      <c r="R295" s="480"/>
      <c r="S295" s="480"/>
      <c r="T295" s="2037"/>
      <c r="U295" s="2038"/>
      <c r="V295" s="2039"/>
      <c r="W295" s="2038"/>
    </row>
    <row r="296" spans="3:23" x14ac:dyDescent="0.2">
      <c r="C296" s="2007" t="s">
        <v>58</v>
      </c>
      <c r="D296" s="2000">
        <f>'3 Business Segments FY19'!U19</f>
        <v>125753</v>
      </c>
      <c r="E296" s="2000">
        <f>'3 Business Segments FY19'!X19</f>
        <v>100</v>
      </c>
      <c r="F296" s="2000">
        <f>'3 Business Segments FY19'!Y19</f>
        <v>-23</v>
      </c>
      <c r="G296" s="2000">
        <f>'3 Business Segments FY19'!Z19</f>
        <v>125830</v>
      </c>
      <c r="H296" s="2001"/>
      <c r="I296" s="2002">
        <f>'4 Canaccord Genuity '!Q81</f>
        <v>113715</v>
      </c>
      <c r="J296" s="2002">
        <f>'9 Wealth Management'!Q72</f>
        <v>201</v>
      </c>
      <c r="K296" s="2008"/>
      <c r="L296" s="2008">
        <f t="shared" si="63"/>
        <v>113916</v>
      </c>
      <c r="M296" s="480"/>
      <c r="N296" s="480"/>
      <c r="O296" s="480"/>
      <c r="P296" s="480"/>
      <c r="Q296" s="480"/>
      <c r="R296" s="480"/>
      <c r="S296" s="480"/>
      <c r="T296" s="2037"/>
      <c r="U296" s="2038"/>
      <c r="V296" s="2039"/>
      <c r="W296" s="2038"/>
    </row>
    <row r="297" spans="3:23" x14ac:dyDescent="0.2">
      <c r="C297" s="2007" t="s">
        <v>59</v>
      </c>
      <c r="D297" s="2000">
        <f>'3 Business Segments FY19'!U20</f>
        <v>13882</v>
      </c>
      <c r="E297" s="2000">
        <f>'3 Business Segments FY19'!X20</f>
        <v>24136</v>
      </c>
      <c r="F297" s="2000">
        <f>'3 Business Segments FY19'!Y20</f>
        <v>12990</v>
      </c>
      <c r="G297" s="2000">
        <f>'3 Business Segments FY19'!Z20</f>
        <v>51008</v>
      </c>
      <c r="H297" s="2001"/>
      <c r="I297" s="2002">
        <f>'4 Canaccord Genuity '!Q82</f>
        <v>9735</v>
      </c>
      <c r="J297" s="2002">
        <f>'9 Wealth Management'!Q73</f>
        <v>12072</v>
      </c>
      <c r="K297" s="2008">
        <v>2094</v>
      </c>
      <c r="L297" s="2008">
        <f t="shared" si="63"/>
        <v>23901</v>
      </c>
      <c r="M297" s="480"/>
      <c r="N297" s="480"/>
      <c r="O297" s="480"/>
      <c r="P297" s="480"/>
      <c r="Q297" s="480"/>
      <c r="R297" s="480"/>
      <c r="S297" s="480"/>
      <c r="T297" s="2037"/>
      <c r="U297" s="2038"/>
      <c r="V297" s="2039"/>
      <c r="W297" s="2038"/>
    </row>
    <row r="298" spans="3:23" x14ac:dyDescent="0.2">
      <c r="C298" s="2007" t="s">
        <v>60</v>
      </c>
      <c r="D298" s="2000">
        <f>'3 Business Segments FY19'!U21</f>
        <v>4721</v>
      </c>
      <c r="E298" s="2000">
        <f>'3 Business Segments FY19'!X21</f>
        <v>4601</v>
      </c>
      <c r="F298" s="2000">
        <f>'3 Business Segments FY19'!Y21</f>
        <v>11463</v>
      </c>
      <c r="G298" s="2000">
        <f>'3 Business Segments FY19'!Z21</f>
        <v>20785</v>
      </c>
      <c r="H298" s="2001">
        <f t="shared" ref="H298:H309" si="64">SUM(D298:F298)-G298</f>
        <v>0</v>
      </c>
      <c r="I298" s="2002">
        <f>'4 Canaccord Genuity '!Q83</f>
        <v>1788</v>
      </c>
      <c r="J298" s="2002">
        <f>'9 Wealth Management'!Q74</f>
        <v>3801</v>
      </c>
      <c r="K298" s="2008">
        <v>4081</v>
      </c>
      <c r="L298" s="2008">
        <f t="shared" si="63"/>
        <v>9670</v>
      </c>
      <c r="M298" s="480"/>
      <c r="N298" s="480"/>
      <c r="O298" s="480"/>
      <c r="P298" s="480"/>
      <c r="Q298" s="480"/>
      <c r="R298" s="480"/>
      <c r="S298" s="480"/>
      <c r="T298" s="2037"/>
      <c r="U298" s="2038"/>
      <c r="V298" s="2039"/>
      <c r="W298" s="2038"/>
    </row>
    <row r="299" spans="3:23" x14ac:dyDescent="0.2">
      <c r="C299" s="2007" t="s">
        <v>513</v>
      </c>
      <c r="D299" s="2000">
        <f>SUM('3 Business Segments FY19'!P38:T38)-SUM(D300:D306)</f>
        <v>590253</v>
      </c>
      <c r="E299" s="2000">
        <f>SUM('3 Business Segments FY19'!V38:W38)-SUM(E300:E306)</f>
        <v>351929</v>
      </c>
      <c r="F299" s="2000">
        <f>G299-E299-D299</f>
        <v>65437</v>
      </c>
      <c r="G299" s="2000">
        <f>'3 Business Segments FY19'!Z38-SUM(G300:G306)</f>
        <v>1007619</v>
      </c>
      <c r="H299" s="2001">
        <f>SUM(D299:F299)-G299</f>
        <v>0</v>
      </c>
      <c r="I299" s="2002" t="e">
        <f>'4 Canaccord Genuity '!Q33+'4 Canaccord Genuity '!Q39+'4 Canaccord Genuity '!Q40+'4 Canaccord Genuity '!Q41+'4 Canaccord Genuity '!Q44-SUM(I300:I306)</f>
        <v>#REF!</v>
      </c>
      <c r="J299" s="2002">
        <f>'9 Wealth Management'!Q31-SUM(J300:J306)</f>
        <v>288400</v>
      </c>
      <c r="K299" s="2008">
        <f>'12 Other'!Q31-SUM(K300:K306)</f>
        <v>49875</v>
      </c>
      <c r="L299" s="2008" t="e">
        <f t="shared" si="63"/>
        <v>#REF!</v>
      </c>
      <c r="M299" s="480"/>
      <c r="N299" s="480"/>
      <c r="O299" s="480"/>
      <c r="P299" s="480"/>
      <c r="Q299" s="480"/>
      <c r="R299" s="480"/>
      <c r="S299" s="480"/>
      <c r="T299" s="2037"/>
      <c r="U299" s="2038"/>
      <c r="V299" s="2039"/>
      <c r="W299" s="2038"/>
    </row>
    <row r="300" spans="3:23" x14ac:dyDescent="0.2">
      <c r="C300" s="2007" t="s">
        <v>66</v>
      </c>
      <c r="D300" s="2000">
        <f>SUM('3 Business Segments FY19'!P31:T31)</f>
        <v>7199</v>
      </c>
      <c r="E300" s="2000">
        <f>SUM('3 Business Segments FY19'!V31:W31)</f>
        <v>16225</v>
      </c>
      <c r="F300" s="2000">
        <f t="shared" ref="F300:F309" si="65">G300-E300-D300</f>
        <v>856</v>
      </c>
      <c r="G300" s="2000">
        <f>'3 Business Segments FY19'!Z31</f>
        <v>24280</v>
      </c>
      <c r="H300" s="2001">
        <f t="shared" si="64"/>
        <v>0</v>
      </c>
      <c r="I300" s="2002" t="e">
        <f>'4 Canaccord Genuity '!Q27+#REF!</f>
        <v>#REF!</v>
      </c>
      <c r="J300" s="2002">
        <f>'9 Wealth Management'!Q26</f>
        <v>13152</v>
      </c>
      <c r="K300" s="2008">
        <f>'12 Other'!Q24</f>
        <v>1391</v>
      </c>
      <c r="L300" s="2008" t="e">
        <f t="shared" si="63"/>
        <v>#REF!</v>
      </c>
      <c r="M300" s="480"/>
      <c r="N300" s="480"/>
      <c r="O300" s="480"/>
      <c r="P300" s="480"/>
      <c r="Q300" s="480"/>
      <c r="R300" s="480"/>
      <c r="S300" s="480"/>
      <c r="T300" s="2037"/>
      <c r="U300" s="2038"/>
      <c r="V300" s="2039"/>
      <c r="W300" s="2038"/>
    </row>
    <row r="301" spans="3:23" x14ac:dyDescent="0.2">
      <c r="C301" s="2007" t="s">
        <v>67</v>
      </c>
      <c r="D301" s="2000">
        <f>SUM('3 Business Segments FY19'!P32:T32)</f>
        <v>452</v>
      </c>
      <c r="E301" s="2000">
        <f>SUM('3 Business Segments FY19'!V32:W32)</f>
        <v>14906</v>
      </c>
      <c r="F301" s="2000">
        <f t="shared" si="65"/>
        <v>155</v>
      </c>
      <c r="G301" s="2000">
        <f>'3 Business Segments FY19'!Z32</f>
        <v>15513</v>
      </c>
      <c r="H301" s="2001">
        <f t="shared" si="64"/>
        <v>0</v>
      </c>
      <c r="I301" s="2002" t="e">
        <f>'4 Canaccord Genuity '!Q28+#REF!</f>
        <v>#REF!</v>
      </c>
      <c r="J301" s="2002">
        <f>'9 Wealth Management'!Q27</f>
        <v>6773</v>
      </c>
      <c r="K301" s="2008">
        <f>'12 Other'!Q25</f>
        <v>201</v>
      </c>
      <c r="L301" s="2008" t="e">
        <f t="shared" si="63"/>
        <v>#REF!</v>
      </c>
      <c r="M301" s="480"/>
      <c r="N301" s="480"/>
      <c r="O301" s="480"/>
      <c r="P301" s="480"/>
      <c r="Q301" s="480"/>
      <c r="R301" s="480"/>
      <c r="S301" s="480"/>
      <c r="T301" s="2037"/>
      <c r="U301" s="2038"/>
      <c r="V301" s="2039"/>
      <c r="W301" s="2038"/>
    </row>
    <row r="302" spans="3:23" x14ac:dyDescent="0.2">
      <c r="C302" s="2007" t="s">
        <v>514</v>
      </c>
      <c r="D302" s="2000">
        <f>SUM('3 Business Segments FY19'!P29:T29)</f>
        <v>9810</v>
      </c>
      <c r="E302" s="2000">
        <f>SUM('3 Business Segments FY19'!V29:W29)</f>
        <v>4593</v>
      </c>
      <c r="F302" s="2000">
        <f t="shared" si="65"/>
        <v>11050</v>
      </c>
      <c r="G302" s="2000">
        <f>'3 Business Segments FY19'!Z29</f>
        <v>25453</v>
      </c>
      <c r="H302" s="2001">
        <f t="shared" si="64"/>
        <v>0</v>
      </c>
      <c r="I302" s="2002" t="e">
        <f>'4 Canaccord Genuity '!Q25+#REF!</f>
        <v>#REF!</v>
      </c>
      <c r="J302" s="2002">
        <f>'9 Wealth Management'!Q24</f>
        <v>2741</v>
      </c>
      <c r="K302" s="2008">
        <f>'12 Other'!R22</f>
        <v>4825</v>
      </c>
      <c r="L302" s="2008" t="e">
        <f t="shared" si="63"/>
        <v>#REF!</v>
      </c>
      <c r="M302" s="480"/>
      <c r="N302" s="480"/>
      <c r="O302" s="480"/>
      <c r="P302" s="480"/>
      <c r="Q302" s="480"/>
      <c r="R302" s="480"/>
      <c r="S302" s="480"/>
      <c r="T302" s="2037"/>
      <c r="U302" s="2038"/>
      <c r="V302" s="2039"/>
      <c r="W302" s="2038"/>
    </row>
    <row r="303" spans="3:23" x14ac:dyDescent="0.2">
      <c r="C303" s="2007" t="s">
        <v>149</v>
      </c>
      <c r="D303" s="2000">
        <f>SUM('3 Business Segments FY19'!P33:T33)</f>
        <v>13070</v>
      </c>
      <c r="E303" s="2000">
        <f>SUM('3 Business Segments FY19'!V33:W33)</f>
        <v>0</v>
      </c>
      <c r="F303" s="2000">
        <f t="shared" si="65"/>
        <v>0</v>
      </c>
      <c r="G303" s="2000">
        <f>'3 Business Segments FY19'!Z33</f>
        <v>13070</v>
      </c>
      <c r="H303" s="2001">
        <f t="shared" si="64"/>
        <v>0</v>
      </c>
      <c r="I303" s="2002">
        <f>'4 Canaccord Genuity '!Q29</f>
        <v>4704</v>
      </c>
      <c r="J303" s="2002">
        <f>'9 Wealth Management'!Q28</f>
        <v>2939</v>
      </c>
      <c r="K303" s="2008">
        <f>'12 Other'!Q28</f>
        <v>1898</v>
      </c>
      <c r="L303" s="2008">
        <f t="shared" si="63"/>
        <v>9541</v>
      </c>
      <c r="M303" s="480"/>
      <c r="N303" s="480"/>
      <c r="O303" s="480"/>
      <c r="P303" s="480"/>
      <c r="Q303" s="480"/>
      <c r="R303" s="480"/>
      <c r="S303" s="480"/>
      <c r="T303" s="2037"/>
      <c r="U303" s="2038"/>
      <c r="V303" s="2039"/>
      <c r="W303" s="2038"/>
    </row>
    <row r="304" spans="3:23" x14ac:dyDescent="0.2">
      <c r="C304" s="2007" t="s">
        <v>169</v>
      </c>
      <c r="D304" s="2000">
        <f>SUM('3 Business Segments FY19'!P34:T34)</f>
        <v>1976</v>
      </c>
      <c r="E304" s="2000">
        <f>SUM('3 Business Segments FY19'!V34:W34)</f>
        <v>1088</v>
      </c>
      <c r="F304" s="2000">
        <f t="shared" si="65"/>
        <v>0</v>
      </c>
      <c r="G304" s="2000">
        <f>'3 Business Segments FY19'!Z34</f>
        <v>3064</v>
      </c>
      <c r="H304" s="2001">
        <f t="shared" si="64"/>
        <v>0</v>
      </c>
      <c r="I304" s="2002"/>
      <c r="J304" s="2002">
        <f>'9 Wealth Management'!Q30</f>
        <v>6732</v>
      </c>
      <c r="K304" s="2008"/>
      <c r="L304" s="2008">
        <f t="shared" si="63"/>
        <v>6732</v>
      </c>
      <c r="M304" s="480"/>
      <c r="N304" s="480"/>
      <c r="O304" s="480"/>
      <c r="P304" s="480"/>
      <c r="Q304" s="480"/>
      <c r="R304" s="480"/>
      <c r="S304" s="480"/>
      <c r="T304" s="2037"/>
      <c r="U304" s="2038"/>
      <c r="V304" s="2039"/>
      <c r="W304" s="2038"/>
    </row>
    <row r="305" spans="3:23" x14ac:dyDescent="0.2">
      <c r="C305" s="1999" t="s">
        <v>578</v>
      </c>
      <c r="D305" s="2000"/>
      <c r="E305" s="2000"/>
      <c r="F305" s="2000">
        <v>13500</v>
      </c>
      <c r="G305" s="2000">
        <f>'3 Business Segments FY19'!Y36</f>
        <v>8608</v>
      </c>
      <c r="H305" s="2001"/>
      <c r="I305" s="2002"/>
      <c r="J305" s="2002"/>
      <c r="K305" s="2008"/>
      <c r="L305" s="2008">
        <f t="shared" si="63"/>
        <v>0</v>
      </c>
      <c r="M305" s="480"/>
      <c r="N305" s="480"/>
      <c r="O305" s="480"/>
      <c r="P305" s="480"/>
      <c r="Q305" s="480"/>
      <c r="R305" s="480"/>
      <c r="S305" s="480"/>
      <c r="T305" s="2037"/>
      <c r="U305" s="2038"/>
      <c r="V305" s="2039"/>
      <c r="W305" s="2038"/>
    </row>
    <row r="306" spans="3:23" ht="13.5" thickBot="1" x14ac:dyDescent="0.25">
      <c r="C306" s="2040" t="s">
        <v>575</v>
      </c>
      <c r="D306" s="2013"/>
      <c r="E306" s="2013"/>
      <c r="F306" s="2013">
        <f>'12 Other'!P30</f>
        <v>304</v>
      </c>
      <c r="G306" s="2000">
        <f>'3 Business Segments FY19'!Y37</f>
        <v>304</v>
      </c>
      <c r="H306" s="2001">
        <f t="shared" si="64"/>
        <v>0</v>
      </c>
      <c r="I306" s="2129">
        <v>0</v>
      </c>
      <c r="J306" s="2015" t="s">
        <v>399</v>
      </c>
      <c r="K306" s="2130">
        <f>'12 Other'!Q30</f>
        <v>298</v>
      </c>
      <c r="L306" s="2130">
        <f t="shared" si="63"/>
        <v>298</v>
      </c>
      <c r="M306" s="480"/>
      <c r="N306" s="480"/>
      <c r="O306" s="480"/>
      <c r="P306" s="480"/>
      <c r="Q306" s="480"/>
      <c r="R306" s="480"/>
      <c r="S306" s="480"/>
      <c r="T306" s="2"/>
      <c r="U306" s="2"/>
      <c r="V306" s="2"/>
      <c r="W306" s="2"/>
    </row>
    <row r="307" spans="3:23" ht="14.25" thickTop="1" thickBot="1" x14ac:dyDescent="0.25">
      <c r="C307" s="2041" t="s">
        <v>168</v>
      </c>
      <c r="D307" s="2011">
        <f>SUM(D293:D298)-SUM(D299:D306)</f>
        <v>81566</v>
      </c>
      <c r="E307" s="2011">
        <f>SUM(E293:E298)-SUM(E299:E306)</f>
        <v>73070</v>
      </c>
      <c r="F307" s="2011">
        <f>SUM(F293:F298)-SUM(F299:F306)</f>
        <v>-66872</v>
      </c>
      <c r="G307" s="2011">
        <f>SUM(G293:G298)-SUM(G299:G306)</f>
        <v>92656</v>
      </c>
      <c r="H307" s="2001">
        <f t="shared" si="64"/>
        <v>-4892</v>
      </c>
      <c r="I307" s="2011" t="e">
        <f>SUM(I293:I298)-SUM(I299:I306)</f>
        <v>#REF!</v>
      </c>
      <c r="J307" s="2011">
        <f>SUM(J293:J298)-SUM(J299:J306)</f>
        <v>49528</v>
      </c>
      <c r="K307" s="2011">
        <f>SUM(K293:K298)-SUM(K299:K306)</f>
        <v>-52313</v>
      </c>
      <c r="L307" s="2011" t="e">
        <f>SUM(L293:L298)-SUM(L299:L306)</f>
        <v>#REF!</v>
      </c>
      <c r="M307" s="480"/>
      <c r="N307" s="480"/>
      <c r="O307" s="480"/>
      <c r="P307" s="480"/>
      <c r="Q307" s="480"/>
      <c r="R307" s="480"/>
      <c r="S307" s="480"/>
      <c r="T307" s="2"/>
      <c r="U307" s="2"/>
      <c r="V307" s="2"/>
      <c r="W307" s="2"/>
    </row>
    <row r="308" spans="3:23" ht="13.5" thickBot="1" x14ac:dyDescent="0.25">
      <c r="C308" s="2042" t="s">
        <v>313</v>
      </c>
      <c r="D308" s="2013">
        <f>SUM('3 Business Segments FY19'!P41:T41)</f>
        <v>18689</v>
      </c>
      <c r="E308" s="2013">
        <f>SUM('3 Business Segments FY19'!V41:W41)</f>
        <v>14467</v>
      </c>
      <c r="F308" s="2013">
        <f t="shared" si="65"/>
        <v>-33156</v>
      </c>
      <c r="G308" s="2014"/>
      <c r="H308" s="2001">
        <f t="shared" si="64"/>
        <v>0</v>
      </c>
      <c r="I308" s="2013">
        <f>'4 Canaccord Genuity '!Q49</f>
        <v>16524</v>
      </c>
      <c r="J308" s="2013">
        <f>'9 Wealth Management'!Q33</f>
        <v>15529</v>
      </c>
      <c r="K308" s="2013">
        <f>'12 Other'!Q33</f>
        <v>-32053</v>
      </c>
      <c r="L308" s="2013">
        <f>SUM('3 Business Segments FY19'!X41:Z41)</f>
        <v>-18689</v>
      </c>
      <c r="M308" s="480"/>
      <c r="N308" s="480"/>
      <c r="O308" s="480"/>
      <c r="P308" s="480"/>
      <c r="Q308" s="480"/>
      <c r="R308" s="480"/>
      <c r="S308" s="480"/>
      <c r="T308" s="2"/>
      <c r="U308" s="2"/>
      <c r="V308" s="2"/>
      <c r="W308" s="2"/>
    </row>
    <row r="309" spans="3:23" ht="14.25" thickTop="1" thickBot="1" x14ac:dyDescent="0.25">
      <c r="C309" s="2042" t="s">
        <v>69</v>
      </c>
      <c r="D309" s="2013">
        <f>D307-D308</f>
        <v>62877</v>
      </c>
      <c r="E309" s="2016">
        <f>E307-E308</f>
        <v>58603</v>
      </c>
      <c r="F309" s="2016">
        <f t="shared" si="65"/>
        <v>-28824</v>
      </c>
      <c r="G309" s="2013">
        <f>G307</f>
        <v>92656</v>
      </c>
      <c r="H309" s="2001">
        <f t="shared" si="64"/>
        <v>0</v>
      </c>
      <c r="I309" s="2013" t="e">
        <f t="shared" ref="I309:L309" si="66">I307-I308</f>
        <v>#REF!</v>
      </c>
      <c r="J309" s="2013">
        <f t="shared" si="66"/>
        <v>33999</v>
      </c>
      <c r="K309" s="2013">
        <f t="shared" si="66"/>
        <v>-20260</v>
      </c>
      <c r="L309" s="2013" t="e">
        <f t="shared" si="66"/>
        <v>#REF!</v>
      </c>
      <c r="M309" s="480"/>
      <c r="N309" s="480"/>
      <c r="O309" s="480"/>
      <c r="P309" s="480"/>
      <c r="Q309" s="480"/>
      <c r="R309" s="480"/>
      <c r="S309" s="480"/>
      <c r="T309" s="2"/>
      <c r="U309" s="2"/>
      <c r="V309" s="2"/>
      <c r="W309" s="2"/>
    </row>
    <row r="310" spans="3:23" ht="14.25" thickTop="1" x14ac:dyDescent="0.25">
      <c r="C310" s="480"/>
      <c r="D310" s="480"/>
      <c r="E310" s="347"/>
      <c r="F310" s="480"/>
      <c r="G310" s="480"/>
      <c r="H310" s="2018"/>
      <c r="I310" s="480"/>
      <c r="J310" s="480"/>
      <c r="K310" s="480"/>
      <c r="L310" s="480"/>
      <c r="M310" s="480"/>
      <c r="N310" s="480"/>
      <c r="O310" s="480"/>
      <c r="P310" s="480"/>
      <c r="Q310" s="480"/>
      <c r="R310" s="480"/>
      <c r="S310" s="480"/>
      <c r="T310" s="2"/>
      <c r="U310" s="2"/>
      <c r="V310" s="2"/>
      <c r="W310" s="2"/>
    </row>
    <row r="311" spans="3:23" ht="13.5" x14ac:dyDescent="0.25">
      <c r="C311" s="480"/>
      <c r="D311" s="480"/>
      <c r="E311" s="480"/>
      <c r="F311" s="480"/>
      <c r="G311" s="2017"/>
      <c r="H311" s="2018"/>
      <c r="I311" s="480"/>
      <c r="J311" s="480"/>
      <c r="K311" s="480"/>
      <c r="L311" s="480"/>
      <c r="M311" s="480"/>
      <c r="N311" s="480"/>
      <c r="O311" s="480"/>
      <c r="P311" s="480"/>
      <c r="Q311" s="480"/>
      <c r="R311" s="480"/>
      <c r="S311" s="480"/>
      <c r="T311" s="2"/>
      <c r="U311" s="2"/>
      <c r="V311" s="2"/>
      <c r="W311" s="2"/>
    </row>
    <row r="312" spans="3:23" ht="13.5" x14ac:dyDescent="0.25">
      <c r="C312" s="480"/>
      <c r="D312" s="2017"/>
      <c r="E312" s="480"/>
      <c r="F312" s="480"/>
      <c r="G312" s="480"/>
      <c r="H312" s="2018"/>
      <c r="I312" s="480"/>
      <c r="J312" s="480"/>
      <c r="K312" s="480"/>
      <c r="L312" s="480"/>
      <c r="M312" s="480"/>
      <c r="N312" s="480"/>
      <c r="O312" s="480"/>
      <c r="P312" s="480"/>
      <c r="Q312" s="480"/>
      <c r="R312" s="480"/>
      <c r="S312" s="480"/>
      <c r="T312" s="2"/>
      <c r="U312" s="2"/>
      <c r="V312" s="2"/>
      <c r="W312" s="2"/>
    </row>
    <row r="313" spans="3:23" ht="13.5" x14ac:dyDescent="0.25">
      <c r="C313" s="480"/>
      <c r="D313" s="2017">
        <f>SUM(D293:D298)-SUM(D299:D306)</f>
        <v>81566</v>
      </c>
      <c r="E313" s="2017">
        <f t="shared" ref="E313:G313" si="67">SUM(E293:E298)-SUM(E299:E306)</f>
        <v>73070</v>
      </c>
      <c r="F313" s="2017">
        <f t="shared" si="67"/>
        <v>-66872</v>
      </c>
      <c r="G313" s="2017">
        <f t="shared" si="67"/>
        <v>92656</v>
      </c>
      <c r="H313" s="2018"/>
      <c r="I313" s="480"/>
      <c r="J313" s="480"/>
      <c r="K313" s="480"/>
      <c r="L313" s="480"/>
      <c r="M313" s="480"/>
      <c r="N313" s="480"/>
      <c r="O313" s="480"/>
      <c r="P313" s="480"/>
      <c r="Q313" s="480"/>
      <c r="R313" s="480"/>
      <c r="S313" s="480"/>
      <c r="T313" s="2"/>
      <c r="U313" s="2"/>
      <c r="V313" s="2"/>
      <c r="W313" s="2"/>
    </row>
    <row r="314" spans="3:23" ht="13.5" x14ac:dyDescent="0.25">
      <c r="C314" s="480"/>
      <c r="D314" s="2017">
        <f>D308</f>
        <v>18689</v>
      </c>
      <c r="E314" s="2017">
        <f t="shared" ref="E314:G314" si="68">E308</f>
        <v>14467</v>
      </c>
      <c r="F314" s="2017">
        <f t="shared" si="68"/>
        <v>-33156</v>
      </c>
      <c r="G314" s="2017">
        <f t="shared" si="68"/>
        <v>0</v>
      </c>
      <c r="H314" s="2018"/>
      <c r="I314" s="480"/>
      <c r="J314" s="480"/>
      <c r="K314" s="480"/>
      <c r="L314" s="480"/>
      <c r="M314" s="480"/>
      <c r="N314" s="480"/>
      <c r="O314" s="480"/>
      <c r="P314" s="480"/>
      <c r="Q314" s="480"/>
      <c r="R314" s="480"/>
      <c r="S314" s="480"/>
      <c r="T314" s="2"/>
      <c r="U314" s="2"/>
      <c r="V314" s="2"/>
      <c r="W314" s="2"/>
    </row>
    <row r="315" spans="3:23" ht="13.5" x14ac:dyDescent="0.25">
      <c r="C315" s="480"/>
      <c r="D315" s="2017">
        <f>D313-D314</f>
        <v>62877</v>
      </c>
      <c r="E315" s="2017">
        <f t="shared" ref="E315:G315" si="69">E313-E314</f>
        <v>58603</v>
      </c>
      <c r="F315" s="2017">
        <f t="shared" si="69"/>
        <v>-33716</v>
      </c>
      <c r="G315" s="2017">
        <f t="shared" si="69"/>
        <v>92656</v>
      </c>
      <c r="H315" s="2018"/>
      <c r="I315" s="480"/>
      <c r="J315" s="480"/>
      <c r="K315" s="480"/>
      <c r="L315" s="480"/>
      <c r="M315" s="480"/>
      <c r="N315" s="480"/>
      <c r="O315" s="480"/>
      <c r="P315" s="480"/>
      <c r="Q315" s="480"/>
      <c r="R315" s="480"/>
      <c r="S315" s="480"/>
      <c r="T315" s="480"/>
      <c r="U315" s="480"/>
      <c r="V315" s="480"/>
      <c r="W315" s="480"/>
    </row>
    <row r="316" spans="3:23" ht="13.5" x14ac:dyDescent="0.25">
      <c r="C316" s="480"/>
      <c r="D316" s="480"/>
      <c r="E316" s="480"/>
      <c r="F316" s="480"/>
      <c r="G316" s="480"/>
      <c r="H316" s="2018"/>
      <c r="I316" s="480"/>
      <c r="J316" s="480"/>
      <c r="K316" s="480"/>
      <c r="L316" s="480"/>
      <c r="M316" s="480"/>
      <c r="N316" s="480"/>
      <c r="O316" s="480"/>
      <c r="P316" s="480"/>
      <c r="Q316" s="480"/>
      <c r="R316" s="480"/>
      <c r="S316" s="480"/>
      <c r="T316" s="480"/>
      <c r="U316" s="480"/>
      <c r="V316" s="480"/>
      <c r="W316" s="480"/>
    </row>
    <row r="317" spans="3:23" ht="13.5" x14ac:dyDescent="0.25">
      <c r="C317" s="480"/>
      <c r="D317" s="480"/>
      <c r="E317" s="480"/>
      <c r="F317" s="480"/>
      <c r="G317" s="480"/>
      <c r="H317" s="2018"/>
      <c r="I317" s="480"/>
      <c r="J317" s="480"/>
      <c r="K317" s="480"/>
      <c r="L317" s="480"/>
      <c r="M317" s="480"/>
      <c r="N317" s="480"/>
      <c r="O317" s="480"/>
      <c r="P317" s="480"/>
      <c r="Q317" s="480"/>
      <c r="R317" s="480"/>
      <c r="S317" s="480"/>
      <c r="T317" s="480"/>
      <c r="U317" s="480"/>
      <c r="V317" s="480"/>
      <c r="W317" s="480"/>
    </row>
    <row r="318" spans="3:23" ht="13.5" x14ac:dyDescent="0.25">
      <c r="C318" s="480"/>
      <c r="D318" s="480"/>
      <c r="E318" s="480"/>
      <c r="F318" s="480"/>
      <c r="G318" s="480"/>
      <c r="H318" s="2018"/>
      <c r="I318" s="480"/>
      <c r="J318" s="480"/>
      <c r="K318" s="480"/>
      <c r="L318" s="480"/>
      <c r="M318" s="480"/>
      <c r="N318" s="480"/>
      <c r="O318" s="480"/>
      <c r="P318" s="480"/>
      <c r="Q318" s="480"/>
      <c r="R318" s="480"/>
      <c r="S318" s="480"/>
      <c r="T318" s="480"/>
      <c r="U318" s="480"/>
      <c r="V318" s="480"/>
      <c r="W318" s="480"/>
    </row>
    <row r="319" spans="3:23" ht="13.5" x14ac:dyDescent="0.25">
      <c r="C319" s="480"/>
      <c r="D319" s="480"/>
      <c r="E319" s="480"/>
      <c r="F319" s="480"/>
      <c r="G319" s="480"/>
      <c r="H319" s="2018"/>
      <c r="I319" s="480"/>
      <c r="J319" s="480"/>
      <c r="K319" s="480"/>
      <c r="L319" s="480"/>
      <c r="M319" s="480"/>
      <c r="N319" s="480"/>
      <c r="O319" s="480"/>
      <c r="P319" s="480"/>
      <c r="Q319" s="480"/>
      <c r="R319" s="480"/>
      <c r="S319" s="480"/>
      <c r="T319" s="480"/>
      <c r="U319" s="480"/>
      <c r="V319" s="480"/>
      <c r="W319" s="480"/>
    </row>
    <row r="320" spans="3:23" ht="13.5" x14ac:dyDescent="0.25">
      <c r="C320" s="480"/>
      <c r="D320" s="480"/>
      <c r="E320" s="480"/>
      <c r="F320" s="480"/>
      <c r="G320" s="480"/>
      <c r="H320" s="2018"/>
      <c r="I320" s="480"/>
      <c r="J320" s="480"/>
      <c r="K320" s="480"/>
      <c r="L320" s="480"/>
      <c r="M320" s="480"/>
      <c r="N320" s="480"/>
      <c r="O320" s="480"/>
      <c r="P320" s="480"/>
      <c r="Q320" s="480"/>
      <c r="R320" s="480"/>
      <c r="S320" s="480"/>
      <c r="T320" s="480"/>
      <c r="U320" s="480"/>
      <c r="V320" s="480"/>
      <c r="W320" s="480"/>
    </row>
    <row r="321" spans="3:23" ht="13.5" x14ac:dyDescent="0.25">
      <c r="C321" s="480"/>
      <c r="D321" s="2017"/>
      <c r="E321" s="2017"/>
      <c r="F321" s="2017"/>
      <c r="G321" s="2017"/>
      <c r="H321" s="2018"/>
      <c r="I321" s="480"/>
      <c r="J321" s="480"/>
      <c r="K321" s="480"/>
      <c r="L321" s="480"/>
      <c r="M321" s="480"/>
      <c r="N321" s="480"/>
      <c r="O321" s="480"/>
      <c r="P321" s="480"/>
      <c r="Q321" s="480"/>
      <c r="R321" s="480"/>
      <c r="S321" s="480"/>
      <c r="T321" s="480"/>
      <c r="U321" s="480"/>
      <c r="V321" s="480"/>
      <c r="W321" s="480"/>
    </row>
  </sheetData>
  <mergeCells count="62">
    <mergeCell ref="H287:H288"/>
    <mergeCell ref="U289:V289"/>
    <mergeCell ref="T290:T291"/>
    <mergeCell ref="G109:H109"/>
    <mergeCell ref="D109:E109"/>
    <mergeCell ref="D124:E124"/>
    <mergeCell ref="G124:H124"/>
    <mergeCell ref="D145:E145"/>
    <mergeCell ref="G145:H145"/>
    <mergeCell ref="D158:E158"/>
    <mergeCell ref="G158:H158"/>
    <mergeCell ref="D173:E173"/>
    <mergeCell ref="G173:H173"/>
    <mergeCell ref="D199:E199"/>
    <mergeCell ref="T258:U258"/>
    <mergeCell ref="V258:W258"/>
    <mergeCell ref="C284:C285"/>
    <mergeCell ref="D284:D285"/>
    <mergeCell ref="E284:K285"/>
    <mergeCell ref="L284:M285"/>
    <mergeCell ref="P284:Q285"/>
    <mergeCell ref="I144:I146"/>
    <mergeCell ref="D6:F6"/>
    <mergeCell ref="H6:J6"/>
    <mergeCell ref="C42:E42"/>
    <mergeCell ref="D56:E56"/>
    <mergeCell ref="F56:F57"/>
    <mergeCell ref="G56:H56"/>
    <mergeCell ref="I56:I57"/>
    <mergeCell ref="G6:G7"/>
    <mergeCell ref="G199:H199"/>
    <mergeCell ref="C157:C158"/>
    <mergeCell ref="F157:F159"/>
    <mergeCell ref="I157:I159"/>
    <mergeCell ref="C93:C94"/>
    <mergeCell ref="F93:F95"/>
    <mergeCell ref="I93:I95"/>
    <mergeCell ref="C108:C109"/>
    <mergeCell ref="F108:F110"/>
    <mergeCell ref="I108:I110"/>
    <mergeCell ref="D93:E94"/>
    <mergeCell ref="G93:H94"/>
    <mergeCell ref="C123:C124"/>
    <mergeCell ref="F123:F125"/>
    <mergeCell ref="C144:C145"/>
    <mergeCell ref="F144:F146"/>
    <mergeCell ref="K6:K7"/>
    <mergeCell ref="C287:C288"/>
    <mergeCell ref="D287:D288"/>
    <mergeCell ref="F287:F288"/>
    <mergeCell ref="G287:G288"/>
    <mergeCell ref="C225:C226"/>
    <mergeCell ref="F225:F227"/>
    <mergeCell ref="I225:I227"/>
    <mergeCell ref="D226:E226"/>
    <mergeCell ref="G226:H226"/>
    <mergeCell ref="C172:C174"/>
    <mergeCell ref="F172:F174"/>
    <mergeCell ref="I172:I174"/>
    <mergeCell ref="C198:C200"/>
    <mergeCell ref="F198:F200"/>
    <mergeCell ref="I198:I200"/>
  </mergeCells>
  <pageMargins left="0.7" right="0.7" top="0.75" bottom="0.75" header="0.3" footer="0.3"/>
  <pageSetup scale="48"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'2 Consolidated IS'!$F$11:$N$11</xm:f>
          </x14:formula1>
          <xm:sqref>B4:B6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Z70"/>
  <sheetViews>
    <sheetView topLeftCell="D1" zoomScale="90" zoomScaleNormal="90" zoomScaleSheetLayoutView="70" workbookViewId="0">
      <selection activeCell="J10" sqref="J10"/>
    </sheetView>
  </sheetViews>
  <sheetFormatPr defaultColWidth="9.140625" defaultRowHeight="12.75" x14ac:dyDescent="0.2"/>
  <cols>
    <col min="1" max="1" width="2.7109375" style="1108" customWidth="1"/>
    <col min="2" max="2" width="38.7109375" style="1108" customWidth="1"/>
    <col min="3" max="3" width="5.85546875" style="1075" customWidth="1"/>
    <col min="4" max="9" width="11.28515625" style="1109" customWidth="1"/>
    <col min="10" max="13" width="13.7109375" style="1109" customWidth="1"/>
    <col min="14" max="14" width="12" style="1109" bestFit="1" customWidth="1"/>
    <col min="15" max="15" width="4" style="1109" customWidth="1"/>
    <col min="16" max="21" width="11" style="1109" customWidth="1"/>
    <col min="22" max="24" width="10.85546875" style="1109" customWidth="1"/>
    <col min="25" max="25" width="12.5703125" style="1109" bestFit="1" customWidth="1"/>
    <col min="26" max="26" width="12.42578125" style="1108" customWidth="1"/>
    <col min="27" max="16384" width="9.140625" style="1104"/>
  </cols>
  <sheetData>
    <row r="1" spans="1:26" ht="12" customHeight="1" x14ac:dyDescent="0.2">
      <c r="M1" s="1138"/>
      <c r="N1" s="1138"/>
      <c r="O1" s="1138"/>
      <c r="Y1" s="1138"/>
    </row>
    <row r="2" spans="1:26" x14ac:dyDescent="0.2">
      <c r="M2" s="1138"/>
      <c r="N2" s="1138"/>
      <c r="O2" s="1138"/>
      <c r="Y2" s="1138"/>
    </row>
    <row r="3" spans="1:26" x14ac:dyDescent="0.2">
      <c r="M3" s="1138"/>
      <c r="N3" s="1138"/>
      <c r="O3" s="1138"/>
      <c r="Y3" s="1138"/>
    </row>
    <row r="4" spans="1:26" x14ac:dyDescent="0.2">
      <c r="M4" s="1138"/>
      <c r="N4" s="1138"/>
      <c r="O4" s="1138"/>
      <c r="Y4" s="1138"/>
    </row>
    <row r="5" spans="1:26" ht="20.25" customHeight="1" x14ac:dyDescent="0.2">
      <c r="A5" s="1109"/>
      <c r="B5" s="1109"/>
      <c r="M5" s="1139"/>
      <c r="N5" s="1139"/>
      <c r="O5" s="1139"/>
      <c r="Y5" s="1139"/>
    </row>
    <row r="6" spans="1:26" ht="18" customHeight="1" x14ac:dyDescent="0.2">
      <c r="A6" s="1110" t="s">
        <v>345</v>
      </c>
      <c r="B6" s="1109"/>
      <c r="E6" s="1854"/>
      <c r="K6" s="1854"/>
      <c r="L6" s="1854"/>
      <c r="M6" s="1139"/>
      <c r="N6" s="1139"/>
      <c r="O6" s="1139"/>
      <c r="Q6" s="1854"/>
      <c r="W6" s="1854"/>
      <c r="X6" s="1854"/>
      <c r="Y6" s="1139"/>
    </row>
    <row r="7" spans="1:26" ht="18" customHeight="1" x14ac:dyDescent="0.2">
      <c r="A7" s="1977" t="s">
        <v>554</v>
      </c>
      <c r="B7" s="942"/>
      <c r="C7" s="898"/>
      <c r="D7" s="942"/>
      <c r="E7" s="942"/>
      <c r="F7" s="942"/>
      <c r="G7" s="942"/>
      <c r="H7" s="973"/>
      <c r="I7" s="973"/>
      <c r="J7" s="942"/>
      <c r="K7" s="942"/>
      <c r="L7" s="942"/>
      <c r="M7" s="1141"/>
      <c r="N7" s="1141"/>
      <c r="O7" s="1139"/>
      <c r="P7" s="942"/>
      <c r="Q7" s="942"/>
      <c r="R7" s="942"/>
      <c r="S7" s="942"/>
      <c r="T7" s="973"/>
      <c r="U7" s="973"/>
      <c r="V7" s="942"/>
      <c r="W7" s="942"/>
      <c r="X7" s="942"/>
      <c r="Y7" s="1141"/>
    </row>
    <row r="8" spans="1:26" ht="15" customHeight="1" x14ac:dyDescent="0.2">
      <c r="A8" s="943" t="s">
        <v>561</v>
      </c>
      <c r="B8" s="942"/>
      <c r="C8" s="898"/>
      <c r="D8" s="942"/>
      <c r="E8" s="942"/>
      <c r="F8" s="942"/>
      <c r="G8" s="942"/>
      <c r="H8" s="942"/>
      <c r="I8" s="942"/>
      <c r="J8" s="942"/>
      <c r="K8" s="942"/>
      <c r="L8" s="942"/>
      <c r="M8" s="1138"/>
      <c r="N8" s="1138"/>
      <c r="O8" s="1138"/>
      <c r="P8" s="942"/>
      <c r="Q8" s="942"/>
      <c r="R8" s="942"/>
      <c r="S8" s="942"/>
      <c r="T8" s="942"/>
      <c r="U8" s="942"/>
      <c r="V8" s="942"/>
      <c r="W8" s="942"/>
      <c r="X8" s="942"/>
      <c r="Y8" s="1138"/>
    </row>
    <row r="9" spans="1:26" ht="15" customHeight="1" x14ac:dyDescent="0.2">
      <c r="A9" s="943"/>
      <c r="B9" s="942"/>
      <c r="C9" s="898"/>
      <c r="D9" s="942"/>
      <c r="E9" s="942"/>
      <c r="F9" s="942"/>
      <c r="G9" s="942"/>
      <c r="H9" s="942"/>
      <c r="I9" s="942"/>
      <c r="J9" s="942"/>
      <c r="K9" s="942"/>
      <c r="L9" s="942"/>
      <c r="M9" s="1138"/>
      <c r="N9" s="1138"/>
      <c r="O9" s="1138"/>
      <c r="P9" s="942"/>
      <c r="Q9" s="942"/>
      <c r="R9" s="942"/>
      <c r="S9" s="942"/>
      <c r="T9" s="942"/>
      <c r="U9" s="942"/>
      <c r="V9" s="942"/>
      <c r="W9" s="942"/>
      <c r="X9" s="942"/>
      <c r="Y9" s="1138"/>
    </row>
    <row r="10" spans="1:26" ht="15" customHeight="1" x14ac:dyDescent="0.2">
      <c r="A10" s="943"/>
      <c r="B10" s="942"/>
      <c r="C10" s="898"/>
      <c r="D10" s="942"/>
      <c r="E10" s="942"/>
      <c r="F10" s="942"/>
      <c r="G10" s="942"/>
      <c r="H10" s="942"/>
      <c r="I10" s="942"/>
      <c r="J10" s="942"/>
      <c r="K10" s="942"/>
      <c r="L10" s="942"/>
      <c r="M10" s="1138"/>
      <c r="N10" s="1138"/>
      <c r="O10" s="1138"/>
      <c r="P10" s="942"/>
      <c r="Q10" s="942"/>
      <c r="R10" s="942"/>
      <c r="S10" s="942"/>
      <c r="T10" s="942"/>
      <c r="U10" s="942"/>
      <c r="V10" s="942"/>
      <c r="W10" s="942"/>
      <c r="X10" s="942"/>
      <c r="Y10" s="1138"/>
    </row>
    <row r="11" spans="1:26" ht="12.75" customHeight="1" x14ac:dyDescent="0.2">
      <c r="C11" s="896"/>
      <c r="D11" s="2387" t="s">
        <v>662</v>
      </c>
      <c r="E11" s="2388"/>
      <c r="F11" s="2388"/>
      <c r="G11" s="2388"/>
      <c r="H11" s="2388"/>
      <c r="I11" s="2388"/>
      <c r="J11" s="2388"/>
      <c r="K11" s="2388"/>
      <c r="L11" s="2388"/>
      <c r="M11" s="2388"/>
      <c r="N11" s="2389"/>
      <c r="P11" s="2387" t="s">
        <v>676</v>
      </c>
      <c r="Q11" s="2388"/>
      <c r="R11" s="2388"/>
      <c r="S11" s="2388"/>
      <c r="T11" s="2388"/>
      <c r="U11" s="2388"/>
      <c r="V11" s="2388"/>
      <c r="W11" s="2388"/>
      <c r="X11" s="2388"/>
      <c r="Y11" s="2388"/>
      <c r="Z11" s="2389"/>
    </row>
    <row r="12" spans="1:26" ht="40.5" customHeight="1" x14ac:dyDescent="0.2">
      <c r="A12" s="944" t="s">
        <v>1</v>
      </c>
      <c r="B12" s="945"/>
      <c r="C12" s="1965"/>
      <c r="D12" s="2387" t="s">
        <v>82</v>
      </c>
      <c r="E12" s="2388"/>
      <c r="F12" s="2388"/>
      <c r="G12" s="2388"/>
      <c r="H12" s="2388"/>
      <c r="I12" s="2389"/>
      <c r="J12" s="2384" t="s">
        <v>541</v>
      </c>
      <c r="K12" s="2385"/>
      <c r="L12" s="2386"/>
      <c r="M12" s="1974" t="s">
        <v>545</v>
      </c>
      <c r="N12" s="2390" t="s">
        <v>55</v>
      </c>
      <c r="O12" s="979"/>
      <c r="P12" s="2387" t="s">
        <v>82</v>
      </c>
      <c r="Q12" s="2388"/>
      <c r="R12" s="2388"/>
      <c r="S12" s="2388"/>
      <c r="T12" s="2388"/>
      <c r="U12" s="2389"/>
      <c r="V12" s="2384" t="s">
        <v>541</v>
      </c>
      <c r="W12" s="2385"/>
      <c r="X12" s="2386"/>
      <c r="Y12" s="1974" t="s">
        <v>545</v>
      </c>
      <c r="Z12" s="2390" t="s">
        <v>55</v>
      </c>
    </row>
    <row r="13" spans="1:26" ht="54" customHeight="1" x14ac:dyDescent="0.2">
      <c r="A13" s="944" t="s">
        <v>2</v>
      </c>
      <c r="B13" s="945"/>
      <c r="C13" s="1961"/>
      <c r="D13" s="985" t="s">
        <v>81</v>
      </c>
      <c r="E13" s="985" t="s">
        <v>90</v>
      </c>
      <c r="F13" s="1978" t="s">
        <v>538</v>
      </c>
      <c r="G13" s="985" t="s">
        <v>265</v>
      </c>
      <c r="H13" s="1971" t="s">
        <v>458</v>
      </c>
      <c r="I13" s="1979" t="s">
        <v>55</v>
      </c>
      <c r="J13" s="985" t="s">
        <v>81</v>
      </c>
      <c r="K13" s="1978" t="s">
        <v>539</v>
      </c>
      <c r="L13" s="2204" t="s">
        <v>55</v>
      </c>
      <c r="M13" s="986" t="s">
        <v>81</v>
      </c>
      <c r="N13" s="2391"/>
      <c r="O13" s="989"/>
      <c r="P13" s="985" t="s">
        <v>81</v>
      </c>
      <c r="Q13" s="985" t="s">
        <v>90</v>
      </c>
      <c r="R13" s="1978" t="s">
        <v>538</v>
      </c>
      <c r="S13" s="985" t="s">
        <v>265</v>
      </c>
      <c r="T13" s="1971" t="s">
        <v>458</v>
      </c>
      <c r="U13" s="1979" t="s">
        <v>55</v>
      </c>
      <c r="V13" s="985" t="s">
        <v>81</v>
      </c>
      <c r="W13" s="1978" t="s">
        <v>539</v>
      </c>
      <c r="X13" s="2204" t="s">
        <v>55</v>
      </c>
      <c r="Y13" s="986" t="s">
        <v>81</v>
      </c>
      <c r="Z13" s="2391"/>
    </row>
    <row r="14" spans="1:26" s="1221" customFormat="1" x14ac:dyDescent="0.2">
      <c r="A14" s="944"/>
      <c r="B14" s="945"/>
      <c r="C14" s="1961"/>
      <c r="D14" s="1148"/>
      <c r="E14" s="1148"/>
      <c r="F14" s="1148"/>
      <c r="G14" s="1148"/>
      <c r="H14" s="1149"/>
      <c r="I14" s="1149"/>
      <c r="J14" s="1148"/>
      <c r="K14" s="1148"/>
      <c r="L14" s="1151"/>
      <c r="M14" s="1149"/>
      <c r="N14" s="1151"/>
      <c r="O14" s="989"/>
      <c r="P14" s="1148"/>
      <c r="Q14" s="1148"/>
      <c r="R14" s="1148"/>
      <c r="S14" s="1148"/>
      <c r="T14" s="1149"/>
      <c r="U14" s="1151"/>
      <c r="V14" s="1148"/>
      <c r="W14" s="1148"/>
      <c r="X14" s="1151"/>
      <c r="Y14" s="1149"/>
      <c r="Z14" s="1151"/>
    </row>
    <row r="15" spans="1:26" ht="12.75" customHeight="1" x14ac:dyDescent="0.2">
      <c r="A15" s="946" t="s">
        <v>56</v>
      </c>
      <c r="B15" s="947"/>
      <c r="C15" s="1076"/>
      <c r="D15" s="1133"/>
      <c r="E15" s="945"/>
      <c r="F15" s="1133"/>
      <c r="G15" s="1133"/>
      <c r="H15" s="1111"/>
      <c r="I15" s="1111"/>
      <c r="J15" s="1133"/>
      <c r="K15" s="1133"/>
      <c r="L15" s="1152"/>
      <c r="M15" s="1036"/>
      <c r="N15" s="1152"/>
      <c r="O15" s="1152"/>
      <c r="P15" s="1133"/>
      <c r="Q15" s="945"/>
      <c r="R15" s="1133"/>
      <c r="S15" s="1133"/>
      <c r="T15" s="1111"/>
      <c r="U15" s="1152"/>
      <c r="V15" s="1133"/>
      <c r="W15" s="1133"/>
      <c r="X15" s="1152"/>
      <c r="Y15" s="1036"/>
      <c r="Z15" s="1152"/>
    </row>
    <row r="16" spans="1:26" ht="12.75" customHeight="1" x14ac:dyDescent="0.2">
      <c r="A16" s="945"/>
      <c r="B16" s="945" t="s">
        <v>282</v>
      </c>
      <c r="C16" s="919"/>
      <c r="D16" s="1130">
        <v>14250</v>
      </c>
      <c r="E16" s="1130">
        <v>17393</v>
      </c>
      <c r="F16" s="1130">
        <v>6831</v>
      </c>
      <c r="G16" s="1186">
        <v>2682</v>
      </c>
      <c r="H16" s="1165">
        <v>0</v>
      </c>
      <c r="I16" s="1165">
        <v>41156</v>
      </c>
      <c r="J16" s="1130">
        <v>34641</v>
      </c>
      <c r="K16" s="1130">
        <v>61781</v>
      </c>
      <c r="L16" s="1285">
        <v>96422</v>
      </c>
      <c r="M16" s="1283">
        <v>0</v>
      </c>
      <c r="N16" s="1285">
        <v>137578</v>
      </c>
      <c r="O16" s="1169"/>
      <c r="P16" s="1130">
        <v>56755</v>
      </c>
      <c r="Q16" s="1130">
        <v>77577</v>
      </c>
      <c r="R16" s="1130">
        <v>28170</v>
      </c>
      <c r="S16" s="1186">
        <v>13009</v>
      </c>
      <c r="T16" s="1165">
        <v>0</v>
      </c>
      <c r="U16" s="1182">
        <v>175511</v>
      </c>
      <c r="V16" s="1130">
        <v>131976</v>
      </c>
      <c r="W16" s="1130">
        <v>248988</v>
      </c>
      <c r="X16" s="1285">
        <v>380964</v>
      </c>
      <c r="Y16" s="1283">
        <v>0</v>
      </c>
      <c r="Z16" s="1285">
        <v>556475</v>
      </c>
    </row>
    <row r="17" spans="1:26" ht="12.75" customHeight="1" x14ac:dyDescent="0.2">
      <c r="A17" s="945"/>
      <c r="B17" s="945" t="s">
        <v>57</v>
      </c>
      <c r="C17" s="919"/>
      <c r="D17" s="1130">
        <v>28507</v>
      </c>
      <c r="E17" s="1130">
        <v>13257</v>
      </c>
      <c r="F17" s="1130">
        <v>5250</v>
      </c>
      <c r="G17" s="1186">
        <v>284</v>
      </c>
      <c r="H17" s="1165">
        <v>0</v>
      </c>
      <c r="I17" s="1165">
        <v>47298</v>
      </c>
      <c r="J17" s="1130">
        <v>13018</v>
      </c>
      <c r="K17" s="1130">
        <v>0</v>
      </c>
      <c r="L17" s="1285">
        <v>13018</v>
      </c>
      <c r="M17" s="1283">
        <v>0</v>
      </c>
      <c r="N17" s="1285">
        <v>60316</v>
      </c>
      <c r="O17" s="1169"/>
      <c r="P17" s="1130">
        <v>134582</v>
      </c>
      <c r="Q17" s="1130">
        <v>73748</v>
      </c>
      <c r="R17" s="1130">
        <v>17852</v>
      </c>
      <c r="S17" s="1186">
        <v>17533</v>
      </c>
      <c r="T17" s="1165">
        <v>0</v>
      </c>
      <c r="U17" s="1182">
        <v>243715</v>
      </c>
      <c r="V17" s="1130">
        <v>50526</v>
      </c>
      <c r="W17" s="1130">
        <v>0</v>
      </c>
      <c r="X17" s="1285">
        <v>50526</v>
      </c>
      <c r="Y17" s="1283">
        <v>0</v>
      </c>
      <c r="Z17" s="1285">
        <v>294241</v>
      </c>
    </row>
    <row r="18" spans="1:26" ht="12.75" customHeight="1" x14ac:dyDescent="0.2">
      <c r="A18" s="945"/>
      <c r="B18" s="945" t="s">
        <v>188</v>
      </c>
      <c r="C18" s="919"/>
      <c r="D18" s="1130">
        <v>6756</v>
      </c>
      <c r="E18" s="1130">
        <v>15557</v>
      </c>
      <c r="F18" s="1130">
        <v>9569</v>
      </c>
      <c r="G18" s="1186">
        <v>256</v>
      </c>
      <c r="H18" s="1165">
        <v>0</v>
      </c>
      <c r="I18" s="1165">
        <v>32138</v>
      </c>
      <c r="J18" s="1130">
        <v>82</v>
      </c>
      <c r="K18" s="1130">
        <v>0</v>
      </c>
      <c r="L18" s="1285">
        <v>82</v>
      </c>
      <c r="M18" s="1283">
        <v>0</v>
      </c>
      <c r="N18" s="1285">
        <v>32220</v>
      </c>
      <c r="O18" s="1182"/>
      <c r="P18" s="1130">
        <v>49050</v>
      </c>
      <c r="Q18" s="1130">
        <v>49133</v>
      </c>
      <c r="R18" s="1130">
        <v>41896</v>
      </c>
      <c r="S18" s="1186">
        <v>665</v>
      </c>
      <c r="T18" s="1165">
        <v>0</v>
      </c>
      <c r="U18" s="1182">
        <v>140744</v>
      </c>
      <c r="V18" s="1130">
        <v>1484</v>
      </c>
      <c r="W18" s="1130">
        <v>0</v>
      </c>
      <c r="X18" s="1285">
        <v>1484</v>
      </c>
      <c r="Y18" s="1283">
        <v>0</v>
      </c>
      <c r="Z18" s="1285">
        <v>142228</v>
      </c>
    </row>
    <row r="19" spans="1:26" ht="12.75" customHeight="1" x14ac:dyDescent="0.2">
      <c r="A19" s="945"/>
      <c r="B19" s="945" t="s">
        <v>58</v>
      </c>
      <c r="C19" s="919"/>
      <c r="D19" s="1130">
        <v>1386</v>
      </c>
      <c r="E19" s="1130">
        <v>26661</v>
      </c>
      <c r="F19" s="1130">
        <v>7089</v>
      </c>
      <c r="G19" s="1186">
        <v>0</v>
      </c>
      <c r="H19" s="1165">
        <v>0</v>
      </c>
      <c r="I19" s="1165">
        <v>35136</v>
      </c>
      <c r="J19" s="1130">
        <v>61</v>
      </c>
      <c r="K19" s="1130">
        <v>0</v>
      </c>
      <c r="L19" s="1285">
        <v>61</v>
      </c>
      <c r="M19" s="1283">
        <v>0</v>
      </c>
      <c r="N19" s="1285">
        <v>35197</v>
      </c>
      <c r="O19" s="1182"/>
      <c r="P19" s="1130">
        <v>4780</v>
      </c>
      <c r="Q19" s="1130">
        <v>100076</v>
      </c>
      <c r="R19" s="1130">
        <v>20897</v>
      </c>
      <c r="S19" s="1186">
        <v>0</v>
      </c>
      <c r="T19" s="1165">
        <v>0</v>
      </c>
      <c r="U19" s="1182">
        <v>125753</v>
      </c>
      <c r="V19" s="1130">
        <v>100</v>
      </c>
      <c r="W19" s="1130">
        <v>0</v>
      </c>
      <c r="X19" s="1285">
        <v>100</v>
      </c>
      <c r="Y19" s="1283">
        <v>-23</v>
      </c>
      <c r="Z19" s="1285">
        <v>125830</v>
      </c>
    </row>
    <row r="20" spans="1:26" ht="12.75" customHeight="1" x14ac:dyDescent="0.2">
      <c r="A20" s="945"/>
      <c r="B20" s="945" t="s">
        <v>59</v>
      </c>
      <c r="C20" s="919"/>
      <c r="D20" s="1130">
        <v>3240</v>
      </c>
      <c r="E20" s="1130">
        <v>100</v>
      </c>
      <c r="F20" s="1130">
        <v>2</v>
      </c>
      <c r="G20" s="1186">
        <v>65</v>
      </c>
      <c r="H20" s="1165">
        <v>0</v>
      </c>
      <c r="I20" s="1165">
        <v>3407</v>
      </c>
      <c r="J20" s="1130">
        <v>4798</v>
      </c>
      <c r="K20" s="1130">
        <v>1025</v>
      </c>
      <c r="L20" s="1285">
        <v>5823</v>
      </c>
      <c r="M20" s="1283">
        <v>4503</v>
      </c>
      <c r="N20" s="1285">
        <v>13733</v>
      </c>
      <c r="O20" s="1182"/>
      <c r="P20" s="1130">
        <v>13453</v>
      </c>
      <c r="Q20" s="1130">
        <v>263</v>
      </c>
      <c r="R20" s="1130">
        <v>29</v>
      </c>
      <c r="S20" s="1186">
        <v>137</v>
      </c>
      <c r="T20" s="1165">
        <v>0</v>
      </c>
      <c r="U20" s="1182">
        <v>13882</v>
      </c>
      <c r="V20" s="1130">
        <v>20986</v>
      </c>
      <c r="W20" s="1130">
        <v>3150</v>
      </c>
      <c r="X20" s="1285">
        <v>24136</v>
      </c>
      <c r="Y20" s="1283">
        <v>12990</v>
      </c>
      <c r="Z20" s="1285">
        <v>51008</v>
      </c>
    </row>
    <row r="21" spans="1:26" ht="12.75" customHeight="1" x14ac:dyDescent="0.2">
      <c r="A21" s="945"/>
      <c r="B21" s="945" t="s">
        <v>60</v>
      </c>
      <c r="C21" s="919"/>
      <c r="D21" s="1130">
        <v>347</v>
      </c>
      <c r="E21" s="1130">
        <v>475</v>
      </c>
      <c r="F21" s="1130">
        <v>147</v>
      </c>
      <c r="G21" s="1186">
        <v>-1</v>
      </c>
      <c r="H21" s="1165">
        <v>-56</v>
      </c>
      <c r="I21" s="1165">
        <v>912</v>
      </c>
      <c r="J21" s="1130">
        <v>1036</v>
      </c>
      <c r="K21" s="1130">
        <v>688</v>
      </c>
      <c r="L21" s="1285">
        <v>1724</v>
      </c>
      <c r="M21" s="1283">
        <v>3128</v>
      </c>
      <c r="N21" s="1285">
        <v>5764</v>
      </c>
      <c r="O21" s="1182"/>
      <c r="P21" s="1130">
        <v>2045</v>
      </c>
      <c r="Q21" s="1130">
        <v>2790</v>
      </c>
      <c r="R21" s="1130">
        <v>-55</v>
      </c>
      <c r="S21" s="1186">
        <v>22</v>
      </c>
      <c r="T21" s="1165">
        <v>-81</v>
      </c>
      <c r="U21" s="1182">
        <v>4721</v>
      </c>
      <c r="V21" s="1130">
        <v>1754</v>
      </c>
      <c r="W21" s="1130">
        <v>2847</v>
      </c>
      <c r="X21" s="1285">
        <v>4601</v>
      </c>
      <c r="Y21" s="1283">
        <v>11463</v>
      </c>
      <c r="Z21" s="1285">
        <v>20785</v>
      </c>
    </row>
    <row r="22" spans="1:26" ht="12.75" customHeight="1" x14ac:dyDescent="0.2">
      <c r="A22" s="947"/>
      <c r="B22" s="945"/>
      <c r="C22" s="919"/>
      <c r="D22" s="1269">
        <v>54486</v>
      </c>
      <c r="E22" s="1269">
        <v>73443</v>
      </c>
      <c r="F22" s="1269">
        <v>28888</v>
      </c>
      <c r="G22" s="1269">
        <v>3286</v>
      </c>
      <c r="H22" s="1274">
        <v>-56</v>
      </c>
      <c r="I22" s="1274">
        <v>160047</v>
      </c>
      <c r="J22" s="1269">
        <v>53636</v>
      </c>
      <c r="K22" s="1269">
        <v>63494</v>
      </c>
      <c r="L22" s="1275">
        <v>117130</v>
      </c>
      <c r="M22" s="1277">
        <v>7631</v>
      </c>
      <c r="N22" s="1277">
        <v>284808</v>
      </c>
      <c r="O22" s="1182"/>
      <c r="P22" s="1269">
        <v>260665</v>
      </c>
      <c r="Q22" s="1269">
        <v>303587</v>
      </c>
      <c r="R22" s="1269">
        <v>108789</v>
      </c>
      <c r="S22" s="1269">
        <v>31366</v>
      </c>
      <c r="T22" s="1274">
        <v>-81</v>
      </c>
      <c r="U22" s="1277">
        <v>704326</v>
      </c>
      <c r="V22" s="1269">
        <v>206826</v>
      </c>
      <c r="W22" s="1269">
        <v>254985</v>
      </c>
      <c r="X22" s="1277">
        <v>461811</v>
      </c>
      <c r="Y22" s="1274">
        <v>24430</v>
      </c>
      <c r="Z22" s="1277">
        <v>1190567</v>
      </c>
    </row>
    <row r="23" spans="1:26" ht="12.75" customHeight="1" x14ac:dyDescent="0.2">
      <c r="A23" s="946" t="s">
        <v>5</v>
      </c>
      <c r="B23" s="945"/>
      <c r="C23" s="919"/>
      <c r="D23" s="1130"/>
      <c r="E23" s="1130"/>
      <c r="F23" s="1130"/>
      <c r="G23" s="1186"/>
      <c r="H23" s="1165"/>
      <c r="I23" s="1165"/>
      <c r="J23" s="1282"/>
      <c r="K23" s="1290"/>
      <c r="L23" s="1285"/>
      <c r="M23" s="1283"/>
      <c r="N23" s="1285"/>
      <c r="O23" s="1182"/>
      <c r="P23" s="1130"/>
      <c r="Q23" s="1130"/>
      <c r="R23" s="1130"/>
      <c r="S23" s="1186"/>
      <c r="T23" s="1165"/>
      <c r="U23" s="1182"/>
      <c r="V23" s="1130"/>
      <c r="W23" s="1130"/>
      <c r="X23" s="1285"/>
      <c r="Y23" s="1283"/>
      <c r="Z23" s="1285"/>
    </row>
    <row r="24" spans="1:26" ht="12.75" customHeight="1" x14ac:dyDescent="0.2">
      <c r="A24" s="947"/>
      <c r="B24" s="945" t="s">
        <v>624</v>
      </c>
      <c r="C24" s="919"/>
      <c r="D24" s="1130">
        <v>28807</v>
      </c>
      <c r="E24" s="1130">
        <v>36277</v>
      </c>
      <c r="F24" s="1130">
        <v>19784</v>
      </c>
      <c r="G24" s="1130">
        <v>2403</v>
      </c>
      <c r="H24" s="1130">
        <v>73</v>
      </c>
      <c r="I24" s="1182">
        <v>87344</v>
      </c>
      <c r="J24" s="1130">
        <v>26334</v>
      </c>
      <c r="K24" s="1130">
        <v>23377</v>
      </c>
      <c r="L24" s="1285">
        <v>49711</v>
      </c>
      <c r="M24" s="1283">
        <v>6854</v>
      </c>
      <c r="N24" s="1285">
        <v>143909</v>
      </c>
      <c r="O24" s="1182"/>
      <c r="P24" s="1130">
        <v>128206</v>
      </c>
      <c r="Q24" s="1130">
        <v>160215</v>
      </c>
      <c r="R24" s="1130">
        <v>73028</v>
      </c>
      <c r="S24" s="1130">
        <v>18017</v>
      </c>
      <c r="T24" s="1130">
        <v>248</v>
      </c>
      <c r="U24" s="1182">
        <v>379714</v>
      </c>
      <c r="V24" s="1130">
        <v>104768</v>
      </c>
      <c r="W24" s="1130">
        <v>96005</v>
      </c>
      <c r="X24" s="1285">
        <v>200773</v>
      </c>
      <c r="Y24" s="1283">
        <v>19380</v>
      </c>
      <c r="Z24" s="1285">
        <v>599867</v>
      </c>
    </row>
    <row r="25" spans="1:26" ht="12.75" customHeight="1" x14ac:dyDescent="0.2">
      <c r="A25" s="947"/>
      <c r="B25" s="945" t="s">
        <v>61</v>
      </c>
      <c r="C25" s="919"/>
      <c r="D25" s="1130">
        <v>2347</v>
      </c>
      <c r="E25" s="1130">
        <v>2350</v>
      </c>
      <c r="F25" s="1130">
        <v>1330</v>
      </c>
      <c r="G25" s="1186">
        <v>506</v>
      </c>
      <c r="H25" s="1165">
        <v>144</v>
      </c>
      <c r="I25" s="1165">
        <v>6677</v>
      </c>
      <c r="J25" s="1130">
        <v>4335</v>
      </c>
      <c r="K25" s="1130">
        <v>12500</v>
      </c>
      <c r="L25" s="1285">
        <v>16835</v>
      </c>
      <c r="M25" s="1283">
        <v>7841</v>
      </c>
      <c r="N25" s="1285">
        <v>31353</v>
      </c>
      <c r="O25" s="1182"/>
      <c r="P25" s="1130">
        <v>6356</v>
      </c>
      <c r="Q25" s="1130">
        <v>10403</v>
      </c>
      <c r="R25" s="1130">
        <v>5250</v>
      </c>
      <c r="S25" s="1186">
        <v>1964</v>
      </c>
      <c r="T25" s="1165">
        <v>560</v>
      </c>
      <c r="U25" s="1182">
        <v>24533</v>
      </c>
      <c r="V25" s="1130">
        <v>14092</v>
      </c>
      <c r="W25" s="1130">
        <v>48822</v>
      </c>
      <c r="X25" s="1285">
        <v>62914</v>
      </c>
      <c r="Y25" s="1283">
        <v>29311</v>
      </c>
      <c r="Z25" s="1285">
        <v>116758</v>
      </c>
    </row>
    <row r="26" spans="1:26" s="930" customFormat="1" x14ac:dyDescent="0.2">
      <c r="A26" s="947"/>
      <c r="B26" s="945" t="s">
        <v>88</v>
      </c>
      <c r="C26" s="919"/>
      <c r="D26" s="1130">
        <v>2668</v>
      </c>
      <c r="E26" s="1130">
        <v>10054</v>
      </c>
      <c r="F26" s="1130">
        <v>1537</v>
      </c>
      <c r="G26" s="1186">
        <v>501</v>
      </c>
      <c r="H26" s="1165">
        <v>0</v>
      </c>
      <c r="I26" s="1165">
        <v>14760</v>
      </c>
      <c r="J26" s="1130">
        <v>3825</v>
      </c>
      <c r="K26" s="1130">
        <v>1935</v>
      </c>
      <c r="L26" s="1285">
        <v>5760</v>
      </c>
      <c r="M26" s="1283">
        <v>-2480</v>
      </c>
      <c r="N26" s="1285">
        <v>18040</v>
      </c>
      <c r="O26" s="1182"/>
      <c r="P26" s="1130">
        <v>15911</v>
      </c>
      <c r="Q26" s="1130">
        <v>46477</v>
      </c>
      <c r="R26" s="1130">
        <v>5474</v>
      </c>
      <c r="S26" s="1186">
        <v>2103</v>
      </c>
      <c r="T26" s="1165">
        <v>0</v>
      </c>
      <c r="U26" s="1182">
        <v>69965</v>
      </c>
      <c r="V26" s="1130">
        <v>13277</v>
      </c>
      <c r="W26" s="1130">
        <v>8137</v>
      </c>
      <c r="X26" s="1285">
        <v>21414</v>
      </c>
      <c r="Y26" s="1283">
        <v>-7802</v>
      </c>
      <c r="Z26" s="1285">
        <v>83577</v>
      </c>
    </row>
    <row r="27" spans="1:26" s="930" customFormat="1" x14ac:dyDescent="0.2">
      <c r="A27" s="947"/>
      <c r="B27" s="945" t="s">
        <v>63</v>
      </c>
      <c r="C27" s="1966"/>
      <c r="D27" s="1130">
        <v>1016</v>
      </c>
      <c r="E27" s="1130">
        <v>3037</v>
      </c>
      <c r="F27" s="1130">
        <v>1489</v>
      </c>
      <c r="G27" s="1186">
        <v>307</v>
      </c>
      <c r="H27" s="1165">
        <v>87</v>
      </c>
      <c r="I27" s="1165">
        <v>5936</v>
      </c>
      <c r="J27" s="1130">
        <v>896</v>
      </c>
      <c r="K27" s="1130">
        <v>2469</v>
      </c>
      <c r="L27" s="1285">
        <v>3365</v>
      </c>
      <c r="M27" s="1283">
        <v>1594</v>
      </c>
      <c r="N27" s="1285">
        <v>10895</v>
      </c>
      <c r="O27" s="1182"/>
      <c r="P27" s="1130">
        <v>4277</v>
      </c>
      <c r="Q27" s="1130">
        <v>11621</v>
      </c>
      <c r="R27" s="1130">
        <v>6330</v>
      </c>
      <c r="S27" s="1186">
        <v>1202</v>
      </c>
      <c r="T27" s="1165">
        <v>352</v>
      </c>
      <c r="U27" s="1182">
        <v>23782</v>
      </c>
      <c r="V27" s="1130">
        <v>3814</v>
      </c>
      <c r="W27" s="1130">
        <v>8624</v>
      </c>
      <c r="X27" s="1285">
        <v>12438</v>
      </c>
      <c r="Y27" s="1283">
        <v>5499</v>
      </c>
      <c r="Z27" s="1285">
        <v>41719</v>
      </c>
    </row>
    <row r="28" spans="1:26" s="930" customFormat="1" x14ac:dyDescent="0.2">
      <c r="A28" s="947"/>
      <c r="B28" s="1119" t="s">
        <v>64</v>
      </c>
      <c r="C28" s="919"/>
      <c r="D28" s="1130">
        <v>2799</v>
      </c>
      <c r="E28" s="1130">
        <v>4548</v>
      </c>
      <c r="F28" s="1130">
        <v>2711</v>
      </c>
      <c r="G28" s="1186">
        <v>306</v>
      </c>
      <c r="H28" s="1165">
        <v>28</v>
      </c>
      <c r="I28" s="1165">
        <v>10392</v>
      </c>
      <c r="J28" s="1130">
        <v>1569</v>
      </c>
      <c r="K28" s="1130">
        <v>4055</v>
      </c>
      <c r="L28" s="1285">
        <v>5624</v>
      </c>
      <c r="M28" s="1283">
        <v>2138</v>
      </c>
      <c r="N28" s="1285">
        <v>18154</v>
      </c>
      <c r="O28" s="1182"/>
      <c r="P28" s="1130">
        <v>8925</v>
      </c>
      <c r="Q28" s="1130">
        <v>17719</v>
      </c>
      <c r="R28" s="1130">
        <v>10436</v>
      </c>
      <c r="S28" s="1186">
        <v>1247</v>
      </c>
      <c r="T28" s="1165">
        <v>74</v>
      </c>
      <c r="U28" s="1182">
        <v>38401</v>
      </c>
      <c r="V28" s="1130">
        <v>5303</v>
      </c>
      <c r="W28" s="1130">
        <v>15540</v>
      </c>
      <c r="X28" s="1285">
        <v>20843</v>
      </c>
      <c r="Y28" s="1283">
        <v>5686</v>
      </c>
      <c r="Z28" s="1285">
        <v>64930</v>
      </c>
    </row>
    <row r="29" spans="1:26" s="930" customFormat="1" x14ac:dyDescent="0.2">
      <c r="A29" s="947"/>
      <c r="B29" s="945" t="s">
        <v>59</v>
      </c>
      <c r="C29" s="919"/>
      <c r="D29" s="1130">
        <v>608</v>
      </c>
      <c r="E29" s="1130">
        <v>1129</v>
      </c>
      <c r="F29" s="1130">
        <v>446</v>
      </c>
      <c r="G29" s="1186">
        <v>5</v>
      </c>
      <c r="H29" s="1165">
        <v>10</v>
      </c>
      <c r="I29" s="1165">
        <v>2198</v>
      </c>
      <c r="J29" s="1130">
        <v>244</v>
      </c>
      <c r="K29" s="1130">
        <v>643</v>
      </c>
      <c r="L29" s="1285">
        <v>887</v>
      </c>
      <c r="M29" s="1283">
        <v>2653</v>
      </c>
      <c r="N29" s="1285">
        <v>5738</v>
      </c>
      <c r="O29" s="1182"/>
      <c r="P29" s="1130">
        <v>3245</v>
      </c>
      <c r="Q29" s="1130">
        <v>4627</v>
      </c>
      <c r="R29" s="1130">
        <v>1870</v>
      </c>
      <c r="S29" s="1186">
        <v>28</v>
      </c>
      <c r="T29" s="1165">
        <v>40</v>
      </c>
      <c r="U29" s="1182">
        <v>9810</v>
      </c>
      <c r="V29" s="1130">
        <v>2010</v>
      </c>
      <c r="W29" s="1130">
        <v>2583</v>
      </c>
      <c r="X29" s="1285">
        <v>4593</v>
      </c>
      <c r="Y29" s="1283">
        <v>11050</v>
      </c>
      <c r="Z29" s="1285">
        <v>25453</v>
      </c>
    </row>
    <row r="30" spans="1:26" s="930" customFormat="1" x14ac:dyDescent="0.2">
      <c r="A30" s="947"/>
      <c r="B30" s="945" t="s">
        <v>65</v>
      </c>
      <c r="C30" s="919"/>
      <c r="D30" s="1130">
        <v>5339</v>
      </c>
      <c r="E30" s="1130">
        <v>5468</v>
      </c>
      <c r="F30" s="1130">
        <v>3541</v>
      </c>
      <c r="G30" s="1186">
        <v>917</v>
      </c>
      <c r="H30" s="1165">
        <v>8</v>
      </c>
      <c r="I30" s="1165">
        <v>15273</v>
      </c>
      <c r="J30" s="1130">
        <v>5026</v>
      </c>
      <c r="K30" s="1130">
        <v>4726</v>
      </c>
      <c r="L30" s="1285">
        <v>9752</v>
      </c>
      <c r="M30" s="1283">
        <v>4078</v>
      </c>
      <c r="N30" s="1285">
        <v>29103</v>
      </c>
      <c r="O30" s="1182"/>
      <c r="P30" s="1130">
        <v>17380</v>
      </c>
      <c r="Q30" s="1130">
        <v>19324</v>
      </c>
      <c r="R30" s="1130">
        <v>12593</v>
      </c>
      <c r="S30" s="1186">
        <v>4362</v>
      </c>
      <c r="T30" s="1165">
        <v>199</v>
      </c>
      <c r="U30" s="1182">
        <v>53858</v>
      </c>
      <c r="V30" s="1130">
        <v>14411</v>
      </c>
      <c r="W30" s="1130">
        <v>19136</v>
      </c>
      <c r="X30" s="1285">
        <v>33547</v>
      </c>
      <c r="Y30" s="1283">
        <v>13363</v>
      </c>
      <c r="Z30" s="1285">
        <v>100768</v>
      </c>
    </row>
    <row r="31" spans="1:26" s="930" customFormat="1" x14ac:dyDescent="0.2">
      <c r="A31" s="947"/>
      <c r="B31" s="945" t="s">
        <v>66</v>
      </c>
      <c r="C31" s="919"/>
      <c r="D31" s="1130">
        <v>691</v>
      </c>
      <c r="E31" s="1130">
        <v>427</v>
      </c>
      <c r="F31" s="1130">
        <v>408</v>
      </c>
      <c r="G31" s="1186">
        <v>117</v>
      </c>
      <c r="H31" s="1165">
        <v>7</v>
      </c>
      <c r="I31" s="1165">
        <v>1650</v>
      </c>
      <c r="J31" s="1130">
        <v>164</v>
      </c>
      <c r="K31" s="1130">
        <v>3836</v>
      </c>
      <c r="L31" s="1285">
        <v>4000</v>
      </c>
      <c r="M31" s="1283">
        <v>119</v>
      </c>
      <c r="N31" s="1285">
        <v>5769</v>
      </c>
      <c r="O31" s="1182"/>
      <c r="P31" s="1130">
        <v>3314</v>
      </c>
      <c r="Q31" s="1130">
        <v>1765</v>
      </c>
      <c r="R31" s="1130">
        <v>1630</v>
      </c>
      <c r="S31" s="1186">
        <v>465</v>
      </c>
      <c r="T31" s="1165">
        <v>25</v>
      </c>
      <c r="U31" s="1182">
        <v>7199</v>
      </c>
      <c r="V31" s="1130">
        <v>1057</v>
      </c>
      <c r="W31" s="1130">
        <v>15168</v>
      </c>
      <c r="X31" s="1285">
        <v>16225</v>
      </c>
      <c r="Y31" s="1283">
        <v>856</v>
      </c>
      <c r="Z31" s="1285">
        <v>24280</v>
      </c>
    </row>
    <row r="32" spans="1:26" x14ac:dyDescent="0.2">
      <c r="A32" s="945"/>
      <c r="B32" s="945" t="s">
        <v>67</v>
      </c>
      <c r="C32" s="919"/>
      <c r="D32" s="1130">
        <v>12</v>
      </c>
      <c r="E32" s="1130">
        <v>77</v>
      </c>
      <c r="F32" s="1130">
        <v>54</v>
      </c>
      <c r="G32" s="1186">
        <v>0</v>
      </c>
      <c r="H32" s="1165">
        <v>0</v>
      </c>
      <c r="I32" s="1165">
        <v>143</v>
      </c>
      <c r="J32" s="1130">
        <v>2066</v>
      </c>
      <c r="K32" s="1130">
        <v>694</v>
      </c>
      <c r="L32" s="1285">
        <v>2760</v>
      </c>
      <c r="M32" s="1283">
        <v>37</v>
      </c>
      <c r="N32" s="1285">
        <v>2940</v>
      </c>
      <c r="O32" s="1182"/>
      <c r="P32" s="1130">
        <v>72</v>
      </c>
      <c r="Q32" s="1130">
        <v>284</v>
      </c>
      <c r="R32" s="1130">
        <v>96</v>
      </c>
      <c r="S32" s="1186">
        <v>0</v>
      </c>
      <c r="T32" s="1165">
        <v>0</v>
      </c>
      <c r="U32" s="1182">
        <v>452</v>
      </c>
      <c r="V32" s="1130">
        <v>8096</v>
      </c>
      <c r="W32" s="1130">
        <v>6810</v>
      </c>
      <c r="X32" s="1285">
        <v>14906</v>
      </c>
      <c r="Y32" s="1283">
        <v>155</v>
      </c>
      <c r="Z32" s="1285">
        <v>15513</v>
      </c>
    </row>
    <row r="33" spans="1:26" x14ac:dyDescent="0.2">
      <c r="A33" s="945"/>
      <c r="B33" s="945" t="s">
        <v>149</v>
      </c>
      <c r="C33" s="919"/>
      <c r="D33" s="1130">
        <v>0</v>
      </c>
      <c r="E33" s="1130">
        <v>0</v>
      </c>
      <c r="F33" s="1130">
        <v>11754</v>
      </c>
      <c r="G33" s="1186">
        <v>0</v>
      </c>
      <c r="H33" s="1165">
        <v>0</v>
      </c>
      <c r="I33" s="1165">
        <v>11754</v>
      </c>
      <c r="J33" s="1130">
        <v>0</v>
      </c>
      <c r="K33" s="1130">
        <v>0</v>
      </c>
      <c r="L33" s="1285">
        <v>0</v>
      </c>
      <c r="M33" s="1283">
        <v>0</v>
      </c>
      <c r="N33" s="1285">
        <v>11754</v>
      </c>
      <c r="O33" s="1182"/>
      <c r="P33" s="1130">
        <v>0</v>
      </c>
      <c r="Q33" s="1130">
        <v>0</v>
      </c>
      <c r="R33" s="1130">
        <v>13070</v>
      </c>
      <c r="S33" s="1186">
        <v>0</v>
      </c>
      <c r="T33" s="1165">
        <v>0</v>
      </c>
      <c r="U33" s="1182">
        <v>13070</v>
      </c>
      <c r="V33" s="1130">
        <v>0</v>
      </c>
      <c r="W33" s="1130">
        <v>0</v>
      </c>
      <c r="X33" s="1285">
        <v>0</v>
      </c>
      <c r="Y33" s="1283">
        <v>0</v>
      </c>
      <c r="Z33" s="1285">
        <v>13070</v>
      </c>
    </row>
    <row r="34" spans="1:26" x14ac:dyDescent="0.2">
      <c r="A34" s="945"/>
      <c r="B34" s="945" t="s">
        <v>169</v>
      </c>
      <c r="C34" s="919"/>
      <c r="D34" s="1130">
        <v>0</v>
      </c>
      <c r="E34" s="1130">
        <v>803</v>
      </c>
      <c r="F34" s="1130">
        <v>0</v>
      </c>
      <c r="G34" s="1186">
        <v>0</v>
      </c>
      <c r="H34" s="1165">
        <v>0</v>
      </c>
      <c r="I34" s="1165">
        <v>803</v>
      </c>
      <c r="J34" s="1130">
        <v>0</v>
      </c>
      <c r="K34" s="1130">
        <v>918</v>
      </c>
      <c r="L34" s="1285">
        <v>918</v>
      </c>
      <c r="M34" s="1283">
        <v>0</v>
      </c>
      <c r="N34" s="1285">
        <v>1721</v>
      </c>
      <c r="O34" s="1182"/>
      <c r="P34" s="1130">
        <v>1173</v>
      </c>
      <c r="Q34" s="1130">
        <v>803</v>
      </c>
      <c r="R34" s="1130">
        <v>0</v>
      </c>
      <c r="S34" s="1186">
        <v>0</v>
      </c>
      <c r="T34" s="1165">
        <v>0</v>
      </c>
      <c r="U34" s="1182">
        <v>1976</v>
      </c>
      <c r="V34" s="1130">
        <v>0</v>
      </c>
      <c r="W34" s="1130">
        <v>1088</v>
      </c>
      <c r="X34" s="1285">
        <v>1088</v>
      </c>
      <c r="Y34" s="1283">
        <v>0</v>
      </c>
      <c r="Z34" s="1285">
        <v>3064</v>
      </c>
    </row>
    <row r="35" spans="1:26" ht="13.5" x14ac:dyDescent="0.2">
      <c r="A35" s="945"/>
      <c r="B35" s="945" t="s">
        <v>625</v>
      </c>
      <c r="C35" s="919"/>
      <c r="D35" s="1130">
        <v>0</v>
      </c>
      <c r="E35" s="1130">
        <v>0</v>
      </c>
      <c r="F35" s="1130">
        <v>0</v>
      </c>
      <c r="G35" s="1186">
        <v>0</v>
      </c>
      <c r="H35" s="1165">
        <v>0</v>
      </c>
      <c r="I35" s="1165">
        <v>0</v>
      </c>
      <c r="J35" s="1130">
        <v>0</v>
      </c>
      <c r="K35" s="1130">
        <v>0</v>
      </c>
      <c r="L35" s="1285">
        <v>0</v>
      </c>
      <c r="M35" s="1283">
        <v>0</v>
      </c>
      <c r="N35" s="1285">
        <v>0</v>
      </c>
      <c r="O35" s="1182"/>
      <c r="P35" s="1130">
        <v>0</v>
      </c>
      <c r="Q35" s="1130">
        <v>0</v>
      </c>
      <c r="R35" s="1130">
        <v>0</v>
      </c>
      <c r="S35" s="1186">
        <v>0</v>
      </c>
      <c r="T35" s="1165">
        <v>0</v>
      </c>
      <c r="U35" s="1182">
        <v>0</v>
      </c>
      <c r="V35" s="1186">
        <v>0</v>
      </c>
      <c r="W35" s="1130">
        <v>0</v>
      </c>
      <c r="X35" s="1285">
        <v>0</v>
      </c>
      <c r="Y35" s="1283">
        <v>0</v>
      </c>
      <c r="Z35" s="1285">
        <v>0</v>
      </c>
    </row>
    <row r="36" spans="1:26" x14ac:dyDescent="0.2">
      <c r="A36" s="945"/>
      <c r="B36" s="1119" t="s">
        <v>580</v>
      </c>
      <c r="C36" s="919"/>
      <c r="D36" s="1130">
        <v>0</v>
      </c>
      <c r="E36" s="1130">
        <v>0</v>
      </c>
      <c r="F36" s="1130">
        <v>0</v>
      </c>
      <c r="G36" s="1186">
        <v>0</v>
      </c>
      <c r="H36" s="1165">
        <v>0</v>
      </c>
      <c r="I36" s="1165">
        <v>0</v>
      </c>
      <c r="J36" s="1186">
        <v>0</v>
      </c>
      <c r="K36" s="1130">
        <v>0</v>
      </c>
      <c r="L36" s="1285">
        <v>0</v>
      </c>
      <c r="M36" s="1283">
        <v>0</v>
      </c>
      <c r="N36" s="1285">
        <v>0</v>
      </c>
      <c r="O36" s="1182"/>
      <c r="P36" s="1130">
        <v>0</v>
      </c>
      <c r="Q36" s="1130">
        <v>0</v>
      </c>
      <c r="R36" s="1130">
        <v>0</v>
      </c>
      <c r="S36" s="1186">
        <v>0</v>
      </c>
      <c r="T36" s="1165">
        <v>0</v>
      </c>
      <c r="U36" s="1182">
        <v>0</v>
      </c>
      <c r="V36" s="1186">
        <v>0</v>
      </c>
      <c r="W36" s="1130">
        <v>0</v>
      </c>
      <c r="X36" s="1285">
        <v>0</v>
      </c>
      <c r="Y36" s="1283">
        <v>8608</v>
      </c>
      <c r="Z36" s="1285">
        <v>8608</v>
      </c>
    </row>
    <row r="37" spans="1:26" x14ac:dyDescent="0.2">
      <c r="A37" s="945"/>
      <c r="B37" s="945" t="s">
        <v>521</v>
      </c>
      <c r="C37" s="919"/>
      <c r="D37" s="1186">
        <v>0</v>
      </c>
      <c r="E37" s="1130">
        <v>0</v>
      </c>
      <c r="F37" s="1186">
        <v>0</v>
      </c>
      <c r="G37" s="1186">
        <v>0</v>
      </c>
      <c r="H37" s="1165">
        <v>0</v>
      </c>
      <c r="I37" s="1165">
        <v>0</v>
      </c>
      <c r="J37" s="1186">
        <v>0</v>
      </c>
      <c r="K37" s="1186">
        <v>0</v>
      </c>
      <c r="L37" s="1285">
        <v>0</v>
      </c>
      <c r="M37" s="1283">
        <v>-111</v>
      </c>
      <c r="N37" s="1285">
        <v>-111</v>
      </c>
      <c r="O37" s="1182"/>
      <c r="P37" s="1186">
        <v>0</v>
      </c>
      <c r="Q37" s="1186">
        <v>0</v>
      </c>
      <c r="R37" s="1130">
        <v>0</v>
      </c>
      <c r="S37" s="1186">
        <v>0</v>
      </c>
      <c r="T37" s="1165">
        <v>0</v>
      </c>
      <c r="U37" s="1182">
        <v>0</v>
      </c>
      <c r="V37" s="1186">
        <v>0</v>
      </c>
      <c r="W37" s="1186">
        <v>0</v>
      </c>
      <c r="X37" s="1285">
        <v>0</v>
      </c>
      <c r="Y37" s="1171">
        <v>304</v>
      </c>
      <c r="Z37" s="1285">
        <v>304</v>
      </c>
    </row>
    <row r="38" spans="1:26" x14ac:dyDescent="0.2">
      <c r="A38" s="947"/>
      <c r="B38" s="945"/>
      <c r="C38" s="919"/>
      <c r="D38" s="1192">
        <v>44287</v>
      </c>
      <c r="E38" s="1192">
        <v>64170</v>
      </c>
      <c r="F38" s="1192">
        <v>43054</v>
      </c>
      <c r="G38" s="1192">
        <v>5062</v>
      </c>
      <c r="H38" s="1192">
        <v>357</v>
      </c>
      <c r="I38" s="1185">
        <v>156930</v>
      </c>
      <c r="J38" s="1192">
        <v>44459</v>
      </c>
      <c r="K38" s="1192">
        <v>55153</v>
      </c>
      <c r="L38" s="1185">
        <v>99612</v>
      </c>
      <c r="M38" s="1192">
        <v>22723</v>
      </c>
      <c r="N38" s="1185">
        <v>279265</v>
      </c>
      <c r="O38" s="1182"/>
      <c r="P38" s="1192">
        <v>188859</v>
      </c>
      <c r="Q38" s="1192">
        <v>273238</v>
      </c>
      <c r="R38" s="1192">
        <v>129777</v>
      </c>
      <c r="S38" s="1192">
        <v>29388</v>
      </c>
      <c r="T38" s="1192">
        <v>1498</v>
      </c>
      <c r="U38" s="1185">
        <v>622760</v>
      </c>
      <c r="V38" s="1192">
        <v>166828</v>
      </c>
      <c r="W38" s="1192">
        <v>221913</v>
      </c>
      <c r="X38" s="1185">
        <v>388741</v>
      </c>
      <c r="Y38" s="1192">
        <v>86410</v>
      </c>
      <c r="Z38" s="1185">
        <v>1097911</v>
      </c>
    </row>
    <row r="39" spans="1:26" ht="9" customHeight="1" x14ac:dyDescent="0.2">
      <c r="A39" s="947"/>
      <c r="B39" s="945"/>
      <c r="C39" s="907"/>
      <c r="D39" s="1282"/>
      <c r="E39" s="1130"/>
      <c r="F39" s="1130"/>
      <c r="G39" s="1130"/>
      <c r="H39" s="1130"/>
      <c r="I39" s="1285"/>
      <c r="J39" s="1130"/>
      <c r="K39" s="1130"/>
      <c r="L39" s="1285"/>
      <c r="M39" s="1130"/>
      <c r="N39" s="1130"/>
      <c r="O39" s="1186"/>
      <c r="P39" s="1281"/>
      <c r="Q39" s="1130"/>
      <c r="R39" s="1130"/>
      <c r="S39" s="1130"/>
      <c r="T39" s="1130"/>
      <c r="U39" s="1285"/>
      <c r="V39" s="1130"/>
      <c r="W39" s="1130"/>
      <c r="X39" s="1285"/>
      <c r="Y39" s="1130"/>
      <c r="Z39" s="1283"/>
    </row>
    <row r="40" spans="1:26" s="1772" customFormat="1" ht="12.75" customHeight="1" x14ac:dyDescent="0.2">
      <c r="A40" s="2394" t="s">
        <v>168</v>
      </c>
      <c r="B40" s="2393"/>
      <c r="C40" s="907"/>
      <c r="D40" s="1942">
        <v>10199</v>
      </c>
      <c r="E40" s="1950">
        <v>9273</v>
      </c>
      <c r="F40" s="1950">
        <v>-14166</v>
      </c>
      <c r="G40" s="1950">
        <v>-1776</v>
      </c>
      <c r="H40" s="1950">
        <v>-413</v>
      </c>
      <c r="I40" s="1949">
        <v>3117</v>
      </c>
      <c r="J40" s="1950">
        <v>9177</v>
      </c>
      <c r="K40" s="1950">
        <v>8341</v>
      </c>
      <c r="L40" s="1949">
        <v>17518</v>
      </c>
      <c r="M40" s="1950">
        <v>-15092</v>
      </c>
      <c r="N40" s="1949">
        <v>5543</v>
      </c>
      <c r="O40" s="1479"/>
      <c r="P40" s="1942">
        <v>71806</v>
      </c>
      <c r="Q40" s="1950">
        <v>30349</v>
      </c>
      <c r="R40" s="1950">
        <v>-20988</v>
      </c>
      <c r="S40" s="1950">
        <v>1978</v>
      </c>
      <c r="T40" s="1950">
        <v>-1579</v>
      </c>
      <c r="U40" s="1949">
        <v>81566</v>
      </c>
      <c r="V40" s="1950">
        <v>39998</v>
      </c>
      <c r="W40" s="1950">
        <v>33072</v>
      </c>
      <c r="X40" s="1949">
        <v>73070</v>
      </c>
      <c r="Y40" s="1950">
        <v>-61980</v>
      </c>
      <c r="Z40" s="1949">
        <v>92656</v>
      </c>
    </row>
    <row r="41" spans="1:26" s="1772" customFormat="1" ht="12.75" customHeight="1" x14ac:dyDescent="0.2">
      <c r="A41" s="1969"/>
      <c r="B41" s="1707" t="s">
        <v>317</v>
      </c>
      <c r="C41" s="907"/>
      <c r="D41" s="1942">
        <v>4176</v>
      </c>
      <c r="E41" s="1950">
        <v>792</v>
      </c>
      <c r="F41" s="1950">
        <v>662</v>
      </c>
      <c r="G41" s="1950">
        <v>16</v>
      </c>
      <c r="H41" s="1950">
        <v>0</v>
      </c>
      <c r="I41" s="1949">
        <v>5646</v>
      </c>
      <c r="J41" s="1950">
        <v>4021</v>
      </c>
      <c r="K41" s="1950">
        <v>398</v>
      </c>
      <c r="L41" s="1949">
        <v>4419</v>
      </c>
      <c r="M41" s="1950">
        <v>-10065</v>
      </c>
      <c r="N41" s="1949">
        <v>0</v>
      </c>
      <c r="O41" s="1479"/>
      <c r="P41" s="1942">
        <v>12458</v>
      </c>
      <c r="Q41" s="1950">
        <v>3037</v>
      </c>
      <c r="R41" s="1950">
        <v>2908</v>
      </c>
      <c r="S41" s="1950">
        <v>286</v>
      </c>
      <c r="T41" s="1950">
        <v>0</v>
      </c>
      <c r="U41" s="1949">
        <v>18689</v>
      </c>
      <c r="V41" s="1950">
        <v>13152</v>
      </c>
      <c r="W41" s="1950">
        <v>1315</v>
      </c>
      <c r="X41" s="1949">
        <v>14467</v>
      </c>
      <c r="Y41" s="1950">
        <v>-33156</v>
      </c>
      <c r="Z41" s="1949">
        <v>0</v>
      </c>
    </row>
    <row r="42" spans="1:26" s="1772" customFormat="1" ht="12.75" customHeight="1" thickBot="1" x14ac:dyDescent="0.25">
      <c r="A42" s="2392" t="s">
        <v>69</v>
      </c>
      <c r="B42" s="2393"/>
      <c r="C42" s="907"/>
      <c r="D42" s="2205">
        <v>6023</v>
      </c>
      <c r="E42" s="2206">
        <v>8481</v>
      </c>
      <c r="F42" s="2206">
        <v>-14828</v>
      </c>
      <c r="G42" s="2206">
        <v>-1792</v>
      </c>
      <c r="H42" s="2206">
        <v>-413</v>
      </c>
      <c r="I42" s="2207">
        <v>-2529</v>
      </c>
      <c r="J42" s="2206">
        <v>5156</v>
      </c>
      <c r="K42" s="2206">
        <v>7943</v>
      </c>
      <c r="L42" s="2207">
        <v>13099</v>
      </c>
      <c r="M42" s="2206">
        <v>-5027</v>
      </c>
      <c r="N42" s="2207">
        <v>5543</v>
      </c>
      <c r="O42" s="1479"/>
      <c r="P42" s="2205">
        <v>59348</v>
      </c>
      <c r="Q42" s="2206">
        <v>27312</v>
      </c>
      <c r="R42" s="2206">
        <v>-23896</v>
      </c>
      <c r="S42" s="2206">
        <v>1692</v>
      </c>
      <c r="T42" s="2206">
        <v>-1579</v>
      </c>
      <c r="U42" s="2207">
        <v>62877</v>
      </c>
      <c r="V42" s="2206">
        <v>26846</v>
      </c>
      <c r="W42" s="2206">
        <v>31757</v>
      </c>
      <c r="X42" s="2207">
        <v>58603</v>
      </c>
      <c r="Y42" s="2206">
        <v>-28824</v>
      </c>
      <c r="Z42" s="2207">
        <v>92656</v>
      </c>
    </row>
    <row r="43" spans="1:26" ht="9" customHeight="1" thickTop="1" x14ac:dyDescent="0.2">
      <c r="A43" s="947"/>
      <c r="B43" s="945"/>
      <c r="C43" s="907"/>
      <c r="D43" s="1962"/>
      <c r="E43" s="1962"/>
      <c r="F43" s="1479"/>
      <c r="G43" s="1963"/>
      <c r="H43" s="1963"/>
      <c r="I43" s="1963"/>
      <c r="J43" s="1962"/>
      <c r="K43" s="1962"/>
      <c r="L43" s="1962"/>
      <c r="M43" s="1962"/>
      <c r="N43" s="1962"/>
      <c r="O43" s="1479"/>
      <c r="P43" s="1962"/>
      <c r="Q43" s="1962"/>
      <c r="R43" s="1479"/>
      <c r="S43" s="1963"/>
      <c r="T43" s="1963"/>
      <c r="U43" s="1963"/>
      <c r="V43" s="1962"/>
      <c r="W43" s="1962"/>
      <c r="X43" s="1962"/>
      <c r="Y43" s="1962"/>
      <c r="Z43" s="1962"/>
    </row>
    <row r="44" spans="1:26" ht="12.75" customHeight="1" x14ac:dyDescent="0.2">
      <c r="A44" s="1198" t="s">
        <v>71</v>
      </c>
      <c r="B44" s="957"/>
      <c r="C44" s="907"/>
      <c r="D44" s="1046">
        <v>0.52870462137062735</v>
      </c>
      <c r="E44" s="1046">
        <v>0.493947687322141</v>
      </c>
      <c r="F44" s="1046">
        <v>0.68485184159512602</v>
      </c>
      <c r="G44" s="1046">
        <v>0.73128423615337801</v>
      </c>
      <c r="H44" s="1595">
        <v>-1.3035714285714286</v>
      </c>
      <c r="I44" s="1046">
        <v>0.54573968896636615</v>
      </c>
      <c r="J44" s="1046">
        <v>0.49097621000820346</v>
      </c>
      <c r="K44" s="1046">
        <v>0.36817652061612122</v>
      </c>
      <c r="L44" s="1046">
        <v>0.42440877657303849</v>
      </c>
      <c r="M44" s="1046">
        <v>0.89817848250556942</v>
      </c>
      <c r="N44" s="1046">
        <v>0.50528426167804275</v>
      </c>
      <c r="O44" s="1567"/>
      <c r="P44" s="1046">
        <v>0.49184201945025224</v>
      </c>
      <c r="Q44" s="1046">
        <v>0.52773998886645346</v>
      </c>
      <c r="R44" s="1046">
        <v>0.67128110378806682</v>
      </c>
      <c r="S44" s="1046">
        <v>0.57441178345979726</v>
      </c>
      <c r="T44" s="1045" t="s">
        <v>38</v>
      </c>
      <c r="U44" s="1046">
        <v>0.53911682942273886</v>
      </c>
      <c r="V44" s="1045">
        <v>0.50655140069430338</v>
      </c>
      <c r="W44" s="1045">
        <v>0.37651234386336452</v>
      </c>
      <c r="X44" s="1046">
        <v>0.43475144593784038</v>
      </c>
      <c r="Y44" s="1045">
        <v>0.79328694228407692</v>
      </c>
      <c r="Z44" s="1046">
        <v>0.50384984633372165</v>
      </c>
    </row>
    <row r="45" spans="1:26" ht="12.75" customHeight="1" x14ac:dyDescent="0.2">
      <c r="A45" s="1198" t="s">
        <v>627</v>
      </c>
      <c r="B45" s="957"/>
      <c r="C45" s="907"/>
      <c r="D45" s="1046">
        <v>0.57177990676504054</v>
      </c>
      <c r="E45" s="1046">
        <v>0.52594529090587261</v>
      </c>
      <c r="F45" s="1046">
        <v>0.73089171974522293</v>
      </c>
      <c r="G45" s="1046">
        <v>0.88527084601339012</v>
      </c>
      <c r="H45" s="1595" t="s">
        <v>38</v>
      </c>
      <c r="I45" s="1046">
        <v>0.58745868401157164</v>
      </c>
      <c r="J45" s="1046">
        <v>0.57179879185621596</v>
      </c>
      <c r="K45" s="1046">
        <v>0.56504551611175857</v>
      </c>
      <c r="L45" s="1046">
        <v>0.56813796636216174</v>
      </c>
      <c r="M45" s="1046">
        <v>1.9256978115581183</v>
      </c>
      <c r="N45" s="1046">
        <v>0.61536895031038452</v>
      </c>
      <c r="O45" s="1567"/>
      <c r="P45" s="1046">
        <v>0.51622580707037768</v>
      </c>
      <c r="Q45" s="1046">
        <v>0.56200693705593452</v>
      </c>
      <c r="R45" s="1046">
        <v>0.7195396593405583</v>
      </c>
      <c r="S45" s="1046">
        <v>0.63702735446024361</v>
      </c>
      <c r="T45" s="1045" t="s">
        <v>38</v>
      </c>
      <c r="U45" s="1046">
        <v>0.57394871125018809</v>
      </c>
      <c r="V45" s="1045">
        <v>0.57468596791505899</v>
      </c>
      <c r="W45" s="1045">
        <v>0.5679824303390395</v>
      </c>
      <c r="X45" s="1046">
        <v>0.57098466688753624</v>
      </c>
      <c r="Y45" s="1045">
        <v>1.9930822758902988</v>
      </c>
      <c r="Z45" s="1046">
        <v>0.60191908561214946</v>
      </c>
    </row>
    <row r="46" spans="1:26" ht="12.75" customHeight="1" x14ac:dyDescent="0.2">
      <c r="A46" s="1198" t="s">
        <v>72</v>
      </c>
      <c r="B46" s="957"/>
      <c r="C46" s="907"/>
      <c r="D46" s="1045">
        <v>0.24103439415629704</v>
      </c>
      <c r="E46" s="1045">
        <v>0.34779352695287502</v>
      </c>
      <c r="F46" s="1045">
        <v>0.75948490722791473</v>
      </c>
      <c r="G46" s="1045">
        <v>0.65520389531345102</v>
      </c>
      <c r="H46" s="1595">
        <v>0</v>
      </c>
      <c r="I46" s="1045">
        <v>0.39306578692509075</v>
      </c>
      <c r="J46" s="1045">
        <v>0.2571034379894101</v>
      </c>
      <c r="K46" s="1045">
        <v>0.30358774057391247</v>
      </c>
      <c r="L46" s="1045">
        <v>0.2823017160420046</v>
      </c>
      <c r="M46" s="1045">
        <v>1.0520246363517232</v>
      </c>
      <c r="N46" s="1045">
        <v>0.36516881548271118</v>
      </c>
      <c r="O46" s="1567"/>
      <c r="P46" s="1046">
        <v>0.20830184336216984</v>
      </c>
      <c r="Q46" s="1046">
        <v>0.33802501424632808</v>
      </c>
      <c r="R46" s="1046">
        <v>0.47338425759957348</v>
      </c>
      <c r="S46" s="1046">
        <v>0.29991073136517249</v>
      </c>
      <c r="T46" s="1045" t="s">
        <v>38</v>
      </c>
      <c r="U46" s="1046">
        <v>0.31024411991038242</v>
      </c>
      <c r="V46" s="1045">
        <v>0.23192441956040344</v>
      </c>
      <c r="W46" s="1045">
        <v>0.30231582249936273</v>
      </c>
      <c r="X46" s="1046">
        <v>0.27079043158348326</v>
      </c>
      <c r="Y46" s="1045">
        <v>1.5439623413835448</v>
      </c>
      <c r="Z46" s="1046">
        <v>0.32025581088674554</v>
      </c>
    </row>
    <row r="47" spans="1:26" ht="12.75" customHeight="1" x14ac:dyDescent="0.2">
      <c r="A47" s="1198" t="s">
        <v>73</v>
      </c>
      <c r="B47" s="957"/>
      <c r="C47" s="907"/>
      <c r="D47" s="1046">
        <v>0.81281430092133755</v>
      </c>
      <c r="E47" s="1046">
        <v>0.87373881785874763</v>
      </c>
      <c r="F47" s="1046">
        <v>1.4903766269731376</v>
      </c>
      <c r="G47" s="1046">
        <v>1.5404747413268411</v>
      </c>
      <c r="H47" s="1045" t="s">
        <v>38</v>
      </c>
      <c r="I47" s="1046">
        <v>0.9805244709366624</v>
      </c>
      <c r="J47" s="1046">
        <v>0.82890222984562612</v>
      </c>
      <c r="K47" s="1046">
        <v>0.86863325668567104</v>
      </c>
      <c r="L47" s="1046">
        <v>0.85043968240416634</v>
      </c>
      <c r="M47" s="1045">
        <v>2.9777224479098416</v>
      </c>
      <c r="N47" s="1046">
        <v>0.98053776579309571</v>
      </c>
      <c r="O47" s="1932"/>
      <c r="P47" s="1046">
        <v>0.72452765043254752</v>
      </c>
      <c r="Q47" s="1046">
        <v>0.90003195130226266</v>
      </c>
      <c r="R47" s="1046">
        <v>1.1929239169401318</v>
      </c>
      <c r="S47" s="1046">
        <v>0.93693808582541604</v>
      </c>
      <c r="T47" s="1045" t="s">
        <v>38</v>
      </c>
      <c r="U47" s="1046">
        <v>0.88419283116057057</v>
      </c>
      <c r="V47" s="1045">
        <v>0.80661038747546243</v>
      </c>
      <c r="W47" s="1045">
        <v>0.87029825283840223</v>
      </c>
      <c r="X47" s="1046">
        <v>0.8417750984710195</v>
      </c>
      <c r="Y47" s="1045" t="s">
        <v>38</v>
      </c>
      <c r="Z47" s="1046">
        <v>0.92217489649889506</v>
      </c>
    </row>
    <row r="48" spans="1:26" ht="12.75" customHeight="1" x14ac:dyDescent="0.2">
      <c r="A48" s="1198" t="s">
        <v>74</v>
      </c>
      <c r="B48" s="957"/>
      <c r="C48" s="907"/>
      <c r="D48" s="1573">
        <v>0.1105421576184708</v>
      </c>
      <c r="E48" s="1573">
        <v>0.1154773089334586</v>
      </c>
      <c r="F48" s="1573">
        <v>-0.51329271669897536</v>
      </c>
      <c r="G48" s="1573">
        <v>-0.54534388314059645</v>
      </c>
      <c r="H48" s="1595" t="s">
        <v>38</v>
      </c>
      <c r="I48" s="1573">
        <v>-1.5801608277568463E-2</v>
      </c>
      <c r="J48" s="1573">
        <v>9.6129465284510399E-2</v>
      </c>
      <c r="K48" s="1573">
        <v>0.12509843449774782</v>
      </c>
      <c r="L48" s="1573">
        <v>0.11183300606164091</v>
      </c>
      <c r="M48" s="1595">
        <v>-0.65876031974839466</v>
      </c>
      <c r="N48" s="1573">
        <v>1.9462234206904301E-2</v>
      </c>
      <c r="O48" s="1932"/>
      <c r="P48" s="1573">
        <v>0.22767920511000711</v>
      </c>
      <c r="Q48" s="1573">
        <v>8.9964326535721229E-2</v>
      </c>
      <c r="R48" s="1573">
        <v>-0.21965456066330236</v>
      </c>
      <c r="S48" s="1573">
        <v>5.3943760760058662E-2</v>
      </c>
      <c r="T48" s="1595" t="s">
        <v>38</v>
      </c>
      <c r="U48" s="1573">
        <v>8.9272581162700232E-2</v>
      </c>
      <c r="V48" s="1595">
        <v>0.12979992844226548</v>
      </c>
      <c r="W48" s="1595">
        <v>0.12454458105378748</v>
      </c>
      <c r="X48" s="1573">
        <v>0.12689823325992669</v>
      </c>
      <c r="Y48" s="1595">
        <v>-1.1798608268522308</v>
      </c>
      <c r="Z48" s="1573">
        <v>7.7825103501104942E-2</v>
      </c>
    </row>
    <row r="49" spans="1:26" ht="12.75" customHeight="1" x14ac:dyDescent="0.2">
      <c r="A49" s="1198"/>
      <c r="B49" s="957"/>
      <c r="C49" s="907"/>
      <c r="D49" s="1573"/>
      <c r="E49" s="1573"/>
      <c r="F49" s="1573"/>
      <c r="G49" s="1573"/>
      <c r="H49" s="1595"/>
      <c r="I49" s="1573"/>
      <c r="J49" s="1573"/>
      <c r="K49" s="1573"/>
      <c r="L49" s="1573"/>
      <c r="M49" s="1595"/>
      <c r="N49" s="1573"/>
      <c r="O49" s="1932"/>
      <c r="P49" s="1573"/>
      <c r="Q49" s="1573"/>
      <c r="R49" s="1573"/>
      <c r="S49" s="1573"/>
      <c r="T49" s="1595"/>
      <c r="U49" s="1573"/>
      <c r="V49" s="1595"/>
      <c r="W49" s="1595"/>
      <c r="X49" s="1573"/>
      <c r="Y49" s="1595"/>
      <c r="Z49" s="1573"/>
    </row>
    <row r="50" spans="1:26" ht="12.75" customHeight="1" x14ac:dyDescent="0.2">
      <c r="A50" s="945"/>
      <c r="B50" s="945"/>
      <c r="C50" s="907"/>
      <c r="D50" s="951"/>
      <c r="E50" s="951"/>
      <c r="F50" s="951"/>
      <c r="G50" s="945"/>
      <c r="H50" s="945"/>
      <c r="I50" s="945"/>
      <c r="J50" s="951"/>
      <c r="K50" s="951"/>
      <c r="L50" s="951"/>
      <c r="M50" s="951"/>
      <c r="N50" s="951"/>
      <c r="O50" s="945"/>
      <c r="P50" s="951"/>
      <c r="Q50" s="951"/>
      <c r="R50" s="951"/>
      <c r="S50" s="945"/>
      <c r="T50" s="945"/>
      <c r="U50" s="945"/>
      <c r="V50" s="951"/>
      <c r="W50" s="951"/>
      <c r="X50" s="951"/>
      <c r="Y50" s="951"/>
      <c r="Z50" s="951"/>
    </row>
    <row r="51" spans="1:26" s="930" customFormat="1" ht="18" customHeight="1" x14ac:dyDescent="0.2">
      <c r="A51" s="963" t="s">
        <v>630</v>
      </c>
      <c r="B51" s="945"/>
      <c r="C51" s="899"/>
      <c r="D51" s="945"/>
      <c r="E51" s="945"/>
      <c r="F51" s="945"/>
      <c r="G51" s="945"/>
      <c r="H51" s="945"/>
      <c r="I51" s="945"/>
      <c r="J51" s="945"/>
      <c r="K51" s="945"/>
      <c r="L51" s="945"/>
      <c r="M51" s="1046"/>
      <c r="N51" s="945"/>
      <c r="O51" s="945"/>
      <c r="P51" s="945"/>
      <c r="Q51" s="945"/>
      <c r="R51" s="945"/>
      <c r="S51" s="945"/>
      <c r="T51" s="945"/>
      <c r="U51" s="945"/>
      <c r="V51" s="945"/>
      <c r="W51" s="945"/>
      <c r="X51" s="945"/>
      <c r="Y51" s="945"/>
      <c r="Z51" s="945"/>
    </row>
    <row r="52" spans="1:26" s="930" customFormat="1" ht="18" customHeight="1" x14ac:dyDescent="0.2">
      <c r="A52" s="963"/>
      <c r="B52" s="945"/>
      <c r="C52" s="899"/>
      <c r="D52" s="945"/>
      <c r="E52" s="945"/>
      <c r="F52" s="945"/>
      <c r="G52" s="945"/>
      <c r="H52" s="945"/>
      <c r="I52" s="945"/>
      <c r="J52" s="945"/>
      <c r="K52" s="945"/>
      <c r="L52" s="945"/>
      <c r="M52" s="1046"/>
      <c r="N52" s="945"/>
      <c r="O52" s="945"/>
      <c r="P52" s="945"/>
      <c r="Q52" s="945"/>
      <c r="R52" s="945"/>
      <c r="S52" s="945"/>
      <c r="T52" s="945"/>
      <c r="U52" s="945"/>
      <c r="V52" s="945"/>
      <c r="W52" s="945"/>
      <c r="X52" s="945"/>
      <c r="Y52" s="945"/>
      <c r="Z52" s="945"/>
    </row>
    <row r="53" spans="1:26" s="930" customFormat="1" ht="12.75" customHeight="1" x14ac:dyDescent="0.2">
      <c r="A53" s="959"/>
      <c r="B53" s="945"/>
      <c r="C53" s="899"/>
      <c r="D53" s="1201"/>
      <c r="E53" s="1201"/>
      <c r="F53" s="1201"/>
      <c r="G53" s="945"/>
      <c r="H53" s="945"/>
      <c r="I53" s="945"/>
      <c r="J53" s="1201"/>
      <c r="K53" s="1201"/>
      <c r="L53" s="1201"/>
      <c r="M53" s="1201"/>
      <c r="N53" s="1201"/>
      <c r="O53" s="945"/>
      <c r="P53" s="1201"/>
      <c r="Q53" s="1201"/>
      <c r="R53" s="1201"/>
      <c r="S53" s="945"/>
      <c r="T53" s="945"/>
      <c r="U53" s="945"/>
      <c r="V53" s="1201"/>
      <c r="W53" s="1201"/>
      <c r="X53" s="1201"/>
      <c r="Y53" s="1201"/>
      <c r="Z53" s="1201"/>
    </row>
    <row r="54" spans="1:26" s="930" customFormat="1" ht="27.75" customHeight="1" x14ac:dyDescent="0.2">
      <c r="A54" s="944"/>
      <c r="B54" s="945"/>
      <c r="C54" s="1965"/>
      <c r="D54" s="2387" t="s">
        <v>170</v>
      </c>
      <c r="E54" s="2388"/>
      <c r="F54" s="2388"/>
      <c r="G54" s="2388"/>
      <c r="H54" s="2388"/>
      <c r="I54" s="2389"/>
      <c r="J54" s="2384" t="s">
        <v>541</v>
      </c>
      <c r="K54" s="2385"/>
      <c r="L54" s="2386"/>
      <c r="M54" s="1974" t="s">
        <v>545</v>
      </c>
      <c r="N54" s="2390" t="s">
        <v>55</v>
      </c>
      <c r="O54" s="1016"/>
      <c r="P54" s="2387" t="s">
        <v>170</v>
      </c>
      <c r="Q54" s="2388"/>
      <c r="R54" s="2388"/>
      <c r="S54" s="2388"/>
      <c r="T54" s="2388"/>
      <c r="U54" s="2389"/>
      <c r="V54" s="2384" t="s">
        <v>541</v>
      </c>
      <c r="W54" s="2385"/>
      <c r="X54" s="2386"/>
      <c r="Y54" s="1974" t="s">
        <v>545</v>
      </c>
      <c r="Z54" s="2390" t="s">
        <v>55</v>
      </c>
    </row>
    <row r="55" spans="1:26" ht="39" customHeight="1" x14ac:dyDescent="0.2">
      <c r="A55" s="944" t="s">
        <v>2</v>
      </c>
      <c r="B55" s="945"/>
      <c r="C55" s="1967"/>
      <c r="D55" s="983" t="s">
        <v>81</v>
      </c>
      <c r="E55" s="983" t="s">
        <v>90</v>
      </c>
      <c r="F55" s="2237" t="s">
        <v>538</v>
      </c>
      <c r="G55" s="983" t="s">
        <v>265</v>
      </c>
      <c r="H55" s="2238" t="s">
        <v>458</v>
      </c>
      <c r="I55" s="1978" t="s">
        <v>55</v>
      </c>
      <c r="J55" s="2232" t="s">
        <v>81</v>
      </c>
      <c r="K55" s="2237" t="s">
        <v>539</v>
      </c>
      <c r="L55" s="2204" t="s">
        <v>55</v>
      </c>
      <c r="M55" s="983" t="s">
        <v>81</v>
      </c>
      <c r="N55" s="2391"/>
      <c r="O55" s="989"/>
      <c r="P55" s="985" t="s">
        <v>81</v>
      </c>
      <c r="Q55" s="985" t="s">
        <v>90</v>
      </c>
      <c r="R55" s="1978" t="s">
        <v>538</v>
      </c>
      <c r="S55" s="985" t="s">
        <v>265</v>
      </c>
      <c r="T55" s="1971" t="s">
        <v>458</v>
      </c>
      <c r="U55" s="1979" t="s">
        <v>55</v>
      </c>
      <c r="V55" s="985" t="s">
        <v>81</v>
      </c>
      <c r="W55" s="1978" t="s">
        <v>539</v>
      </c>
      <c r="X55" s="2274" t="s">
        <v>55</v>
      </c>
      <c r="Y55" s="988" t="s">
        <v>81</v>
      </c>
      <c r="Z55" s="2391"/>
    </row>
    <row r="56" spans="1:26" ht="12.75" customHeight="1" x14ac:dyDescent="0.2">
      <c r="A56" s="1970"/>
      <c r="B56" s="945" t="s">
        <v>4</v>
      </c>
      <c r="C56" s="1947"/>
      <c r="D56" s="2160">
        <v>54486</v>
      </c>
      <c r="E56" s="1308">
        <v>73443</v>
      </c>
      <c r="F56" s="1308">
        <v>28888</v>
      </c>
      <c r="G56" s="1308">
        <v>3286</v>
      </c>
      <c r="H56" s="1545">
        <v>-56</v>
      </c>
      <c r="I56" s="1186">
        <v>160047</v>
      </c>
      <c r="J56" s="2160">
        <v>53636</v>
      </c>
      <c r="K56" s="1545">
        <v>63494</v>
      </c>
      <c r="L56" s="1182">
        <v>117130</v>
      </c>
      <c r="M56" s="1545">
        <v>7631</v>
      </c>
      <c r="N56" s="1165">
        <v>284808</v>
      </c>
      <c r="O56" s="1182"/>
      <c r="P56" s="1186">
        <v>260665</v>
      </c>
      <c r="Q56" s="1186">
        <v>303587</v>
      </c>
      <c r="R56" s="1186">
        <v>108789</v>
      </c>
      <c r="S56" s="1186">
        <v>31366</v>
      </c>
      <c r="T56" s="1545">
        <v>-81</v>
      </c>
      <c r="U56" s="1182">
        <v>704326</v>
      </c>
      <c r="V56" s="1186">
        <v>206826</v>
      </c>
      <c r="W56" s="1186">
        <v>254985</v>
      </c>
      <c r="X56" s="1285">
        <v>461811</v>
      </c>
      <c r="Y56" s="1964">
        <v>24430</v>
      </c>
      <c r="Z56" s="1182">
        <v>1190567</v>
      </c>
    </row>
    <row r="57" spans="1:26" ht="12.75" customHeight="1" x14ac:dyDescent="0.2">
      <c r="A57" s="1133"/>
      <c r="B57" s="945" t="s">
        <v>77</v>
      </c>
      <c r="C57" s="1968"/>
      <c r="D57" s="1123">
        <v>43649</v>
      </c>
      <c r="E57" s="1186">
        <v>63366</v>
      </c>
      <c r="F57" s="1186">
        <v>31300</v>
      </c>
      <c r="G57" s="1186">
        <v>5062</v>
      </c>
      <c r="H57" s="1165">
        <v>357</v>
      </c>
      <c r="I57" s="1186">
        <v>143734</v>
      </c>
      <c r="J57" s="1123">
        <v>44459</v>
      </c>
      <c r="K57" s="1165">
        <v>51671</v>
      </c>
      <c r="L57" s="1182">
        <v>96130</v>
      </c>
      <c r="M57" s="1165">
        <v>22723</v>
      </c>
      <c r="N57" s="1165">
        <v>262587</v>
      </c>
      <c r="O57" s="1182"/>
      <c r="P57" s="1186">
        <v>185194</v>
      </c>
      <c r="Q57" s="1186">
        <v>272431</v>
      </c>
      <c r="R57" s="1186">
        <v>116707</v>
      </c>
      <c r="S57" s="1186">
        <v>29388</v>
      </c>
      <c r="T57" s="1165">
        <v>1498</v>
      </c>
      <c r="U57" s="1182">
        <v>605218</v>
      </c>
      <c r="V57" s="1186">
        <v>166828</v>
      </c>
      <c r="W57" s="1186">
        <v>205133</v>
      </c>
      <c r="X57" s="1285">
        <v>371961</v>
      </c>
      <c r="Y57" s="1182">
        <v>77802</v>
      </c>
      <c r="Z57" s="1182">
        <v>1054981</v>
      </c>
    </row>
    <row r="58" spans="1:26" ht="12.75" customHeight="1" x14ac:dyDescent="0.2">
      <c r="A58" s="1133"/>
      <c r="B58" s="1707" t="s">
        <v>317</v>
      </c>
      <c r="C58" s="1968"/>
      <c r="D58" s="1123">
        <v>4176</v>
      </c>
      <c r="E58" s="1186">
        <v>792</v>
      </c>
      <c r="F58" s="1186">
        <v>662</v>
      </c>
      <c r="G58" s="1186">
        <v>16</v>
      </c>
      <c r="H58" s="1165">
        <v>0</v>
      </c>
      <c r="I58" s="1186">
        <v>5646</v>
      </c>
      <c r="J58" s="1123">
        <v>4021</v>
      </c>
      <c r="K58" s="1165">
        <v>398</v>
      </c>
      <c r="L58" s="1182">
        <v>4419</v>
      </c>
      <c r="M58" s="1165">
        <v>-10065</v>
      </c>
      <c r="N58" s="1165">
        <v>0</v>
      </c>
      <c r="O58" s="1182"/>
      <c r="P58" s="1186">
        <v>12458</v>
      </c>
      <c r="Q58" s="1186">
        <v>3037</v>
      </c>
      <c r="R58" s="1186">
        <v>2908</v>
      </c>
      <c r="S58" s="1186">
        <v>286</v>
      </c>
      <c r="T58" s="1165">
        <v>0</v>
      </c>
      <c r="U58" s="1182">
        <v>18689</v>
      </c>
      <c r="V58" s="1186">
        <v>13152</v>
      </c>
      <c r="W58" s="1186">
        <v>1315</v>
      </c>
      <c r="X58" s="1285">
        <v>14467</v>
      </c>
      <c r="Y58" s="1182">
        <v>-33156</v>
      </c>
      <c r="Z58" s="1182">
        <v>0</v>
      </c>
    </row>
    <row r="59" spans="1:26" ht="12.75" customHeight="1" x14ac:dyDescent="0.2">
      <c r="A59" s="1133"/>
      <c r="B59" s="945" t="s">
        <v>192</v>
      </c>
      <c r="C59" s="1968"/>
      <c r="D59" s="1214">
        <v>6661</v>
      </c>
      <c r="E59" s="1212">
        <v>9285</v>
      </c>
      <c r="F59" s="1212">
        <v>-3074</v>
      </c>
      <c r="G59" s="1212">
        <v>-1792</v>
      </c>
      <c r="H59" s="1171">
        <v>-413</v>
      </c>
      <c r="I59" s="1171">
        <v>10667</v>
      </c>
      <c r="J59" s="1214">
        <v>5156</v>
      </c>
      <c r="K59" s="1171">
        <v>11425</v>
      </c>
      <c r="L59" s="1190">
        <v>16581</v>
      </c>
      <c r="M59" s="1171">
        <v>-5027</v>
      </c>
      <c r="N59" s="1171">
        <v>22221</v>
      </c>
      <c r="O59" s="1182"/>
      <c r="P59" s="1214">
        <v>63013</v>
      </c>
      <c r="Q59" s="1212">
        <v>28119</v>
      </c>
      <c r="R59" s="1212">
        <v>-10826</v>
      </c>
      <c r="S59" s="1212">
        <v>1692</v>
      </c>
      <c r="T59" s="1171">
        <v>-1579</v>
      </c>
      <c r="U59" s="1190">
        <v>80419</v>
      </c>
      <c r="V59" s="1212">
        <v>26846</v>
      </c>
      <c r="W59" s="1212">
        <v>48537</v>
      </c>
      <c r="X59" s="1324">
        <v>75383</v>
      </c>
      <c r="Y59" s="1190">
        <v>-20216</v>
      </c>
      <c r="Z59" s="1190">
        <v>135586</v>
      </c>
    </row>
    <row r="60" spans="1:26" ht="12.75" customHeight="1" x14ac:dyDescent="0.2">
      <c r="A60" s="1118"/>
      <c r="B60" s="945"/>
      <c r="C60" s="926"/>
      <c r="D60" s="957"/>
      <c r="E60" s="957"/>
      <c r="F60" s="957"/>
      <c r="G60" s="945"/>
      <c r="H60" s="945"/>
      <c r="I60" s="945"/>
      <c r="J60" s="957"/>
      <c r="K60" s="957"/>
      <c r="L60" s="957"/>
      <c r="M60" s="957"/>
      <c r="N60" s="957"/>
      <c r="O60" s="945"/>
      <c r="P60" s="957"/>
      <c r="Q60" s="957"/>
      <c r="R60" s="957"/>
      <c r="S60" s="945"/>
      <c r="T60" s="945"/>
      <c r="U60" s="945"/>
      <c r="V60" s="957"/>
      <c r="W60" s="957"/>
      <c r="X60" s="957"/>
      <c r="Y60" s="957"/>
      <c r="Z60" s="957"/>
    </row>
    <row r="61" spans="1:26" ht="12.75" customHeight="1" x14ac:dyDescent="0.2">
      <c r="A61" s="1118"/>
      <c r="B61" s="945" t="s">
        <v>528</v>
      </c>
      <c r="C61" s="926"/>
      <c r="D61" s="1595">
        <v>0.57177990676504054</v>
      </c>
      <c r="E61" s="1595">
        <v>0.52594529090587261</v>
      </c>
      <c r="F61" s="1595">
        <v>0.73089171974522293</v>
      </c>
      <c r="G61" s="1595">
        <v>0.88527084601339012</v>
      </c>
      <c r="H61" s="1595" t="s">
        <v>38</v>
      </c>
      <c r="I61" s="1595">
        <v>0.58745868401157164</v>
      </c>
      <c r="J61" s="1595">
        <v>0.57179879185621596</v>
      </c>
      <c r="K61" s="1595">
        <v>0.56504551611175857</v>
      </c>
      <c r="L61" s="1595">
        <v>0.56813796636216174</v>
      </c>
      <c r="M61" s="1595">
        <v>1.9256978115581183</v>
      </c>
      <c r="N61" s="1595">
        <v>0.61536895031038452</v>
      </c>
      <c r="O61" s="1565"/>
      <c r="P61" s="1595">
        <v>0.51622580707037768</v>
      </c>
      <c r="Q61" s="1595">
        <v>0.56200693705593452</v>
      </c>
      <c r="R61" s="1595">
        <v>0.7195396593405583</v>
      </c>
      <c r="S61" s="1595">
        <v>0.63702735446024361</v>
      </c>
      <c r="T61" s="1595" t="s">
        <v>38</v>
      </c>
      <c r="U61" s="1595">
        <v>0.57394871125018809</v>
      </c>
      <c r="V61" s="1595">
        <v>0.57468596791505899</v>
      </c>
      <c r="W61" s="1595">
        <v>0.5679824303390395</v>
      </c>
      <c r="X61" s="1595">
        <v>0.57098466688753624</v>
      </c>
      <c r="Y61" s="1595">
        <v>1.9930822758902988</v>
      </c>
      <c r="Z61" s="1595">
        <v>0.60191908561214946</v>
      </c>
    </row>
    <row r="62" spans="1:26" ht="12.75" customHeight="1" x14ac:dyDescent="0.2">
      <c r="A62" s="1118"/>
      <c r="B62" s="1129" t="s">
        <v>72</v>
      </c>
      <c r="C62" s="926"/>
      <c r="D62" s="1595">
        <v>0.22932496421098997</v>
      </c>
      <c r="E62" s="1595">
        <v>0.33684626172678134</v>
      </c>
      <c r="F62" s="1595">
        <v>0.352603157020216</v>
      </c>
      <c r="G62" s="1595">
        <v>0.65520389531345102</v>
      </c>
      <c r="H62" s="1595">
        <v>-2.5</v>
      </c>
      <c r="I62" s="1595">
        <v>0.31061500684174026</v>
      </c>
      <c r="J62" s="1595">
        <v>0.2571034379894101</v>
      </c>
      <c r="K62" s="1595">
        <v>0.24874791318864775</v>
      </c>
      <c r="L62" s="1595">
        <v>0.25257406300691537</v>
      </c>
      <c r="M62" s="1595">
        <v>1.0520246363517232</v>
      </c>
      <c r="N62" s="1595">
        <v>0.3066100671329457</v>
      </c>
      <c r="O62" s="1565"/>
      <c r="P62" s="1595">
        <v>0.19424165116145245</v>
      </c>
      <c r="Q62" s="1595">
        <v>0.33536679765602612</v>
      </c>
      <c r="R62" s="1595">
        <v>0.35324343453841839</v>
      </c>
      <c r="S62" s="1595">
        <v>0.29991073136517249</v>
      </c>
      <c r="T62" s="1595" t="s">
        <v>38</v>
      </c>
      <c r="U62" s="1595">
        <v>0.28533803948739644</v>
      </c>
      <c r="V62" s="1595">
        <v>0.23192441956040344</v>
      </c>
      <c r="W62" s="1595">
        <v>0.23650802988411082</v>
      </c>
      <c r="X62" s="1595">
        <v>0.23445522085874956</v>
      </c>
      <c r="Y62" s="1595">
        <v>1.1916086778550963</v>
      </c>
      <c r="Z62" s="1595">
        <v>0.28419736142527047</v>
      </c>
    </row>
    <row r="63" spans="1:26" ht="12.75" customHeight="1" x14ac:dyDescent="0.2">
      <c r="A63" s="1118"/>
      <c r="B63" s="1129" t="s">
        <v>73</v>
      </c>
      <c r="C63" s="926"/>
      <c r="D63" s="1595">
        <v>0.80110487097603056</v>
      </c>
      <c r="E63" s="1595">
        <v>0.86279155263265395</v>
      </c>
      <c r="F63" s="1595">
        <v>1.0834948767654389</v>
      </c>
      <c r="G63" s="1595">
        <v>1.5404747413268411</v>
      </c>
      <c r="H63" s="1595" t="s">
        <v>38</v>
      </c>
      <c r="I63" s="1595">
        <v>0.89807369085331179</v>
      </c>
      <c r="J63" s="1595">
        <v>0.82890222984562612</v>
      </c>
      <c r="K63" s="1595">
        <v>0.81379342930040632</v>
      </c>
      <c r="L63" s="1595">
        <v>0.82071202936907706</v>
      </c>
      <c r="M63" s="1595">
        <v>2.9777224479098416</v>
      </c>
      <c r="N63" s="1595">
        <v>0.92197901744333022</v>
      </c>
      <c r="O63" s="1565"/>
      <c r="P63" s="1595">
        <v>0.71046745823183011</v>
      </c>
      <c r="Q63" s="1595">
        <v>0.89737373471196069</v>
      </c>
      <c r="R63" s="1595">
        <v>1.0727830938789766</v>
      </c>
      <c r="S63" s="1595">
        <v>0.93693808582541604</v>
      </c>
      <c r="T63" s="1595" t="s">
        <v>38</v>
      </c>
      <c r="U63" s="1595">
        <v>0.85928675073758454</v>
      </c>
      <c r="V63" s="1595">
        <v>0.80661038747546243</v>
      </c>
      <c r="W63" s="1595">
        <v>0.80449046022315041</v>
      </c>
      <c r="X63" s="1595">
        <v>0.80543988774628583</v>
      </c>
      <c r="Y63" s="1595" t="s">
        <v>38</v>
      </c>
      <c r="Z63" s="1595">
        <v>0.88611644703741999</v>
      </c>
    </row>
    <row r="64" spans="1:26" ht="12.75" customHeight="1" x14ac:dyDescent="0.2">
      <c r="A64" s="1118"/>
      <c r="B64" s="1129" t="s">
        <v>74</v>
      </c>
      <c r="C64" s="926"/>
      <c r="D64" s="1595">
        <v>0.12225158756377785</v>
      </c>
      <c r="E64" s="1595">
        <v>0.1264245741595523</v>
      </c>
      <c r="F64" s="1595">
        <v>-0.10641096649127665</v>
      </c>
      <c r="G64" s="1595">
        <v>-0.54534388314059645</v>
      </c>
      <c r="H64" s="1595" t="s">
        <v>38</v>
      </c>
      <c r="I64" s="1595">
        <v>6.6649171805782045E-2</v>
      </c>
      <c r="J64" s="1595">
        <v>9.6129465284510399E-2</v>
      </c>
      <c r="K64" s="1595">
        <v>0.17993826188301257</v>
      </c>
      <c r="L64" s="1595">
        <v>0.14156065909673013</v>
      </c>
      <c r="M64" s="1595">
        <v>-0.65876031974839466</v>
      </c>
      <c r="N64" s="1595">
        <v>7.8020982556669755E-2</v>
      </c>
      <c r="O64" s="1565"/>
      <c r="P64" s="1595">
        <v>0.2417393973107245</v>
      </c>
      <c r="Q64" s="1595">
        <v>9.262254312602318E-2</v>
      </c>
      <c r="R64" s="1595">
        <v>-9.9513737602147281E-2</v>
      </c>
      <c r="S64" s="1595">
        <v>5.3943760760058662E-2</v>
      </c>
      <c r="T64" s="1595" t="s">
        <v>38</v>
      </c>
      <c r="U64" s="1595">
        <v>0.11417866158568617</v>
      </c>
      <c r="V64" s="1595">
        <v>0.12979992844226548</v>
      </c>
      <c r="W64" s="1595">
        <v>0.19035237366903934</v>
      </c>
      <c r="X64" s="1595">
        <v>0.16323344398466039</v>
      </c>
      <c r="Y64" s="1595">
        <v>-0.82750716332378227</v>
      </c>
      <c r="Z64" s="1595">
        <v>0.11388355296258001</v>
      </c>
    </row>
    <row r="65" spans="1:26" s="930" customFormat="1" ht="12.75" customHeight="1" x14ac:dyDescent="0.2">
      <c r="A65" s="959"/>
      <c r="B65" s="945"/>
      <c r="C65" s="899"/>
      <c r="D65" s="945"/>
      <c r="E65" s="945"/>
      <c r="F65" s="945"/>
      <c r="G65" s="945"/>
      <c r="H65" s="945"/>
      <c r="I65" s="945"/>
      <c r="J65" s="945"/>
      <c r="K65" s="945"/>
      <c r="L65" s="945"/>
      <c r="M65" s="945"/>
      <c r="N65" s="945"/>
      <c r="O65" s="945"/>
      <c r="P65" s="945"/>
      <c r="Q65" s="945"/>
      <c r="R65" s="945"/>
      <c r="S65" s="945"/>
      <c r="T65" s="945"/>
      <c r="U65" s="945"/>
      <c r="V65" s="945"/>
      <c r="W65" s="945"/>
      <c r="X65" s="945"/>
      <c r="Y65" s="945"/>
      <c r="Z65" s="939"/>
    </row>
    <row r="66" spans="1:26" s="930" customFormat="1" ht="12.75" customHeight="1" x14ac:dyDescent="0.2">
      <c r="A66" s="959"/>
      <c r="B66" s="945"/>
      <c r="C66" s="899"/>
      <c r="D66" s="945"/>
      <c r="E66" s="945"/>
      <c r="F66" s="945"/>
      <c r="G66" s="945"/>
      <c r="H66" s="945"/>
      <c r="I66" s="945"/>
      <c r="J66" s="945"/>
      <c r="K66" s="945"/>
      <c r="L66" s="945"/>
      <c r="M66" s="945"/>
      <c r="N66" s="945"/>
      <c r="O66" s="945"/>
      <c r="P66" s="945"/>
      <c r="Q66" s="945"/>
      <c r="R66" s="945"/>
      <c r="S66" s="945"/>
      <c r="T66" s="945"/>
      <c r="U66" s="945"/>
      <c r="V66" s="945"/>
      <c r="W66" s="945"/>
      <c r="X66" s="945"/>
      <c r="Y66" s="945"/>
      <c r="Z66" s="939"/>
    </row>
    <row r="67" spans="1:26" x14ac:dyDescent="0.2">
      <c r="A67" s="945" t="s">
        <v>339</v>
      </c>
      <c r="B67" s="969"/>
      <c r="C67" s="896"/>
      <c r="D67" s="940"/>
      <c r="E67" s="940"/>
      <c r="F67" s="940"/>
      <c r="G67" s="940"/>
      <c r="H67" s="940"/>
      <c r="I67" s="940"/>
      <c r="J67" s="940"/>
      <c r="K67" s="940"/>
      <c r="L67" s="940"/>
      <c r="M67" s="940"/>
      <c r="N67" s="940"/>
      <c r="O67" s="940"/>
      <c r="P67" s="940"/>
      <c r="Q67" s="940"/>
      <c r="R67" s="940"/>
      <c r="S67" s="940"/>
      <c r="T67" s="940"/>
      <c r="U67" s="940"/>
      <c r="V67" s="940"/>
      <c r="W67" s="940"/>
      <c r="X67" s="940"/>
      <c r="Y67" s="940"/>
    </row>
    <row r="68" spans="1:26" x14ac:dyDescent="0.2">
      <c r="A68" s="968" t="s">
        <v>25</v>
      </c>
      <c r="B68" s="939"/>
      <c r="C68" s="896"/>
      <c r="D68" s="940"/>
      <c r="E68" s="940"/>
      <c r="F68" s="940"/>
      <c r="G68" s="940"/>
      <c r="H68" s="971"/>
      <c r="I68" s="971"/>
      <c r="J68" s="940"/>
      <c r="K68" s="940"/>
      <c r="L68" s="940"/>
      <c r="M68" s="940"/>
      <c r="N68" s="940"/>
      <c r="O68" s="940"/>
      <c r="P68" s="940"/>
      <c r="Q68" s="940"/>
      <c r="R68" s="940"/>
      <c r="S68" s="940"/>
      <c r="T68" s="971"/>
      <c r="U68" s="971"/>
      <c r="V68" s="940"/>
      <c r="W68" s="940"/>
      <c r="X68" s="940"/>
      <c r="Y68" s="940"/>
    </row>
    <row r="69" spans="1:26" x14ac:dyDescent="0.2">
      <c r="A69" s="940"/>
      <c r="B69" s="939"/>
      <c r="C69" s="896"/>
      <c r="D69" s="940"/>
      <c r="E69" s="940"/>
      <c r="F69" s="940"/>
      <c r="G69" s="940"/>
      <c r="H69" s="940"/>
      <c r="I69" s="940"/>
      <c r="J69" s="940"/>
      <c r="K69" s="940"/>
      <c r="L69" s="940"/>
      <c r="M69" s="1072"/>
      <c r="N69" s="1072"/>
      <c r="O69" s="940"/>
      <c r="P69" s="940"/>
      <c r="Q69" s="940"/>
      <c r="R69" s="940"/>
      <c r="S69" s="940"/>
      <c r="T69" s="940"/>
      <c r="U69" s="940"/>
      <c r="V69" s="940"/>
      <c r="W69" s="940"/>
      <c r="X69" s="940"/>
      <c r="Y69" s="1072"/>
    </row>
    <row r="70" spans="1:26" x14ac:dyDescent="0.2">
      <c r="A70" s="945" t="s">
        <v>552</v>
      </c>
      <c r="B70" s="939"/>
      <c r="C70" s="896"/>
      <c r="D70" s="940"/>
      <c r="E70" s="940"/>
      <c r="F70" s="940"/>
      <c r="G70" s="940"/>
      <c r="H70" s="940"/>
      <c r="I70" s="940"/>
      <c r="J70" s="940"/>
      <c r="K70" s="940"/>
      <c r="L70" s="940"/>
      <c r="M70" s="1072"/>
      <c r="N70" s="1072"/>
      <c r="O70" s="940"/>
      <c r="P70" s="940"/>
      <c r="Q70" s="940"/>
      <c r="R70" s="940"/>
      <c r="S70" s="940"/>
      <c r="T70" s="940"/>
      <c r="U70" s="940"/>
      <c r="V70" s="940"/>
      <c r="W70" s="940"/>
      <c r="X70" s="940"/>
      <c r="Y70" s="1072"/>
    </row>
  </sheetData>
  <mergeCells count="16">
    <mergeCell ref="A42:B42"/>
    <mergeCell ref="D11:N11"/>
    <mergeCell ref="P11:Z11"/>
    <mergeCell ref="N12:N13"/>
    <mergeCell ref="A40:B40"/>
    <mergeCell ref="V12:X12"/>
    <mergeCell ref="P12:U12"/>
    <mergeCell ref="Z12:Z13"/>
    <mergeCell ref="D12:I12"/>
    <mergeCell ref="J12:L12"/>
    <mergeCell ref="J54:L54"/>
    <mergeCell ref="D54:I54"/>
    <mergeCell ref="V54:X54"/>
    <mergeCell ref="N54:N55"/>
    <mergeCell ref="Z54:Z55"/>
    <mergeCell ref="P54:U54"/>
  </mergeCells>
  <conditionalFormatting sqref="A51:A53 A50:B50 A65:A66 A44:B45">
    <cfRule type="cellIs" dxfId="121" priority="11" stopIfTrue="1" operator="equal">
      <formula>0</formula>
    </cfRule>
  </conditionalFormatting>
  <printOptions horizontalCentered="1"/>
  <pageMargins left="0" right="0" top="0.75" bottom="0" header="0" footer="0"/>
  <pageSetup scale="44" orientation="landscape" r:id="rId1"/>
  <headerFooter alignWithMargins="0">
    <oddFooter>&amp;L&amp;F&amp;CPage 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S103"/>
  <sheetViews>
    <sheetView workbookViewId="0"/>
  </sheetViews>
  <sheetFormatPr defaultColWidth="9.140625" defaultRowHeight="12.75" outlineLevelRow="1" x14ac:dyDescent="0.2"/>
  <cols>
    <col min="1" max="1" width="2.7109375" style="574" customWidth="1"/>
    <col min="2" max="2" width="45.7109375" style="574" customWidth="1"/>
    <col min="3" max="3" width="9.5703125" style="574" customWidth="1"/>
    <col min="4" max="4" width="9.7109375" style="574" customWidth="1"/>
    <col min="5" max="5" width="1.5703125" style="575" customWidth="1"/>
    <col min="6" max="6" width="9.7109375" style="575" hidden="1" customWidth="1"/>
    <col min="7" max="7" width="10.28515625" style="575" hidden="1" customWidth="1"/>
    <col min="8" max="8" width="8.7109375" style="575" hidden="1" customWidth="1"/>
    <col min="9" max="9" width="8.7109375" style="575" customWidth="1"/>
    <col min="10" max="10" width="9.7109375" style="575" customWidth="1"/>
    <col min="11" max="11" width="10.28515625" style="575" bestFit="1" customWidth="1"/>
    <col min="12" max="17" width="8.7109375" style="575" customWidth="1"/>
    <col min="18" max="29" width="8.7109375" style="575" hidden="1" customWidth="1"/>
    <col min="30" max="36" width="9.7109375" style="575" hidden="1" customWidth="1"/>
    <col min="37" max="45" width="9.7109375" style="574" hidden="1" customWidth="1"/>
    <col min="46" max="46" width="1.5703125" style="575" customWidth="1"/>
    <col min="47" max="47" width="9.42578125" style="574" hidden="1" customWidth="1"/>
    <col min="48" max="48" width="9" style="574" hidden="1" customWidth="1"/>
    <col min="49" max="50" width="9.7109375" style="577" hidden="1" customWidth="1"/>
    <col min="51" max="51" width="1.5703125" style="574" hidden="1" customWidth="1"/>
    <col min="52" max="56" width="9.7109375" style="574" customWidth="1"/>
    <col min="57" max="63" width="9.7109375" style="574" hidden="1" customWidth="1"/>
    <col min="64" max="64" width="1.5703125" style="574" customWidth="1"/>
    <col min="65" max="16384" width="9.140625" style="574"/>
  </cols>
  <sheetData>
    <row r="2" spans="1:71" x14ac:dyDescent="0.2">
      <c r="G2" s="576"/>
      <c r="H2" s="576"/>
      <c r="I2" s="576"/>
      <c r="K2" s="576"/>
      <c r="L2" s="576"/>
      <c r="M2" s="576"/>
      <c r="O2" s="576"/>
      <c r="P2" s="576"/>
      <c r="Q2" s="576"/>
      <c r="S2" s="576"/>
      <c r="T2" s="576"/>
      <c r="U2" s="576"/>
      <c r="X2" s="576"/>
      <c r="Y2" s="576"/>
      <c r="AB2" s="576"/>
      <c r="AC2" s="576"/>
      <c r="AF2" s="576"/>
      <c r="AG2" s="576"/>
    </row>
    <row r="5" spans="1:71" x14ac:dyDescent="0.2">
      <c r="A5" s="575"/>
      <c r="B5" s="575"/>
      <c r="C5" s="575"/>
      <c r="D5" s="575"/>
      <c r="AK5" s="575"/>
      <c r="AL5" s="575"/>
      <c r="AM5" s="575"/>
    </row>
    <row r="6" spans="1:71" ht="18" customHeight="1" x14ac:dyDescent="0.2">
      <c r="A6" s="578" t="s">
        <v>346</v>
      </c>
      <c r="B6" s="575"/>
      <c r="C6" s="575"/>
      <c r="D6" s="575"/>
      <c r="G6" s="576"/>
      <c r="H6" s="844"/>
      <c r="K6" s="576"/>
      <c r="L6" s="844"/>
      <c r="O6" s="576"/>
      <c r="P6" s="844"/>
      <c r="AK6" s="575"/>
      <c r="AL6" s="575"/>
      <c r="AM6" s="575"/>
    </row>
    <row r="7" spans="1:71" ht="18" customHeight="1" x14ac:dyDescent="0.2">
      <c r="A7" s="578" t="s">
        <v>326</v>
      </c>
      <c r="B7" s="575"/>
      <c r="C7" s="575"/>
      <c r="D7" s="575"/>
      <c r="G7" s="845"/>
      <c r="K7" s="845"/>
      <c r="O7" s="845"/>
      <c r="AK7" s="575"/>
      <c r="AL7" s="575"/>
      <c r="AM7" s="575"/>
    </row>
    <row r="8" spans="1:71" ht="18" customHeight="1" x14ac:dyDescent="0.2">
      <c r="A8" s="578" t="s">
        <v>325</v>
      </c>
      <c r="B8" s="579"/>
      <c r="C8" s="579"/>
      <c r="D8" s="579"/>
      <c r="E8" s="579"/>
      <c r="F8" s="579"/>
      <c r="G8" s="579"/>
      <c r="H8" s="579"/>
      <c r="I8" s="579"/>
      <c r="J8" s="579"/>
      <c r="K8" s="579"/>
      <c r="L8" s="579"/>
      <c r="M8" s="579"/>
      <c r="N8" s="579"/>
      <c r="O8" s="579"/>
      <c r="P8" s="579"/>
      <c r="Q8" s="579"/>
      <c r="R8" s="579"/>
      <c r="S8" s="579"/>
      <c r="T8" s="579"/>
      <c r="U8" s="579"/>
      <c r="V8" s="579"/>
      <c r="W8" s="579"/>
      <c r="X8" s="579"/>
      <c r="Y8" s="579"/>
      <c r="Z8" s="579"/>
      <c r="AA8" s="579"/>
      <c r="AB8" s="579"/>
      <c r="AC8" s="579"/>
      <c r="AD8" s="579"/>
      <c r="AE8" s="579"/>
      <c r="AF8" s="579"/>
      <c r="AG8" s="579"/>
      <c r="AH8" s="579"/>
      <c r="AI8" s="579"/>
      <c r="AJ8" s="579"/>
      <c r="AK8" s="575"/>
      <c r="AL8" s="575"/>
      <c r="AM8" s="575"/>
    </row>
    <row r="9" spans="1:71" ht="9.75" customHeight="1" x14ac:dyDescent="0.2">
      <c r="A9" s="580"/>
      <c r="B9" s="580"/>
      <c r="C9" s="580"/>
      <c r="D9" s="580"/>
      <c r="E9" s="580"/>
      <c r="F9" s="580"/>
      <c r="G9" s="581"/>
      <c r="H9" s="581"/>
      <c r="I9" s="580"/>
      <c r="J9" s="580"/>
      <c r="K9" s="581"/>
      <c r="L9" s="581"/>
      <c r="M9" s="580"/>
      <c r="N9" s="580"/>
      <c r="O9" s="581"/>
      <c r="P9" s="581"/>
      <c r="Q9" s="580"/>
      <c r="R9" s="580"/>
      <c r="S9" s="581"/>
      <c r="T9" s="581"/>
      <c r="U9" s="580"/>
      <c r="V9" s="580"/>
      <c r="W9" s="580"/>
      <c r="X9" s="581"/>
      <c r="Y9" s="580"/>
      <c r="Z9" s="581"/>
      <c r="AA9" s="580"/>
      <c r="AB9" s="581"/>
      <c r="AC9" s="580"/>
      <c r="AD9" s="581"/>
      <c r="AE9" s="580"/>
      <c r="AF9" s="581"/>
      <c r="AG9" s="580"/>
      <c r="AH9" s="581"/>
      <c r="AI9" s="580"/>
      <c r="AJ9" s="580"/>
      <c r="AK9" s="575"/>
      <c r="AL9" s="575"/>
      <c r="AM9" s="575"/>
      <c r="AW9" s="582"/>
      <c r="AX9" s="582"/>
    </row>
    <row r="10" spans="1:71" x14ac:dyDescent="0.2">
      <c r="A10" s="583" t="s">
        <v>1</v>
      </c>
      <c r="B10" s="584"/>
      <c r="C10" s="2395" t="s">
        <v>348</v>
      </c>
      <c r="D10" s="2396"/>
      <c r="E10" s="585"/>
      <c r="F10" s="586"/>
      <c r="G10" s="586"/>
      <c r="I10" s="587"/>
      <c r="J10" s="586"/>
      <c r="K10" s="586"/>
      <c r="M10" s="587"/>
      <c r="N10" s="586"/>
      <c r="O10" s="586"/>
      <c r="Q10" s="587"/>
      <c r="R10" s="586"/>
      <c r="S10" s="586"/>
      <c r="U10" s="587"/>
      <c r="V10" s="586"/>
      <c r="W10" s="586"/>
      <c r="Y10" s="587"/>
      <c r="Z10" s="586"/>
      <c r="AA10" s="586"/>
      <c r="AC10" s="587"/>
      <c r="AD10" s="586"/>
      <c r="AE10" s="586"/>
      <c r="AG10" s="587"/>
      <c r="AI10" s="586"/>
      <c r="AJ10" s="586"/>
      <c r="AK10" s="587"/>
      <c r="AL10" s="586"/>
      <c r="AM10" s="586"/>
      <c r="AN10" s="586"/>
      <c r="AO10" s="586"/>
      <c r="AP10" s="588"/>
      <c r="AQ10" s="587"/>
      <c r="AR10" s="587"/>
      <c r="AS10" s="587"/>
      <c r="AT10" s="594"/>
      <c r="AU10" s="433" t="s">
        <v>281</v>
      </c>
      <c r="AV10" s="433"/>
      <c r="AW10" s="433" t="s">
        <v>338</v>
      </c>
      <c r="AX10" s="434"/>
      <c r="AY10" s="590"/>
      <c r="AZ10" s="591"/>
      <c r="BA10" s="591"/>
      <c r="BB10" s="591"/>
      <c r="BC10" s="591"/>
      <c r="BD10" s="591"/>
      <c r="BE10" s="591"/>
      <c r="BF10" s="591"/>
      <c r="BG10" s="588"/>
      <c r="BH10" s="592"/>
      <c r="BI10" s="591"/>
      <c r="BJ10" s="593"/>
      <c r="BK10" s="593"/>
      <c r="BL10" s="594"/>
    </row>
    <row r="11" spans="1:71" ht="13.5" x14ac:dyDescent="0.2">
      <c r="A11" s="583" t="s">
        <v>2</v>
      </c>
      <c r="B11" s="584"/>
      <c r="C11" s="2397" t="s">
        <v>35</v>
      </c>
      <c r="D11" s="2398"/>
      <c r="E11" s="595"/>
      <c r="F11" s="19"/>
      <c r="G11" s="19"/>
      <c r="H11" s="19"/>
      <c r="I11" s="12" t="s">
        <v>347</v>
      </c>
      <c r="J11" s="19" t="s">
        <v>331</v>
      </c>
      <c r="K11" s="19" t="s">
        <v>332</v>
      </c>
      <c r="L11" s="19" t="s">
        <v>333</v>
      </c>
      <c r="M11" s="12" t="s">
        <v>334</v>
      </c>
      <c r="N11" s="596" t="s">
        <v>296</v>
      </c>
      <c r="O11" s="596" t="s">
        <v>295</v>
      </c>
      <c r="P11" s="596" t="s">
        <v>294</v>
      </c>
      <c r="Q11" s="597" t="s">
        <v>292</v>
      </c>
      <c r="R11" s="596" t="s">
        <v>252</v>
      </c>
      <c r="S11" s="596" t="s">
        <v>253</v>
      </c>
      <c r="T11" s="596" t="s">
        <v>254</v>
      </c>
      <c r="U11" s="597" t="s">
        <v>255</v>
      </c>
      <c r="V11" s="596" t="s">
        <v>202</v>
      </c>
      <c r="W11" s="596" t="s">
        <v>203</v>
      </c>
      <c r="X11" s="596" t="s">
        <v>204</v>
      </c>
      <c r="Y11" s="597" t="s">
        <v>201</v>
      </c>
      <c r="Z11" s="596" t="s">
        <v>173</v>
      </c>
      <c r="AA11" s="596" t="s">
        <v>174</v>
      </c>
      <c r="AB11" s="596" t="s">
        <v>175</v>
      </c>
      <c r="AC11" s="597" t="s">
        <v>176</v>
      </c>
      <c r="AD11" s="596" t="s">
        <v>109</v>
      </c>
      <c r="AE11" s="596" t="s">
        <v>108</v>
      </c>
      <c r="AF11" s="596" t="s">
        <v>107</v>
      </c>
      <c r="AG11" s="597" t="s">
        <v>106</v>
      </c>
      <c r="AH11" s="596" t="s">
        <v>78</v>
      </c>
      <c r="AI11" s="596" t="s">
        <v>79</v>
      </c>
      <c r="AJ11" s="596" t="s">
        <v>80</v>
      </c>
      <c r="AK11" s="597" t="s">
        <v>26</v>
      </c>
      <c r="AL11" s="596" t="s">
        <v>27</v>
      </c>
      <c r="AM11" s="596" t="s">
        <v>28</v>
      </c>
      <c r="AN11" s="596" t="s">
        <v>29</v>
      </c>
      <c r="AO11" s="596" t="s">
        <v>30</v>
      </c>
      <c r="AP11" s="598" t="s">
        <v>31</v>
      </c>
      <c r="AQ11" s="597" t="s">
        <v>32</v>
      </c>
      <c r="AR11" s="597" t="s">
        <v>33</v>
      </c>
      <c r="AS11" s="597" t="s">
        <v>34</v>
      </c>
      <c r="AT11" s="873"/>
      <c r="AU11" s="19" t="s">
        <v>332</v>
      </c>
      <c r="AV11" s="19" t="s">
        <v>295</v>
      </c>
      <c r="AW11" s="2399" t="s">
        <v>35</v>
      </c>
      <c r="AX11" s="2400"/>
      <c r="AY11" s="599"/>
      <c r="AZ11" s="18" t="s">
        <v>342</v>
      </c>
      <c r="BA11" s="18" t="s">
        <v>298</v>
      </c>
      <c r="BB11" s="600" t="s">
        <v>257</v>
      </c>
      <c r="BC11" s="600" t="s">
        <v>206</v>
      </c>
      <c r="BD11" s="600" t="s">
        <v>111</v>
      </c>
      <c r="BE11" s="600" t="s">
        <v>110</v>
      </c>
      <c r="BF11" s="598" t="s">
        <v>39</v>
      </c>
      <c r="BG11" s="598" t="s">
        <v>36</v>
      </c>
      <c r="BH11" s="600" t="s">
        <v>37</v>
      </c>
      <c r="BI11" s="600" t="s">
        <v>128</v>
      </c>
      <c r="BJ11" s="600" t="s">
        <v>129</v>
      </c>
      <c r="BK11" s="600" t="s">
        <v>130</v>
      </c>
      <c r="BL11" s="594"/>
      <c r="BM11" s="575"/>
      <c r="BN11" s="575"/>
      <c r="BO11" s="575"/>
      <c r="BP11" s="575"/>
      <c r="BQ11" s="575"/>
      <c r="BR11" s="575"/>
      <c r="BS11" s="575"/>
    </row>
    <row r="12" spans="1:71" s="612" customFormat="1" x14ac:dyDescent="0.2">
      <c r="A12" s="583"/>
      <c r="B12" s="583"/>
      <c r="C12" s="601"/>
      <c r="D12" s="602"/>
      <c r="E12" s="603"/>
      <c r="F12" s="421"/>
      <c r="G12" s="421"/>
      <c r="H12" s="421"/>
      <c r="I12" s="877"/>
      <c r="J12" s="876"/>
      <c r="K12" s="876"/>
      <c r="L12" s="876"/>
      <c r="M12" s="877"/>
      <c r="N12" s="879"/>
      <c r="O12" s="879"/>
      <c r="P12" s="879"/>
      <c r="Q12" s="880"/>
      <c r="R12" s="879"/>
      <c r="S12" s="879"/>
      <c r="T12" s="879"/>
      <c r="U12" s="880"/>
      <c r="V12" s="879"/>
      <c r="W12" s="879"/>
      <c r="X12" s="879"/>
      <c r="Y12" s="880"/>
      <c r="Z12" s="879"/>
      <c r="AA12" s="879"/>
      <c r="AB12" s="879"/>
      <c r="AC12" s="880"/>
      <c r="AD12" s="879"/>
      <c r="AE12" s="879"/>
      <c r="AF12" s="879"/>
      <c r="AG12" s="880"/>
      <c r="AH12" s="604"/>
      <c r="AI12" s="604"/>
      <c r="AJ12" s="604"/>
      <c r="AK12" s="605"/>
      <c r="AL12" s="604"/>
      <c r="AM12" s="604"/>
      <c r="AN12" s="604"/>
      <c r="AO12" s="604"/>
      <c r="AP12" s="606"/>
      <c r="AQ12" s="605"/>
      <c r="AR12" s="605"/>
      <c r="AS12" s="605"/>
      <c r="AT12" s="606"/>
      <c r="AU12" s="881"/>
      <c r="AV12" s="881"/>
      <c r="AW12" s="882"/>
      <c r="AX12" s="883"/>
      <c r="AY12" s="608"/>
      <c r="AZ12" s="884"/>
      <c r="BA12" s="884"/>
      <c r="BB12" s="884"/>
      <c r="BC12" s="884"/>
      <c r="BD12" s="884"/>
      <c r="BE12" s="609" t="s">
        <v>221</v>
      </c>
      <c r="BF12" s="609" t="s">
        <v>221</v>
      </c>
      <c r="BG12" s="609" t="s">
        <v>221</v>
      </c>
      <c r="BH12" s="609" t="s">
        <v>221</v>
      </c>
      <c r="BI12" s="609" t="s">
        <v>221</v>
      </c>
      <c r="BJ12" s="607"/>
      <c r="BK12" s="607"/>
      <c r="BL12" s="610"/>
      <c r="BM12" s="611"/>
      <c r="BN12" s="611"/>
      <c r="BO12" s="611"/>
      <c r="BP12" s="611"/>
      <c r="BQ12" s="611"/>
      <c r="BR12" s="611"/>
      <c r="BS12" s="611"/>
    </row>
    <row r="13" spans="1:71" ht="12.75" customHeight="1" x14ac:dyDescent="0.2">
      <c r="A13" s="613" t="s">
        <v>56</v>
      </c>
      <c r="B13" s="614"/>
      <c r="C13" s="615"/>
      <c r="D13" s="616"/>
      <c r="E13" s="617"/>
      <c r="F13" s="618"/>
      <c r="G13" s="618"/>
      <c r="H13" s="618"/>
      <c r="I13" s="616"/>
      <c r="J13" s="618"/>
      <c r="K13" s="618"/>
      <c r="L13" s="618"/>
      <c r="M13" s="616"/>
      <c r="N13" s="618"/>
      <c r="O13" s="618"/>
      <c r="P13" s="618"/>
      <c r="Q13" s="616"/>
      <c r="R13" s="618"/>
      <c r="S13" s="618"/>
      <c r="T13" s="618"/>
      <c r="U13" s="616"/>
      <c r="V13" s="618"/>
      <c r="W13" s="618"/>
      <c r="X13" s="618"/>
      <c r="Y13" s="616"/>
      <c r="Z13" s="618"/>
      <c r="AA13" s="618"/>
      <c r="AB13" s="618"/>
      <c r="AC13" s="616"/>
      <c r="AD13" s="618"/>
      <c r="AE13" s="618"/>
      <c r="AF13" s="618"/>
      <c r="AG13" s="616"/>
      <c r="AH13" s="618"/>
      <c r="AI13" s="618"/>
      <c r="AJ13" s="618"/>
      <c r="AK13" s="616"/>
      <c r="AL13" s="618"/>
      <c r="AM13" s="618"/>
      <c r="AN13" s="618"/>
      <c r="AO13" s="616"/>
      <c r="AP13" s="615"/>
      <c r="AQ13" s="616"/>
      <c r="AR13" s="616"/>
      <c r="AS13" s="616"/>
      <c r="AT13" s="615"/>
      <c r="AU13" s="618"/>
      <c r="AV13" s="618"/>
      <c r="AW13" s="695"/>
      <c r="AX13" s="878"/>
      <c r="AY13" s="619"/>
      <c r="AZ13" s="617"/>
      <c r="BA13" s="617"/>
      <c r="BB13" s="617"/>
      <c r="BC13" s="617"/>
      <c r="BD13" s="617"/>
      <c r="BE13" s="617"/>
      <c r="BF13" s="617"/>
      <c r="BG13" s="615"/>
      <c r="BH13" s="617"/>
      <c r="BI13" s="620"/>
      <c r="BJ13" s="621"/>
      <c r="BK13" s="621"/>
      <c r="BL13" s="594"/>
      <c r="BM13" s="575"/>
      <c r="BN13" s="575"/>
      <c r="BO13" s="575"/>
      <c r="BP13" s="575"/>
      <c r="BQ13" s="575"/>
    </row>
    <row r="14" spans="1:71" ht="12.75" customHeight="1" x14ac:dyDescent="0.2">
      <c r="A14" s="584"/>
      <c r="B14" s="616" t="s">
        <v>346</v>
      </c>
      <c r="C14" s="622" t="e">
        <f>I14-M14</f>
        <v>#REF!</v>
      </c>
      <c r="D14" s="498" t="e">
        <f>IF(OR((C14/M14)&gt;3,(C14/M14)&lt;-3),"n.m.",(C14/M14))</f>
        <v>#REF!</v>
      </c>
      <c r="E14" s="624"/>
      <c r="F14" s="625"/>
      <c r="G14" s="625"/>
      <c r="H14" s="625"/>
      <c r="I14" s="649" t="e">
        <f>+'5 Capital Markets Canada'!#REF!+'6 CG - US'!#REF!</f>
        <v>#REF!</v>
      </c>
      <c r="J14" s="625">
        <v>104807</v>
      </c>
      <c r="K14" s="625" t="e">
        <f>+'5 Capital Markets Canada'!#REF!+'6 CG - US'!#REF!</f>
        <v>#REF!</v>
      </c>
      <c r="L14" s="625" t="e">
        <f>+'5 Capital Markets Canada'!#REF!+'6 CG - US'!#REF!</f>
        <v>#REF!</v>
      </c>
      <c r="M14" s="649" t="e">
        <f>+'5 Capital Markets Canada'!#REF!+'6 CG - US'!#REF!</f>
        <v>#REF!</v>
      </c>
      <c r="N14" s="625" t="e">
        <f>+'5 Capital Markets Canada'!#REF!+'6 CG - US'!#REF!</f>
        <v>#REF!</v>
      </c>
      <c r="O14" s="625" t="e">
        <f>+'5 Capital Markets Canada'!#REF!+'6 CG - US'!#REF!</f>
        <v>#REF!</v>
      </c>
      <c r="P14" s="625" t="e">
        <f>+'5 Capital Markets Canada'!#REF!+'6 CG - US'!#REF!</f>
        <v>#REF!</v>
      </c>
      <c r="Q14" s="649" t="e">
        <f>+'5 Capital Markets Canada'!#REF!+'6 CG - US'!#REF!</f>
        <v>#REF!</v>
      </c>
      <c r="R14" s="625" t="e">
        <f>+'5 Capital Markets Canada'!#REF!+'6 CG - US'!#REF!</f>
        <v>#REF!</v>
      </c>
      <c r="S14" s="625" t="e">
        <f>+'5 Capital Markets Canada'!#REF!+'6 CG - US'!#REF!</f>
        <v>#REF!</v>
      </c>
      <c r="T14" s="811">
        <v>35445</v>
      </c>
      <c r="U14" s="782">
        <v>35624</v>
      </c>
      <c r="V14" s="811">
        <v>71006</v>
      </c>
      <c r="W14" s="811">
        <v>56942</v>
      </c>
      <c r="X14" s="811">
        <v>42491</v>
      </c>
      <c r="Y14" s="782" t="e">
        <f>+'4 Canaccord Genuity '!#REF!</f>
        <v>#REF!</v>
      </c>
      <c r="Z14" s="811">
        <v>88632</v>
      </c>
      <c r="AA14" s="811">
        <v>109404</v>
      </c>
      <c r="AB14" s="811">
        <v>49909</v>
      </c>
      <c r="AC14" s="782">
        <v>53057</v>
      </c>
      <c r="AD14" s="811">
        <v>32806</v>
      </c>
      <c r="AE14" s="811">
        <v>58040</v>
      </c>
      <c r="AF14" s="812">
        <v>27314</v>
      </c>
      <c r="AG14" s="782">
        <v>30054</v>
      </c>
      <c r="AH14" s="773">
        <v>25033</v>
      </c>
      <c r="AI14" s="773">
        <v>12639</v>
      </c>
      <c r="AJ14" s="773">
        <v>23461</v>
      </c>
      <c r="AK14" s="782">
        <v>34352</v>
      </c>
      <c r="AL14" s="798">
        <v>31944</v>
      </c>
      <c r="AM14" s="786">
        <v>42952</v>
      </c>
      <c r="AN14" s="786">
        <v>39210</v>
      </c>
      <c r="AO14" s="801">
        <v>62549</v>
      </c>
      <c r="AP14" s="800">
        <v>57382</v>
      </c>
      <c r="AQ14" s="801">
        <v>48897</v>
      </c>
      <c r="AR14" s="801">
        <v>38533</v>
      </c>
      <c r="AS14" s="801">
        <v>42750</v>
      </c>
      <c r="AT14" s="800"/>
      <c r="AU14" s="811" t="e">
        <f>SUM(K14:M14)</f>
        <v>#REF!</v>
      </c>
      <c r="AV14" s="811" t="e">
        <f>SUM(O14:Q14)</f>
        <v>#REF!</v>
      </c>
      <c r="AW14" s="631" t="e">
        <f>AZ14-BA14</f>
        <v>#REF!</v>
      </c>
      <c r="AX14" s="623" t="e">
        <f>IF(OR((AW14/BA14)&gt;3,(AW14/BA14)&lt;-3),"n.m.",(AW14/BA14))</f>
        <v>#REF!</v>
      </c>
      <c r="AY14" s="619"/>
      <c r="AZ14" s="632" t="e">
        <f>+SUM(J14:M14)</f>
        <v>#REF!</v>
      </c>
      <c r="BA14" s="632" t="e">
        <f>+SUM(N14:Q14)</f>
        <v>#REF!</v>
      </c>
      <c r="BB14" s="632" t="e">
        <f>+'5 Capital Markets Canada'!#REF!+'6 CG - US'!#REF!</f>
        <v>#REF!</v>
      </c>
      <c r="BC14" s="632" t="e">
        <f>+'5 Capital Markets Canada'!#REF!+'6 CG - US'!#REF!</f>
        <v>#REF!</v>
      </c>
      <c r="BD14" s="632" t="e">
        <f>+'5 Capital Markets Canada'!#REF!+'6 CG - US'!#REF!</f>
        <v>#REF!</v>
      </c>
      <c r="BE14" s="632">
        <v>177581</v>
      </c>
      <c r="BF14" s="632">
        <v>122850</v>
      </c>
      <c r="BG14" s="632">
        <v>176655</v>
      </c>
      <c r="BH14" s="632">
        <v>187562</v>
      </c>
      <c r="BI14" s="620">
        <v>150470</v>
      </c>
      <c r="BJ14" s="620">
        <v>95559</v>
      </c>
      <c r="BK14" s="620"/>
      <c r="BL14" s="575"/>
      <c r="BM14" s="575"/>
      <c r="BN14" s="575"/>
      <c r="BO14" s="575"/>
      <c r="BP14" s="575"/>
      <c r="BQ14" s="575"/>
    </row>
    <row r="15" spans="1:71" ht="12.75" customHeight="1" x14ac:dyDescent="0.2">
      <c r="A15" s="614"/>
      <c r="B15" s="584"/>
      <c r="C15" s="633" t="e">
        <f>I15-M15</f>
        <v>#REF!</v>
      </c>
      <c r="D15" s="634" t="e">
        <f>IF(OR((C15/M15)&gt;3,(C15/M15)&lt;-3),"n.m.",(C15/M15))</f>
        <v>#REF!</v>
      </c>
      <c r="E15" s="624"/>
      <c r="F15" s="625"/>
      <c r="G15" s="625"/>
      <c r="H15" s="811"/>
      <c r="I15" s="813" t="e">
        <f t="shared" ref="I15:S15" si="0">+I14</f>
        <v>#REF!</v>
      </c>
      <c r="J15" s="625">
        <f t="shared" si="0"/>
        <v>104807</v>
      </c>
      <c r="K15" s="625" t="e">
        <f t="shared" si="0"/>
        <v>#REF!</v>
      </c>
      <c r="L15" s="811" t="e">
        <f t="shared" si="0"/>
        <v>#REF!</v>
      </c>
      <c r="M15" s="813" t="e">
        <f t="shared" si="0"/>
        <v>#REF!</v>
      </c>
      <c r="N15" s="625" t="e">
        <f t="shared" si="0"/>
        <v>#REF!</v>
      </c>
      <c r="O15" s="625" t="e">
        <f t="shared" si="0"/>
        <v>#REF!</v>
      </c>
      <c r="P15" s="811" t="e">
        <f t="shared" si="0"/>
        <v>#REF!</v>
      </c>
      <c r="Q15" s="813" t="e">
        <f t="shared" si="0"/>
        <v>#REF!</v>
      </c>
      <c r="R15" s="811" t="e">
        <f t="shared" si="0"/>
        <v>#REF!</v>
      </c>
      <c r="S15" s="811" t="e">
        <f t="shared" si="0"/>
        <v>#REF!</v>
      </c>
      <c r="T15" s="811">
        <v>35445</v>
      </c>
      <c r="U15" s="813">
        <v>35624</v>
      </c>
      <c r="V15" s="811">
        <v>71006</v>
      </c>
      <c r="W15" s="811">
        <v>56942</v>
      </c>
      <c r="X15" s="811">
        <v>42491</v>
      </c>
      <c r="Y15" s="813" t="e">
        <f>Y14</f>
        <v>#REF!</v>
      </c>
      <c r="Z15" s="811">
        <f>Z14</f>
        <v>88632</v>
      </c>
      <c r="AA15" s="811">
        <f>AA14</f>
        <v>109404</v>
      </c>
      <c r="AB15" s="811">
        <f>AB14</f>
        <v>49909</v>
      </c>
      <c r="AC15" s="813">
        <f>AC14</f>
        <v>53057</v>
      </c>
      <c r="AD15" s="811">
        <v>32806</v>
      </c>
      <c r="AE15" s="811">
        <v>58040</v>
      </c>
      <c r="AF15" s="811">
        <v>27314</v>
      </c>
      <c r="AG15" s="813">
        <v>30054</v>
      </c>
      <c r="AH15" s="814">
        <v>25033</v>
      </c>
      <c r="AI15" s="814">
        <v>12639</v>
      </c>
      <c r="AJ15" s="814">
        <v>23461</v>
      </c>
      <c r="AK15" s="813">
        <v>34352</v>
      </c>
      <c r="AL15" s="814">
        <v>31944</v>
      </c>
      <c r="AM15" s="814">
        <v>42952</v>
      </c>
      <c r="AN15" s="814">
        <v>39210</v>
      </c>
      <c r="AO15" s="814">
        <v>62549</v>
      </c>
      <c r="AP15" s="815">
        <v>57382</v>
      </c>
      <c r="AQ15" s="813">
        <v>48897</v>
      </c>
      <c r="AR15" s="813">
        <v>38533</v>
      </c>
      <c r="AS15" s="813">
        <v>42750</v>
      </c>
      <c r="AT15" s="800"/>
      <c r="AU15" s="811" t="e">
        <f>AU14</f>
        <v>#REF!</v>
      </c>
      <c r="AV15" s="811" t="e">
        <f>AV14</f>
        <v>#REF!</v>
      </c>
      <c r="AW15" s="635" t="e">
        <f>AZ15-BA15</f>
        <v>#REF!</v>
      </c>
      <c r="AX15" s="634" t="e">
        <f>IF(OR((AW15/BA15)&gt;3,(AW15/BA15)&lt;-3),"n.m.",(AW15/BA15))</f>
        <v>#REF!</v>
      </c>
      <c r="AY15" s="619"/>
      <c r="AZ15" s="636" t="e">
        <f>+AZ14</f>
        <v>#REF!</v>
      </c>
      <c r="BA15" s="636" t="e">
        <f>SUM(BA14)</f>
        <v>#REF!</v>
      </c>
      <c r="BB15" s="636" t="e">
        <f>+BB14</f>
        <v>#REF!</v>
      </c>
      <c r="BC15" s="636" t="e">
        <f>+BC14</f>
        <v>#REF!</v>
      </c>
      <c r="BD15" s="636" t="e">
        <f>+BD14</f>
        <v>#REF!</v>
      </c>
      <c r="BE15" s="636">
        <v>177581</v>
      </c>
      <c r="BF15" s="636">
        <v>122850</v>
      </c>
      <c r="BG15" s="636">
        <v>176655</v>
      </c>
      <c r="BH15" s="636">
        <v>187562</v>
      </c>
      <c r="BI15" s="637">
        <v>150470</v>
      </c>
      <c r="BJ15" s="637">
        <f>BJ14</f>
        <v>95559</v>
      </c>
      <c r="BK15" s="637">
        <v>211758</v>
      </c>
      <c r="BL15" s="575"/>
      <c r="BN15" s="575"/>
      <c r="BO15" s="575"/>
      <c r="BP15" s="575"/>
      <c r="BQ15" s="575"/>
    </row>
    <row r="16" spans="1:71" ht="12.75" customHeight="1" x14ac:dyDescent="0.2">
      <c r="A16" s="613" t="s">
        <v>5</v>
      </c>
      <c r="B16" s="584"/>
      <c r="C16" s="622"/>
      <c r="D16" s="623"/>
      <c r="E16" s="624"/>
      <c r="F16" s="628"/>
      <c r="G16" s="628"/>
      <c r="H16" s="773"/>
      <c r="I16" s="782"/>
      <c r="J16" s="628"/>
      <c r="K16" s="628"/>
      <c r="L16" s="773"/>
      <c r="M16" s="782"/>
      <c r="N16" s="628"/>
      <c r="O16" s="628"/>
      <c r="P16" s="773"/>
      <c r="Q16" s="782"/>
      <c r="R16" s="773"/>
      <c r="S16" s="773"/>
      <c r="T16" s="773"/>
      <c r="U16" s="782"/>
      <c r="V16" s="773"/>
      <c r="W16" s="816"/>
      <c r="X16" s="773"/>
      <c r="Y16" s="782"/>
      <c r="Z16" s="773"/>
      <c r="AA16" s="816"/>
      <c r="AB16" s="773"/>
      <c r="AC16" s="782"/>
      <c r="AD16" s="773"/>
      <c r="AE16" s="816"/>
      <c r="AF16" s="773"/>
      <c r="AG16" s="782"/>
      <c r="AH16" s="816"/>
      <c r="AI16" s="816"/>
      <c r="AJ16" s="816"/>
      <c r="AK16" s="817"/>
      <c r="AL16" s="783"/>
      <c r="AM16" s="783"/>
      <c r="AN16" s="783"/>
      <c r="AO16" s="783"/>
      <c r="AP16" s="784"/>
      <c r="AQ16" s="782"/>
      <c r="AR16" s="782"/>
      <c r="AS16" s="782"/>
      <c r="AT16" s="800"/>
      <c r="AU16" s="773"/>
      <c r="AV16" s="773"/>
      <c r="AW16" s="631"/>
      <c r="AX16" s="623"/>
      <c r="AY16" s="619"/>
      <c r="AZ16" s="641"/>
      <c r="BA16" s="641"/>
      <c r="BB16" s="641"/>
      <c r="BC16" s="641"/>
      <c r="BD16" s="641"/>
      <c r="BE16" s="641"/>
      <c r="BF16" s="641"/>
      <c r="BG16" s="632"/>
      <c r="BH16" s="632"/>
      <c r="BI16" s="642"/>
      <c r="BJ16" s="642"/>
      <c r="BK16" s="642"/>
      <c r="BL16" s="575"/>
      <c r="BN16" s="575"/>
      <c r="BO16" s="575"/>
      <c r="BP16" s="575"/>
      <c r="BQ16" s="575"/>
    </row>
    <row r="17" spans="1:69" ht="12.75" customHeight="1" x14ac:dyDescent="0.2">
      <c r="A17" s="613"/>
      <c r="B17" s="584" t="s">
        <v>315</v>
      </c>
      <c r="C17" s="622" t="e">
        <f>I17-M17</f>
        <v>#REF!</v>
      </c>
      <c r="D17" s="623" t="e">
        <f>IF(OR((C17/M17)&gt;3,(C17/M17)&lt;-3),"n.m.",(C17/M17))</f>
        <v>#REF!</v>
      </c>
      <c r="E17" s="624"/>
      <c r="F17" s="628"/>
      <c r="G17" s="628"/>
      <c r="H17" s="773"/>
      <c r="I17" s="782" t="e">
        <f>+'5 Capital Markets Canada'!#REF!+'6 CG - US'!#REF!</f>
        <v>#REF!</v>
      </c>
      <c r="J17" s="628" t="e">
        <f>+'5 Capital Markets Canada'!#REF!+'6 CG - US'!#REF!</f>
        <v>#REF!</v>
      </c>
      <c r="K17" s="628" t="e">
        <f>+'5 Capital Markets Canada'!#REF!+'6 CG - US'!#REF!</f>
        <v>#REF!</v>
      </c>
      <c r="L17" s="773" t="e">
        <f>+'5 Capital Markets Canada'!#REF!+'6 CG - US'!#REF!</f>
        <v>#REF!</v>
      </c>
      <c r="M17" s="782" t="e">
        <f>+'5 Capital Markets Canada'!#REF!+'6 CG - US'!#REF!</f>
        <v>#REF!</v>
      </c>
      <c r="N17" s="628" t="e">
        <f>+'5 Capital Markets Canada'!#REF!+'6 CG - US'!#REF!</f>
        <v>#REF!</v>
      </c>
      <c r="O17" s="628" t="e">
        <f>+'5 Capital Markets Canada'!#REF!+'6 CG - US'!#REF!</f>
        <v>#REF!</v>
      </c>
      <c r="P17" s="773" t="e">
        <f>+'5 Capital Markets Canada'!#REF!+'6 CG - US'!#REF!</f>
        <v>#REF!</v>
      </c>
      <c r="Q17" s="782" t="e">
        <f>+'5 Capital Markets Canada'!#REF!+'6 CG - US'!#REF!</f>
        <v>#REF!</v>
      </c>
      <c r="R17" s="773" t="e">
        <f>+'5 Capital Markets Canada'!#REF!+'6 CG - US'!#REF!</f>
        <v>#REF!</v>
      </c>
      <c r="S17" s="773" t="e">
        <f>+'5 Capital Markets Canada'!#REF!+'6 CG - US'!#REF!</f>
        <v>#REF!</v>
      </c>
      <c r="T17" s="773">
        <v>13998</v>
      </c>
      <c r="U17" s="782">
        <v>13566</v>
      </c>
      <c r="V17" s="773">
        <v>30200</v>
      </c>
      <c r="W17" s="773">
        <v>23452</v>
      </c>
      <c r="X17" s="773">
        <v>16998</v>
      </c>
      <c r="Y17" s="782" t="e">
        <f>+'4 Canaccord Genuity '!#REF!-'7 UK &amp; Dubai'!#REF!-'6 CG - US'!#REF!-#REF!</f>
        <v>#REF!</v>
      </c>
      <c r="Z17" s="773">
        <v>43043</v>
      </c>
      <c r="AA17" s="773">
        <v>47584</v>
      </c>
      <c r="AB17" s="773">
        <v>20732</v>
      </c>
      <c r="AC17" s="782"/>
      <c r="AD17" s="773"/>
      <c r="AE17" s="773"/>
      <c r="AF17" s="773"/>
      <c r="AG17" s="782"/>
      <c r="AH17" s="773"/>
      <c r="AI17" s="773"/>
      <c r="AJ17" s="773"/>
      <c r="AK17" s="782"/>
      <c r="AL17" s="783"/>
      <c r="AM17" s="783"/>
      <c r="AN17" s="783"/>
      <c r="AO17" s="783"/>
      <c r="AP17" s="784"/>
      <c r="AQ17" s="782"/>
      <c r="AR17" s="782"/>
      <c r="AS17" s="782"/>
      <c r="AT17" s="800"/>
      <c r="AU17" s="773" t="e">
        <f>SUM(K17:M17)</f>
        <v>#REF!</v>
      </c>
      <c r="AV17" s="783" t="e">
        <f>SUM(O17:Q17)</f>
        <v>#REF!</v>
      </c>
      <c r="AW17" s="631" t="e">
        <f>AZ17-BA17</f>
        <v>#REF!</v>
      </c>
      <c r="AX17" s="623" t="e">
        <f t="shared" ref="AX17:AX29" si="1">IF(OR((AW17/BA17)&gt;3,(AW17/BA17)&lt;-3),"n.m.",(AW17/BA17))</f>
        <v>#REF!</v>
      </c>
      <c r="AY17" s="619"/>
      <c r="AZ17" s="643" t="e">
        <f>+SUM(J17:M17)</f>
        <v>#REF!</v>
      </c>
      <c r="BA17" s="643" t="e">
        <f>+SUM(N17:Q17)</f>
        <v>#REF!</v>
      </c>
      <c r="BB17" s="643" t="e">
        <f>+'5 Capital Markets Canada'!#REF!+'6 CG - US'!#REF!</f>
        <v>#REF!</v>
      </c>
      <c r="BC17" s="643" t="e">
        <f>+'5 Capital Markets Canada'!#REF!+'6 CG - US'!#REF!</f>
        <v>#REF!</v>
      </c>
      <c r="BD17" s="631" t="e">
        <f>+'5 Capital Markets Canada'!#REF!+'6 CG - US'!#REF!</f>
        <v>#REF!</v>
      </c>
      <c r="BE17" s="644">
        <v>86644</v>
      </c>
      <c r="BF17" s="644">
        <v>63086</v>
      </c>
      <c r="BG17" s="644">
        <v>88234</v>
      </c>
      <c r="BH17" s="645"/>
      <c r="BI17" s="642"/>
      <c r="BJ17" s="642"/>
      <c r="BK17" s="642"/>
      <c r="BL17" s="594"/>
      <c r="BN17" s="575"/>
      <c r="BO17" s="575"/>
      <c r="BP17" s="575"/>
      <c r="BQ17" s="575"/>
    </row>
    <row r="18" spans="1:69" ht="12.75" customHeight="1" x14ac:dyDescent="0.2">
      <c r="A18" s="613"/>
      <c r="B18" s="584" t="s">
        <v>316</v>
      </c>
      <c r="C18" s="646" t="e">
        <f>I18-M18</f>
        <v>#REF!</v>
      </c>
      <c r="D18" s="647" t="e">
        <f>IF(OR((C18/M18)&gt;3,(C18/M18)&lt;-3),"n.m.",(C18/M18))</f>
        <v>#REF!</v>
      </c>
      <c r="E18" s="624"/>
      <c r="F18" s="648"/>
      <c r="G18" s="648"/>
      <c r="H18" s="818"/>
      <c r="I18" s="819" t="e">
        <f>+'5 Capital Markets Canada'!#REF!+'6 CG - US'!#REF!</f>
        <v>#REF!</v>
      </c>
      <c r="J18" s="648" t="e">
        <f>+'5 Capital Markets Canada'!#REF!+'6 CG - US'!#REF!</f>
        <v>#REF!</v>
      </c>
      <c r="K18" s="648" t="e">
        <f>+'5 Capital Markets Canada'!#REF!+'6 CG - US'!#REF!</f>
        <v>#REF!</v>
      </c>
      <c r="L18" s="818" t="e">
        <f>+'5 Capital Markets Canada'!#REF!+'6 CG - US'!#REF!</f>
        <v>#REF!</v>
      </c>
      <c r="M18" s="819" t="e">
        <f>+'5 Capital Markets Canada'!#REF!+'6 CG - US'!#REF!</f>
        <v>#REF!</v>
      </c>
      <c r="N18" s="648" t="e">
        <f>+'5 Capital Markets Canada'!#REF!+'6 CG - US'!#REF!</f>
        <v>#REF!</v>
      </c>
      <c r="O18" s="648" t="e">
        <f>+'5 Capital Markets Canada'!#REF!+'6 CG - US'!#REF!</f>
        <v>#REF!</v>
      </c>
      <c r="P18" s="818" t="e">
        <f>+'5 Capital Markets Canada'!#REF!+'6 CG - US'!#REF!</f>
        <v>#REF!</v>
      </c>
      <c r="Q18" s="819" t="e">
        <f>+'5 Capital Markets Canada'!#REF!+'6 CG - US'!#REF!</f>
        <v>#REF!</v>
      </c>
      <c r="R18" s="818" t="e">
        <f>+'5 Capital Markets Canada'!#REF!+'6 CG - US'!#REF!</f>
        <v>#REF!</v>
      </c>
      <c r="S18" s="818" t="e">
        <f>+'5 Capital Markets Canada'!#REF!+'6 CG - US'!#REF!</f>
        <v>#REF!</v>
      </c>
      <c r="T18" s="818">
        <v>5475</v>
      </c>
      <c r="U18" s="819">
        <v>3512</v>
      </c>
      <c r="V18" s="818">
        <v>6279</v>
      </c>
      <c r="W18" s="818">
        <v>3254</v>
      </c>
      <c r="X18" s="818">
        <v>3168</v>
      </c>
      <c r="Y18" s="819" t="e">
        <f>+'4 Canaccord Genuity '!#REF!-'7 UK &amp; Dubai'!#REF!-'6 CG - US'!#REF!-#REF!</f>
        <v>#REF!</v>
      </c>
      <c r="Z18" s="818">
        <v>-3740</v>
      </c>
      <c r="AA18" s="818">
        <v>598</v>
      </c>
      <c r="AB18" s="818">
        <v>1780</v>
      </c>
      <c r="AC18" s="782"/>
      <c r="AD18" s="773"/>
      <c r="AE18" s="773"/>
      <c r="AF18" s="773"/>
      <c r="AG18" s="782"/>
      <c r="AH18" s="773"/>
      <c r="AI18" s="773"/>
      <c r="AJ18" s="773"/>
      <c r="AK18" s="782"/>
      <c r="AL18" s="783"/>
      <c r="AM18" s="783"/>
      <c r="AN18" s="783"/>
      <c r="AO18" s="783"/>
      <c r="AP18" s="784"/>
      <c r="AQ18" s="782"/>
      <c r="AR18" s="782"/>
      <c r="AS18" s="782"/>
      <c r="AT18" s="800"/>
      <c r="AU18" s="818" t="e">
        <f>SUM(K18:M18)</f>
        <v>#REF!</v>
      </c>
      <c r="AV18" s="811" t="e">
        <f>SUM(O18:Q18)</f>
        <v>#REF!</v>
      </c>
      <c r="AW18" s="650" t="e">
        <f>AZ18-BA18</f>
        <v>#REF!</v>
      </c>
      <c r="AX18" s="647" t="e">
        <f t="shared" si="1"/>
        <v>#REF!</v>
      </c>
      <c r="AY18" s="619"/>
      <c r="AZ18" s="651" t="e">
        <f>+SUM(J18:M18)</f>
        <v>#REF!</v>
      </c>
      <c r="BA18" s="651" t="e">
        <f>+SUM(N18:Q18)</f>
        <v>#REF!</v>
      </c>
      <c r="BB18" s="651" t="e">
        <f>+'5 Capital Markets Canada'!#REF!+'6 CG - US'!#REF!</f>
        <v>#REF!</v>
      </c>
      <c r="BC18" s="651" t="e">
        <f>+'5 Capital Markets Canada'!#REF!+'6 CG - US'!#REF!</f>
        <v>#REF!</v>
      </c>
      <c r="BD18" s="650" t="e">
        <f>+'5 Capital Markets Canada'!#REF!+'6 CG - US'!#REF!</f>
        <v>#REF!</v>
      </c>
      <c r="BE18" s="652">
        <v>6489</v>
      </c>
      <c r="BF18" s="652">
        <v>3937</v>
      </c>
      <c r="BG18" s="652">
        <v>-253</v>
      </c>
      <c r="BH18" s="645"/>
      <c r="BI18" s="642"/>
      <c r="BJ18" s="642"/>
      <c r="BK18" s="642"/>
      <c r="BL18" s="594"/>
      <c r="BN18" s="575"/>
      <c r="BO18" s="575"/>
      <c r="BP18" s="575"/>
      <c r="BQ18" s="575"/>
    </row>
    <row r="19" spans="1:69" ht="12.75" customHeight="1" x14ac:dyDescent="0.2">
      <c r="A19" s="614"/>
      <c r="B19" s="107" t="s">
        <v>191</v>
      </c>
      <c r="C19" s="622" t="e">
        <f>I19-M19</f>
        <v>#REF!</v>
      </c>
      <c r="D19" s="623" t="e">
        <f>IF(OR((C19/M19)&gt;3,(C19/M19)&lt;-3),"n.m.",(C19/M19))</f>
        <v>#REF!</v>
      </c>
      <c r="E19" s="624"/>
      <c r="F19" s="628"/>
      <c r="G19" s="628"/>
      <c r="H19" s="773"/>
      <c r="I19" s="782" t="e">
        <f>+SUM(I17:I18)</f>
        <v>#REF!</v>
      </c>
      <c r="J19" s="628" t="e">
        <f t="shared" ref="J19:S19" si="2">+J17+J18</f>
        <v>#REF!</v>
      </c>
      <c r="K19" s="628" t="e">
        <f t="shared" si="2"/>
        <v>#REF!</v>
      </c>
      <c r="L19" s="773" t="e">
        <f t="shared" si="2"/>
        <v>#REF!</v>
      </c>
      <c r="M19" s="782" t="e">
        <f t="shared" si="2"/>
        <v>#REF!</v>
      </c>
      <c r="N19" s="628" t="e">
        <f t="shared" si="2"/>
        <v>#REF!</v>
      </c>
      <c r="O19" s="628" t="e">
        <f t="shared" si="2"/>
        <v>#REF!</v>
      </c>
      <c r="P19" s="773" t="e">
        <f t="shared" si="2"/>
        <v>#REF!</v>
      </c>
      <c r="Q19" s="782" t="e">
        <f t="shared" si="2"/>
        <v>#REF!</v>
      </c>
      <c r="R19" s="773" t="e">
        <f t="shared" si="2"/>
        <v>#REF!</v>
      </c>
      <c r="S19" s="773" t="e">
        <f t="shared" si="2"/>
        <v>#REF!</v>
      </c>
      <c r="T19" s="773">
        <f>SUM(T17:T18)</f>
        <v>19473</v>
      </c>
      <c r="U19" s="782">
        <v>17078</v>
      </c>
      <c r="V19" s="773">
        <v>36479</v>
      </c>
      <c r="W19" s="773">
        <v>26706</v>
      </c>
      <c r="X19" s="773">
        <v>20166</v>
      </c>
      <c r="Y19" s="782" t="e">
        <f>+Y17+Y18</f>
        <v>#REF!</v>
      </c>
      <c r="Z19" s="773">
        <v>39303</v>
      </c>
      <c r="AA19" s="773">
        <v>48182</v>
      </c>
      <c r="AB19" s="773">
        <v>22512</v>
      </c>
      <c r="AC19" s="782">
        <v>22508</v>
      </c>
      <c r="AD19" s="773">
        <v>16925</v>
      </c>
      <c r="AE19" s="773">
        <v>30817</v>
      </c>
      <c r="AF19" s="773">
        <v>14959</v>
      </c>
      <c r="AG19" s="782">
        <v>17215</v>
      </c>
      <c r="AH19" s="773">
        <v>12371</v>
      </c>
      <c r="AI19" s="773">
        <v>10291</v>
      </c>
      <c r="AJ19" s="773">
        <v>13228</v>
      </c>
      <c r="AK19" s="782">
        <v>19085</v>
      </c>
      <c r="AL19" s="783">
        <v>16510</v>
      </c>
      <c r="AM19" s="783">
        <v>57933</v>
      </c>
      <c r="AN19" s="783">
        <v>42205</v>
      </c>
      <c r="AO19" s="783">
        <v>76203</v>
      </c>
      <c r="AP19" s="784">
        <v>70783</v>
      </c>
      <c r="AQ19" s="782">
        <v>51546</v>
      </c>
      <c r="AR19" s="782">
        <v>45305</v>
      </c>
      <c r="AS19" s="782">
        <v>65948</v>
      </c>
      <c r="AT19" s="800"/>
      <c r="AU19" s="773" t="e">
        <f>SUM(AU17:AU18)</f>
        <v>#REF!</v>
      </c>
      <c r="AV19" s="783" t="e">
        <f>SUM(AV17:AV18)</f>
        <v>#REF!</v>
      </c>
      <c r="AW19" s="631" t="e">
        <f>AZ19-BA19</f>
        <v>#REF!</v>
      </c>
      <c r="AX19" s="623" t="e">
        <f t="shared" si="1"/>
        <v>#REF!</v>
      </c>
      <c r="AY19" s="619"/>
      <c r="AZ19" s="632" t="e">
        <f>+AZ17+AZ18</f>
        <v>#REF!</v>
      </c>
      <c r="BA19" s="632" t="e">
        <f>+BA17+BA18</f>
        <v>#REF!</v>
      </c>
      <c r="BB19" s="632" t="e">
        <f>+BB17+BB18</f>
        <v>#REF!</v>
      </c>
      <c r="BC19" s="632" t="e">
        <f>+BC17+BC18</f>
        <v>#REF!</v>
      </c>
      <c r="BD19" s="632" t="e">
        <f>+BD17+BD18</f>
        <v>#REF!</v>
      </c>
      <c r="BE19" s="632">
        <v>93133</v>
      </c>
      <c r="BF19" s="632">
        <v>67023</v>
      </c>
      <c r="BG19" s="632">
        <v>87981</v>
      </c>
      <c r="BH19" s="632">
        <v>98642</v>
      </c>
      <c r="BI19" s="642">
        <v>82259</v>
      </c>
      <c r="BJ19" s="642">
        <v>47759</v>
      </c>
      <c r="BK19" s="642">
        <v>120298</v>
      </c>
      <c r="BL19" s="594"/>
      <c r="BN19" s="575"/>
      <c r="BO19" s="575"/>
      <c r="BP19" s="575"/>
      <c r="BQ19" s="575"/>
    </row>
    <row r="20" spans="1:69" ht="12.75" customHeight="1" x14ac:dyDescent="0.2">
      <c r="A20" s="614"/>
      <c r="B20" s="616" t="s">
        <v>61</v>
      </c>
      <c r="C20" s="622" t="e">
        <f>I20-M20</f>
        <v>#REF!</v>
      </c>
      <c r="D20" s="623" t="e">
        <f>IF(OR((C20/M20)&gt;3,(C20/M20)&lt;-3),"n.m.",(C20/M20))</f>
        <v>#REF!</v>
      </c>
      <c r="E20" s="624"/>
      <c r="F20" s="628"/>
      <c r="G20" s="628"/>
      <c r="H20" s="773"/>
      <c r="I20" s="782" t="e">
        <f>+'5 Capital Markets Canada'!#REF!+'6 CG - US'!#REF!</f>
        <v>#REF!</v>
      </c>
      <c r="J20" s="628" t="e">
        <f>+'5 Capital Markets Canada'!#REF!+'6 CG - US'!#REF!</f>
        <v>#REF!</v>
      </c>
      <c r="K20" s="628" t="e">
        <f>+'5 Capital Markets Canada'!#REF!+'6 CG - US'!#REF!</f>
        <v>#REF!</v>
      </c>
      <c r="L20" s="773" t="e">
        <f>+'5 Capital Markets Canada'!#REF!+'6 CG - US'!#REF!</f>
        <v>#REF!</v>
      </c>
      <c r="M20" s="782" t="e">
        <f>+'5 Capital Markets Canada'!#REF!+'6 CG - US'!#REF!</f>
        <v>#REF!</v>
      </c>
      <c r="N20" s="628" t="e">
        <f>+'5 Capital Markets Canada'!#REF!+'6 CG - US'!#REF!</f>
        <v>#REF!</v>
      </c>
      <c r="O20" s="628" t="e">
        <f>+'5 Capital Markets Canada'!#REF!+'6 CG - US'!#REF!</f>
        <v>#REF!</v>
      </c>
      <c r="P20" s="773" t="e">
        <f>+'5 Capital Markets Canada'!#REF!+'6 CG - US'!#REF!</f>
        <v>#REF!</v>
      </c>
      <c r="Q20" s="782" t="e">
        <f>+'5 Capital Markets Canada'!#REF!+'6 CG - US'!#REF!</f>
        <v>#REF!</v>
      </c>
      <c r="R20" s="773" t="e">
        <f>+'5 Capital Markets Canada'!#REF!+'6 CG - US'!#REF!</f>
        <v>#REF!</v>
      </c>
      <c r="S20" s="773" t="e">
        <f>+'5 Capital Markets Canada'!#REF!+'6 CG - US'!#REF!</f>
        <v>#REF!</v>
      </c>
      <c r="T20" s="773">
        <v>2221</v>
      </c>
      <c r="U20" s="782">
        <v>1737</v>
      </c>
      <c r="V20" s="773">
        <v>1421</v>
      </c>
      <c r="W20" s="773">
        <v>1310</v>
      </c>
      <c r="X20" s="773">
        <v>867</v>
      </c>
      <c r="Y20" s="782" t="e">
        <f>+'4 Canaccord Genuity '!#REF!-'7 UK &amp; Dubai'!#REF!-'6 CG - US'!#REF!-#REF!</f>
        <v>#REF!</v>
      </c>
      <c r="Z20" s="773">
        <v>733</v>
      </c>
      <c r="AA20" s="773">
        <v>930</v>
      </c>
      <c r="AB20" s="773">
        <v>1056</v>
      </c>
      <c r="AC20" s="782">
        <v>1141</v>
      </c>
      <c r="AD20" s="773">
        <v>736</v>
      </c>
      <c r="AE20" s="773">
        <v>1106</v>
      </c>
      <c r="AF20" s="773">
        <v>445</v>
      </c>
      <c r="AG20" s="782">
        <v>469</v>
      </c>
      <c r="AH20" s="773">
        <v>514</v>
      </c>
      <c r="AI20" s="773">
        <v>535</v>
      </c>
      <c r="AJ20" s="773">
        <v>708</v>
      </c>
      <c r="AK20" s="782">
        <v>937</v>
      </c>
      <c r="AL20" s="783">
        <v>571</v>
      </c>
      <c r="AM20" s="783">
        <v>3275</v>
      </c>
      <c r="AN20" s="783">
        <v>3194</v>
      </c>
      <c r="AO20" s="783">
        <v>4019</v>
      </c>
      <c r="AP20" s="784">
        <v>2619</v>
      </c>
      <c r="AQ20" s="782">
        <v>3158</v>
      </c>
      <c r="AR20" s="782">
        <v>2228</v>
      </c>
      <c r="AS20" s="782">
        <v>3188</v>
      </c>
      <c r="AT20" s="800"/>
      <c r="AU20" s="773" t="e">
        <f>SUM(K20:M20)</f>
        <v>#REF!</v>
      </c>
      <c r="AV20" s="773" t="e">
        <f>SUM(O20:Q20)</f>
        <v>#REF!</v>
      </c>
      <c r="AW20" s="785" t="e">
        <f>AZ20-BA20</f>
        <v>#REF!</v>
      </c>
      <c r="AX20" s="623" t="e">
        <f t="shared" si="1"/>
        <v>#REF!</v>
      </c>
      <c r="AY20" s="786"/>
      <c r="AZ20" s="506" t="e">
        <f t="shared" ref="AZ20:AZ30" si="3">+SUM(J20:M20)</f>
        <v>#REF!</v>
      </c>
      <c r="BA20" s="506" t="e">
        <f t="shared" ref="BA20:BA31" si="4">+SUM(N20:Q20)</f>
        <v>#REF!</v>
      </c>
      <c r="BB20" s="506" t="e">
        <f>+'5 Capital Markets Canada'!#REF!+'6 CG - US'!#REF!</f>
        <v>#REF!</v>
      </c>
      <c r="BC20" s="506" t="e">
        <f>+'5 Capital Markets Canada'!#REF!+'6 CG - US'!#REF!</f>
        <v>#REF!</v>
      </c>
      <c r="BD20" s="506" t="e">
        <f>+'5 Capital Markets Canada'!#REF!+'6 CG - US'!#REF!</f>
        <v>#REF!</v>
      </c>
      <c r="BE20" s="506">
        <v>4482</v>
      </c>
      <c r="BF20" s="787">
        <v>4289</v>
      </c>
      <c r="BG20" s="632">
        <v>3159</v>
      </c>
      <c r="BH20" s="632">
        <v>1847</v>
      </c>
      <c r="BI20" s="642">
        <v>2414</v>
      </c>
      <c r="BJ20" s="642">
        <v>6699</v>
      </c>
      <c r="BK20" s="642">
        <v>12517</v>
      </c>
      <c r="BL20" s="575"/>
      <c r="BN20" s="575"/>
      <c r="BO20" s="575"/>
      <c r="BP20" s="575"/>
      <c r="BQ20" s="575"/>
    </row>
    <row r="21" spans="1:69" ht="12.75" hidden="1" customHeight="1" x14ac:dyDescent="0.2">
      <c r="A21" s="614"/>
      <c r="B21" s="584"/>
      <c r="C21" s="622"/>
      <c r="D21" s="623"/>
      <c r="E21" s="624"/>
      <c r="F21" s="653"/>
      <c r="G21" s="653"/>
      <c r="H21" s="783"/>
      <c r="I21" s="782"/>
      <c r="J21" s="653"/>
      <c r="K21" s="653"/>
      <c r="L21" s="783"/>
      <c r="M21" s="782"/>
      <c r="N21" s="653"/>
      <c r="O21" s="653"/>
      <c r="P21" s="783"/>
      <c r="Q21" s="782"/>
      <c r="R21" s="783"/>
      <c r="S21" s="783"/>
      <c r="T21" s="783"/>
      <c r="U21" s="782"/>
      <c r="V21" s="783"/>
      <c r="W21" s="783"/>
      <c r="X21" s="783"/>
      <c r="Y21" s="782"/>
      <c r="Z21" s="783"/>
      <c r="AA21" s="783"/>
      <c r="AB21" s="783"/>
      <c r="AC21" s="782"/>
      <c r="AD21" s="783"/>
      <c r="AE21" s="783"/>
      <c r="AF21" s="783"/>
      <c r="AG21" s="782"/>
      <c r="AH21" s="783"/>
      <c r="AI21" s="783"/>
      <c r="AJ21" s="783"/>
      <c r="AK21" s="782"/>
      <c r="AL21" s="779"/>
      <c r="AM21" s="779"/>
      <c r="AN21" s="779"/>
      <c r="AO21" s="788"/>
      <c r="AP21" s="787"/>
      <c r="AQ21" s="788"/>
      <c r="AR21" s="788"/>
      <c r="AS21" s="788"/>
      <c r="AT21" s="799"/>
      <c r="AU21" s="773"/>
      <c r="AV21" s="783"/>
      <c r="AW21" s="779"/>
      <c r="AX21" s="623" t="e">
        <f t="shared" si="1"/>
        <v>#DIV/0!</v>
      </c>
      <c r="AY21" s="790"/>
      <c r="AZ21" s="468">
        <f t="shared" si="3"/>
        <v>0</v>
      </c>
      <c r="BA21" s="468">
        <f t="shared" si="4"/>
        <v>0</v>
      </c>
      <c r="BB21" s="468"/>
      <c r="BC21" s="468"/>
      <c r="BD21" s="468"/>
      <c r="BE21" s="468"/>
      <c r="BF21" s="791"/>
      <c r="BG21" s="642"/>
      <c r="BH21" s="642"/>
      <c r="BI21" s="642"/>
      <c r="BJ21" s="642"/>
      <c r="BK21" s="642"/>
      <c r="BL21" s="575"/>
      <c r="BN21" s="575"/>
      <c r="BO21" s="575"/>
      <c r="BP21" s="575"/>
      <c r="BQ21" s="575"/>
    </row>
    <row r="22" spans="1:69" ht="12.75" customHeight="1" x14ac:dyDescent="0.2">
      <c r="A22" s="614"/>
      <c r="B22" s="616" t="s">
        <v>88</v>
      </c>
      <c r="C22" s="622" t="e">
        <f t="shared" ref="C22:C31" si="5">I22-M22</f>
        <v>#REF!</v>
      </c>
      <c r="D22" s="656" t="e">
        <f t="shared" ref="D22:D28" si="6">IF(OR((C22/M22)&gt;3,(C22/M22)&lt;-3),"n.m.",(C22/M22))</f>
        <v>#REF!</v>
      </c>
      <c r="E22" s="624"/>
      <c r="F22" s="628"/>
      <c r="G22" s="628"/>
      <c r="H22" s="773"/>
      <c r="I22" s="782" t="e">
        <f>+'5 Capital Markets Canada'!#REF!+'6 CG - US'!#REF!</f>
        <v>#REF!</v>
      </c>
      <c r="J22" s="628" t="e">
        <f>+'5 Capital Markets Canada'!#REF!+'6 CG - US'!#REF!</f>
        <v>#REF!</v>
      </c>
      <c r="K22" s="628" t="e">
        <f>+'5 Capital Markets Canada'!#REF!+'6 CG - US'!#REF!</f>
        <v>#REF!</v>
      </c>
      <c r="L22" s="773" t="e">
        <f>+'5 Capital Markets Canada'!#REF!+'6 CG - US'!#REF!</f>
        <v>#REF!</v>
      </c>
      <c r="M22" s="782" t="e">
        <f>+'5 Capital Markets Canada'!#REF!+'6 CG - US'!#REF!</f>
        <v>#REF!</v>
      </c>
      <c r="N22" s="628" t="e">
        <f>+'5 Capital Markets Canada'!#REF!+'6 CG - US'!#REF!</f>
        <v>#REF!</v>
      </c>
      <c r="O22" s="628" t="e">
        <f>+'5 Capital Markets Canada'!#REF!+'6 CG - US'!#REF!</f>
        <v>#REF!</v>
      </c>
      <c r="P22" s="773" t="e">
        <f>+'5 Capital Markets Canada'!#REF!+'6 CG - US'!#REF!</f>
        <v>#REF!</v>
      </c>
      <c r="Q22" s="782" t="e">
        <f>+'5 Capital Markets Canada'!#REF!+'6 CG - US'!#REF!</f>
        <v>#REF!</v>
      </c>
      <c r="R22" s="773" t="e">
        <f>+'5 Capital Markets Canada'!#REF!+'6 CG - US'!#REF!</f>
        <v>#REF!</v>
      </c>
      <c r="S22" s="773" t="e">
        <f>+'5 Capital Markets Canada'!#REF!+'6 CG - US'!#REF!</f>
        <v>#REF!</v>
      </c>
      <c r="T22" s="773">
        <v>2309</v>
      </c>
      <c r="U22" s="782">
        <v>2984</v>
      </c>
      <c r="V22" s="773">
        <v>2748</v>
      </c>
      <c r="W22" s="773">
        <v>3263</v>
      </c>
      <c r="X22" s="773">
        <v>3155</v>
      </c>
      <c r="Y22" s="782" t="e">
        <f>+'4 Canaccord Genuity '!#REF!-'7 UK &amp; Dubai'!#REF!-'6 CG - US'!#REF!-#REF!</f>
        <v>#REF!</v>
      </c>
      <c r="Z22" s="773">
        <v>2526</v>
      </c>
      <c r="AA22" s="773">
        <v>2575</v>
      </c>
      <c r="AB22" s="773">
        <v>2211</v>
      </c>
      <c r="AC22" s="782">
        <v>1863</v>
      </c>
      <c r="AD22" s="773">
        <v>1434</v>
      </c>
      <c r="AE22" s="773">
        <v>1589</v>
      </c>
      <c r="AF22" s="773">
        <v>1151</v>
      </c>
      <c r="AG22" s="782">
        <v>943</v>
      </c>
      <c r="AH22" s="773">
        <v>993</v>
      </c>
      <c r="AI22" s="773">
        <v>971</v>
      </c>
      <c r="AJ22" s="773">
        <v>891</v>
      </c>
      <c r="AK22" s="782">
        <v>781</v>
      </c>
      <c r="AL22" s="783">
        <v>689</v>
      </c>
      <c r="AM22" s="783">
        <v>4655</v>
      </c>
      <c r="AN22" s="783">
        <v>4906</v>
      </c>
      <c r="AO22" s="783">
        <v>4441</v>
      </c>
      <c r="AP22" s="784">
        <v>4178</v>
      </c>
      <c r="AQ22" s="782">
        <v>3700</v>
      </c>
      <c r="AR22" s="782">
        <v>3796</v>
      </c>
      <c r="AS22" s="782">
        <v>5308</v>
      </c>
      <c r="AT22" s="800"/>
      <c r="AU22" s="773" t="e">
        <f t="shared" ref="AU22:AU30" si="7">SUM(K22:M22)</f>
        <v>#REF!</v>
      </c>
      <c r="AV22" s="773" t="e">
        <f t="shared" ref="AV22:AV30" si="8">SUM(O22:Q22)</f>
        <v>#REF!</v>
      </c>
      <c r="AW22" s="785" t="e">
        <f t="shared" ref="AW22:AW31" si="9">AZ22-BA22</f>
        <v>#REF!</v>
      </c>
      <c r="AX22" s="623" t="e">
        <f t="shared" si="1"/>
        <v>#REF!</v>
      </c>
      <c r="AY22" s="786"/>
      <c r="AZ22" s="506" t="e">
        <f t="shared" si="3"/>
        <v>#REF!</v>
      </c>
      <c r="BA22" s="506" t="e">
        <f>+SUM(N22:Q22)</f>
        <v>#REF!</v>
      </c>
      <c r="BB22" s="506" t="e">
        <f>+'5 Capital Markets Canada'!#REF!+'6 CG - US'!#REF!</f>
        <v>#REF!</v>
      </c>
      <c r="BC22" s="506" t="e">
        <f>+'5 Capital Markets Canada'!#REF!+'6 CG - US'!#REF!</f>
        <v>#REF!</v>
      </c>
      <c r="BD22" s="506" t="e">
        <f>+'5 Capital Markets Canada'!#REF!+'6 CG - US'!#REF!</f>
        <v>#REF!</v>
      </c>
      <c r="BE22" s="506">
        <v>9367</v>
      </c>
      <c r="BF22" s="787">
        <v>7303</v>
      </c>
      <c r="BG22" s="632">
        <v>3032</v>
      </c>
      <c r="BH22" s="632">
        <v>2191</v>
      </c>
      <c r="BI22" s="642">
        <v>2896</v>
      </c>
      <c r="BJ22" s="642">
        <v>1887</v>
      </c>
      <c r="BK22" s="642">
        <v>3440</v>
      </c>
      <c r="BL22" s="575"/>
      <c r="BN22" s="575"/>
      <c r="BO22" s="575"/>
      <c r="BP22" s="575"/>
      <c r="BQ22" s="575"/>
    </row>
    <row r="23" spans="1:69" ht="12.75" customHeight="1" x14ac:dyDescent="0.2">
      <c r="A23" s="614"/>
      <c r="B23" s="616" t="s">
        <v>63</v>
      </c>
      <c r="C23" s="622" t="e">
        <f t="shared" si="5"/>
        <v>#REF!</v>
      </c>
      <c r="D23" s="656" t="e">
        <f t="shared" si="6"/>
        <v>#REF!</v>
      </c>
      <c r="E23" s="624"/>
      <c r="F23" s="628"/>
      <c r="G23" s="628"/>
      <c r="H23" s="773"/>
      <c r="I23" s="782" t="e">
        <f>+'5 Capital Markets Canada'!#REF!+'6 CG - US'!#REF!</f>
        <v>#REF!</v>
      </c>
      <c r="J23" s="628" t="e">
        <f>+'5 Capital Markets Canada'!#REF!+'6 CG - US'!#REF!</f>
        <v>#REF!</v>
      </c>
      <c r="K23" s="628" t="e">
        <f>+'5 Capital Markets Canada'!#REF!+'6 CG - US'!#REF!</f>
        <v>#REF!</v>
      </c>
      <c r="L23" s="773" t="e">
        <f>+'5 Capital Markets Canada'!#REF!+'6 CG - US'!#REF!</f>
        <v>#REF!</v>
      </c>
      <c r="M23" s="782" t="e">
        <f>+'5 Capital Markets Canada'!#REF!+'6 CG - US'!#REF!</f>
        <v>#REF!</v>
      </c>
      <c r="N23" s="628" t="e">
        <f>+'5 Capital Markets Canada'!#REF!+'6 CG - US'!#REF!</f>
        <v>#REF!</v>
      </c>
      <c r="O23" s="628" t="e">
        <f>+'5 Capital Markets Canada'!#REF!+'6 CG - US'!#REF!</f>
        <v>#REF!</v>
      </c>
      <c r="P23" s="773" t="e">
        <f>+'5 Capital Markets Canada'!#REF!+'6 CG - US'!#REF!</f>
        <v>#REF!</v>
      </c>
      <c r="Q23" s="782" t="e">
        <f>+'5 Capital Markets Canada'!#REF!+'6 CG - US'!#REF!</f>
        <v>#REF!</v>
      </c>
      <c r="R23" s="773" t="e">
        <f>+'5 Capital Markets Canada'!#REF!+'6 CG - US'!#REF!</f>
        <v>#REF!</v>
      </c>
      <c r="S23" s="773" t="e">
        <f>+'5 Capital Markets Canada'!#REF!+'6 CG - US'!#REF!</f>
        <v>#REF!</v>
      </c>
      <c r="T23" s="773">
        <v>1196</v>
      </c>
      <c r="U23" s="782">
        <v>1263</v>
      </c>
      <c r="V23" s="773">
        <v>1300</v>
      </c>
      <c r="W23" s="773">
        <v>1228</v>
      </c>
      <c r="X23" s="773">
        <v>1661</v>
      </c>
      <c r="Y23" s="782" t="e">
        <f>+'4 Canaccord Genuity '!#REF!-'7 UK &amp; Dubai'!#REF!-'6 CG - US'!#REF!-#REF!</f>
        <v>#REF!</v>
      </c>
      <c r="Z23" s="773">
        <v>1191</v>
      </c>
      <c r="AA23" s="773">
        <v>1338</v>
      </c>
      <c r="AB23" s="773">
        <v>855</v>
      </c>
      <c r="AC23" s="782">
        <v>549</v>
      </c>
      <c r="AD23" s="773">
        <v>661</v>
      </c>
      <c r="AE23" s="773">
        <v>671</v>
      </c>
      <c r="AF23" s="773">
        <v>645</v>
      </c>
      <c r="AG23" s="782">
        <v>595</v>
      </c>
      <c r="AH23" s="773">
        <v>667</v>
      </c>
      <c r="AI23" s="773">
        <v>676</v>
      </c>
      <c r="AJ23" s="773">
        <v>693</v>
      </c>
      <c r="AK23" s="782">
        <v>690</v>
      </c>
      <c r="AL23" s="783">
        <v>706</v>
      </c>
      <c r="AM23" s="783">
        <v>3011</v>
      </c>
      <c r="AN23" s="783">
        <v>2910</v>
      </c>
      <c r="AO23" s="783">
        <v>2613</v>
      </c>
      <c r="AP23" s="784">
        <v>5054</v>
      </c>
      <c r="AQ23" s="782">
        <v>3183</v>
      </c>
      <c r="AR23" s="782">
        <v>2884</v>
      </c>
      <c r="AS23" s="782">
        <v>3008</v>
      </c>
      <c r="AT23" s="800"/>
      <c r="AU23" s="773" t="e">
        <f t="shared" si="7"/>
        <v>#REF!</v>
      </c>
      <c r="AV23" s="773" t="e">
        <f t="shared" si="8"/>
        <v>#REF!</v>
      </c>
      <c r="AW23" s="785" t="e">
        <f t="shared" si="9"/>
        <v>#REF!</v>
      </c>
      <c r="AX23" s="623" t="e">
        <f t="shared" si="1"/>
        <v>#REF!</v>
      </c>
      <c r="AY23" s="786"/>
      <c r="AZ23" s="506" t="e">
        <f t="shared" si="3"/>
        <v>#REF!</v>
      </c>
      <c r="BA23" s="506" t="e">
        <f>+SUM(N23:Q23)</f>
        <v>#REF!</v>
      </c>
      <c r="BB23" s="506" t="e">
        <f>+'5 Capital Markets Canada'!#REF!+'6 CG - US'!#REF!</f>
        <v>#REF!</v>
      </c>
      <c r="BC23" s="506" t="e">
        <f>+'5 Capital Markets Canada'!#REF!+'6 CG - US'!#REF!</f>
        <v>#REF!</v>
      </c>
      <c r="BD23" s="506" t="e">
        <f>+'5 Capital Markets Canada'!#REF!+'6 CG - US'!#REF!</f>
        <v>#REF!</v>
      </c>
      <c r="BE23" s="506">
        <v>3014</v>
      </c>
      <c r="BF23" s="787">
        <v>3158</v>
      </c>
      <c r="BG23" s="632">
        <v>2856</v>
      </c>
      <c r="BH23" s="632">
        <v>3000</v>
      </c>
      <c r="BI23" s="642">
        <v>2293</v>
      </c>
      <c r="BJ23" s="642">
        <v>1365</v>
      </c>
      <c r="BK23" s="642">
        <v>4236</v>
      </c>
      <c r="BL23" s="575"/>
      <c r="BN23" s="575"/>
      <c r="BO23" s="575"/>
      <c r="BP23" s="575"/>
      <c r="BQ23" s="575"/>
    </row>
    <row r="24" spans="1:69" ht="12.75" customHeight="1" x14ac:dyDescent="0.2">
      <c r="A24" s="614"/>
      <c r="B24" s="616" t="s">
        <v>64</v>
      </c>
      <c r="C24" s="622" t="e">
        <f t="shared" si="5"/>
        <v>#REF!</v>
      </c>
      <c r="D24" s="656" t="e">
        <f t="shared" si="6"/>
        <v>#REF!</v>
      </c>
      <c r="E24" s="624"/>
      <c r="F24" s="628"/>
      <c r="G24" s="628"/>
      <c r="H24" s="773"/>
      <c r="I24" s="782" t="e">
        <f>+'5 Capital Markets Canada'!#REF!+'6 CG - US'!#REF!</f>
        <v>#REF!</v>
      </c>
      <c r="J24" s="628" t="e">
        <f>+'5 Capital Markets Canada'!#REF!+'6 CG - US'!#REF!</f>
        <v>#REF!</v>
      </c>
      <c r="K24" s="628" t="e">
        <f>+'5 Capital Markets Canada'!#REF!+'6 CG - US'!#REF!</f>
        <v>#REF!</v>
      </c>
      <c r="L24" s="773" t="e">
        <f>+'5 Capital Markets Canada'!#REF!+'6 CG - US'!#REF!</f>
        <v>#REF!</v>
      </c>
      <c r="M24" s="782" t="e">
        <f>+'5 Capital Markets Canada'!#REF!+'6 CG - US'!#REF!</f>
        <v>#REF!</v>
      </c>
      <c r="N24" s="628" t="e">
        <f>+'5 Capital Markets Canada'!#REF!+'6 CG - US'!#REF!</f>
        <v>#REF!</v>
      </c>
      <c r="O24" s="628" t="e">
        <f>+'5 Capital Markets Canada'!#REF!+'6 CG - US'!#REF!</f>
        <v>#REF!</v>
      </c>
      <c r="P24" s="773" t="e">
        <f>+'5 Capital Markets Canada'!#REF!+'6 CG - US'!#REF!</f>
        <v>#REF!</v>
      </c>
      <c r="Q24" s="782" t="e">
        <f>+'5 Capital Markets Canada'!#REF!+'6 CG - US'!#REF!</f>
        <v>#REF!</v>
      </c>
      <c r="R24" s="773" t="e">
        <f>+'5 Capital Markets Canada'!#REF!+'6 CG - US'!#REF!</f>
        <v>#REF!</v>
      </c>
      <c r="S24" s="773" t="e">
        <f>+'5 Capital Markets Canada'!#REF!+'6 CG - US'!#REF!</f>
        <v>#REF!</v>
      </c>
      <c r="T24" s="773">
        <v>1305</v>
      </c>
      <c r="U24" s="782">
        <v>1477</v>
      </c>
      <c r="V24" s="773">
        <v>2254</v>
      </c>
      <c r="W24" s="773">
        <v>1309</v>
      </c>
      <c r="X24" s="773">
        <v>1341</v>
      </c>
      <c r="Y24" s="782" t="e">
        <f>+'4 Canaccord Genuity '!#REF!-'7 UK &amp; Dubai'!#REF!-'6 CG - US'!#REF!-#REF!</f>
        <v>#REF!</v>
      </c>
      <c r="Z24" s="773">
        <v>977</v>
      </c>
      <c r="AA24" s="773">
        <v>993</v>
      </c>
      <c r="AB24" s="773">
        <v>1107</v>
      </c>
      <c r="AC24" s="782">
        <v>1004</v>
      </c>
      <c r="AD24" s="773">
        <v>587</v>
      </c>
      <c r="AE24" s="773">
        <v>610</v>
      </c>
      <c r="AF24" s="773">
        <v>573</v>
      </c>
      <c r="AG24" s="782">
        <v>706</v>
      </c>
      <c r="AH24" s="773">
        <v>894</v>
      </c>
      <c r="AI24" s="773">
        <v>1012</v>
      </c>
      <c r="AJ24" s="773">
        <v>1350</v>
      </c>
      <c r="AK24" s="782">
        <v>1224</v>
      </c>
      <c r="AL24" s="783">
        <v>1201</v>
      </c>
      <c r="AM24" s="783">
        <v>3063</v>
      </c>
      <c r="AN24" s="783">
        <v>2962</v>
      </c>
      <c r="AO24" s="783">
        <v>2879</v>
      </c>
      <c r="AP24" s="784">
        <v>2804</v>
      </c>
      <c r="AQ24" s="782">
        <v>2586</v>
      </c>
      <c r="AR24" s="782">
        <v>2530</v>
      </c>
      <c r="AS24" s="782">
        <v>2427</v>
      </c>
      <c r="AT24" s="800"/>
      <c r="AU24" s="773" t="e">
        <f t="shared" si="7"/>
        <v>#REF!</v>
      </c>
      <c r="AV24" s="773" t="e">
        <f t="shared" si="8"/>
        <v>#REF!</v>
      </c>
      <c r="AW24" s="785" t="e">
        <f t="shared" si="9"/>
        <v>#REF!</v>
      </c>
      <c r="AX24" s="623" t="e">
        <f t="shared" si="1"/>
        <v>#REF!</v>
      </c>
      <c r="AY24" s="786"/>
      <c r="AZ24" s="506" t="e">
        <f t="shared" si="3"/>
        <v>#REF!</v>
      </c>
      <c r="BA24" s="506" t="e">
        <f t="shared" si="4"/>
        <v>#REF!</v>
      </c>
      <c r="BB24" s="506" t="e">
        <f>+'5 Capital Markets Canada'!#REF!+'6 CG - US'!#REF!</f>
        <v>#REF!</v>
      </c>
      <c r="BC24" s="506" t="e">
        <f>+'5 Capital Markets Canada'!#REF!+'6 CG - US'!#REF!</f>
        <v>#REF!</v>
      </c>
      <c r="BD24" s="506" t="e">
        <f>+'5 Capital Markets Canada'!#REF!+'6 CG - US'!#REF!</f>
        <v>#REF!</v>
      </c>
      <c r="BE24" s="506">
        <v>3731</v>
      </c>
      <c r="BF24" s="787">
        <v>6466</v>
      </c>
      <c r="BG24" s="632">
        <v>4740</v>
      </c>
      <c r="BH24" s="632">
        <v>3930</v>
      </c>
      <c r="BI24" s="642">
        <v>2980</v>
      </c>
      <c r="BJ24" s="642">
        <v>2274</v>
      </c>
      <c r="BK24" s="642">
        <v>4205</v>
      </c>
      <c r="BL24" s="575"/>
      <c r="BN24" s="575"/>
      <c r="BO24" s="575"/>
      <c r="BP24" s="575"/>
      <c r="BQ24" s="575"/>
    </row>
    <row r="25" spans="1:69" ht="12.75" customHeight="1" x14ac:dyDescent="0.2">
      <c r="A25" s="614"/>
      <c r="B25" s="616" t="s">
        <v>59</v>
      </c>
      <c r="C25" s="622" t="e">
        <f t="shared" si="5"/>
        <v>#REF!</v>
      </c>
      <c r="D25" s="623" t="e">
        <f t="shared" si="6"/>
        <v>#REF!</v>
      </c>
      <c r="E25" s="624"/>
      <c r="F25" s="628"/>
      <c r="G25" s="628"/>
      <c r="H25" s="773"/>
      <c r="I25" s="782" t="e">
        <f>+'5 Capital Markets Canada'!#REF!+'6 CG - US'!#REF!</f>
        <v>#REF!</v>
      </c>
      <c r="J25" s="628" t="e">
        <f>+'5 Capital Markets Canada'!#REF!+'6 CG - US'!#REF!</f>
        <v>#REF!</v>
      </c>
      <c r="K25" s="628" t="e">
        <f>+'5 Capital Markets Canada'!#REF!+'6 CG - US'!#REF!</f>
        <v>#REF!</v>
      </c>
      <c r="L25" s="773" t="e">
        <f>+'5 Capital Markets Canada'!#REF!+'6 CG - US'!#REF!</f>
        <v>#REF!</v>
      </c>
      <c r="M25" s="782" t="e">
        <f>+'5 Capital Markets Canada'!#REF!+'6 CG - US'!#REF!</f>
        <v>#REF!</v>
      </c>
      <c r="N25" s="628" t="e">
        <f>+'5 Capital Markets Canada'!#REF!+'6 CG - US'!#REF!</f>
        <v>#REF!</v>
      </c>
      <c r="O25" s="628" t="e">
        <f>+'5 Capital Markets Canada'!#REF!+'6 CG - US'!#REF!</f>
        <v>#REF!</v>
      </c>
      <c r="P25" s="773" t="e">
        <f>+'5 Capital Markets Canada'!#REF!+'6 CG - US'!#REF!</f>
        <v>#REF!</v>
      </c>
      <c r="Q25" s="782" t="e">
        <f>+'5 Capital Markets Canada'!#REF!+'6 CG - US'!#REF!</f>
        <v>#REF!</v>
      </c>
      <c r="R25" s="773" t="e">
        <f>+'5 Capital Markets Canada'!#REF!+'6 CG - US'!#REF!</f>
        <v>#REF!</v>
      </c>
      <c r="S25" s="773" t="e">
        <f>+'5 Capital Markets Canada'!#REF!+'6 CG - US'!#REF!</f>
        <v>#REF!</v>
      </c>
      <c r="T25" s="773">
        <v>1441</v>
      </c>
      <c r="U25" s="782">
        <v>2552</v>
      </c>
      <c r="V25" s="773">
        <v>2405</v>
      </c>
      <c r="W25" s="773">
        <v>1861</v>
      </c>
      <c r="X25" s="773">
        <v>1440</v>
      </c>
      <c r="Y25" s="782" t="e">
        <f>+'4 Canaccord Genuity '!#REF!-'7 UK &amp; Dubai'!#REF!-'6 CG - US'!#REF!-#REF!</f>
        <v>#REF!</v>
      </c>
      <c r="Z25" s="773">
        <v>8</v>
      </c>
      <c r="AA25" s="773">
        <v>3</v>
      </c>
      <c r="AB25" s="773">
        <v>3</v>
      </c>
      <c r="AC25" s="782">
        <v>33</v>
      </c>
      <c r="AD25" s="773">
        <v>3</v>
      </c>
      <c r="AE25" s="773">
        <v>2</v>
      </c>
      <c r="AF25" s="773">
        <v>2</v>
      </c>
      <c r="AG25" s="782">
        <v>5</v>
      </c>
      <c r="AH25" s="773">
        <v>21</v>
      </c>
      <c r="AI25" s="773">
        <v>72</v>
      </c>
      <c r="AJ25" s="773">
        <v>94</v>
      </c>
      <c r="AK25" s="782">
        <v>126</v>
      </c>
      <c r="AL25" s="783">
        <v>153</v>
      </c>
      <c r="AM25" s="783">
        <v>738</v>
      </c>
      <c r="AN25" s="783">
        <v>353</v>
      </c>
      <c r="AO25" s="783">
        <v>594</v>
      </c>
      <c r="AP25" s="784">
        <v>617</v>
      </c>
      <c r="AQ25" s="782">
        <v>520</v>
      </c>
      <c r="AR25" s="782">
        <v>889</v>
      </c>
      <c r="AS25" s="782">
        <v>691</v>
      </c>
      <c r="AT25" s="800"/>
      <c r="AU25" s="773" t="e">
        <f t="shared" si="7"/>
        <v>#REF!</v>
      </c>
      <c r="AV25" s="773" t="e">
        <f t="shared" si="8"/>
        <v>#REF!</v>
      </c>
      <c r="AW25" s="785" t="e">
        <f t="shared" si="9"/>
        <v>#REF!</v>
      </c>
      <c r="AX25" s="623" t="e">
        <f t="shared" si="1"/>
        <v>#REF!</v>
      </c>
      <c r="AY25" s="786"/>
      <c r="AZ25" s="506" t="e">
        <f t="shared" si="3"/>
        <v>#REF!</v>
      </c>
      <c r="BA25" s="506" t="e">
        <f t="shared" si="4"/>
        <v>#REF!</v>
      </c>
      <c r="BB25" s="506" t="e">
        <f>+'5 Capital Markets Canada'!#REF!+'6 CG - US'!#REF!</f>
        <v>#REF!</v>
      </c>
      <c r="BC25" s="506" t="e">
        <f>+'5 Capital Markets Canada'!#REF!+'6 CG - US'!#REF!</f>
        <v>#REF!</v>
      </c>
      <c r="BD25" s="506" t="e">
        <f>+'5 Capital Markets Canada'!#REF!+'6 CG - US'!#REF!</f>
        <v>#REF!</v>
      </c>
      <c r="BE25" s="506">
        <v>435</v>
      </c>
      <c r="BF25" s="787">
        <v>949</v>
      </c>
      <c r="BG25" s="632">
        <v>602</v>
      </c>
      <c r="BH25" s="632">
        <v>551</v>
      </c>
      <c r="BI25" s="642">
        <v>175</v>
      </c>
      <c r="BJ25" s="642">
        <v>114</v>
      </c>
      <c r="BK25" s="642">
        <v>35</v>
      </c>
      <c r="BL25" s="575"/>
      <c r="BN25" s="575"/>
      <c r="BO25" s="575"/>
      <c r="BP25" s="575"/>
      <c r="BQ25" s="575"/>
    </row>
    <row r="26" spans="1:69" ht="12.75" customHeight="1" x14ac:dyDescent="0.2">
      <c r="A26" s="614"/>
      <c r="B26" s="616" t="s">
        <v>65</v>
      </c>
      <c r="C26" s="622" t="e">
        <f t="shared" si="5"/>
        <v>#REF!</v>
      </c>
      <c r="D26" s="656" t="e">
        <f t="shared" si="6"/>
        <v>#REF!</v>
      </c>
      <c r="E26" s="624"/>
      <c r="F26" s="628"/>
      <c r="G26" s="628"/>
      <c r="H26" s="773"/>
      <c r="I26" s="782" t="e">
        <f>+'5 Capital Markets Canada'!#REF!+'6 CG - US'!#REF!</f>
        <v>#REF!</v>
      </c>
      <c r="J26" s="628" t="e">
        <f>+'5 Capital Markets Canada'!#REF!+'6 CG - US'!#REF!</f>
        <v>#REF!</v>
      </c>
      <c r="K26" s="628" t="e">
        <f>+'5 Capital Markets Canada'!#REF!+'6 CG - US'!#REF!</f>
        <v>#REF!</v>
      </c>
      <c r="L26" s="773" t="e">
        <f>+'5 Capital Markets Canada'!#REF!+'6 CG - US'!#REF!</f>
        <v>#REF!</v>
      </c>
      <c r="M26" s="782" t="e">
        <f>+'5 Capital Markets Canada'!#REF!+'6 CG - US'!#REF!</f>
        <v>#REF!</v>
      </c>
      <c r="N26" s="628" t="e">
        <f>+'5 Capital Markets Canada'!#REF!+'6 CG - US'!#REF!</f>
        <v>#REF!</v>
      </c>
      <c r="O26" s="628" t="e">
        <f>+'5 Capital Markets Canada'!#REF!+'6 CG - US'!#REF!</f>
        <v>#REF!</v>
      </c>
      <c r="P26" s="773" t="e">
        <f>+'5 Capital Markets Canada'!#REF!+'6 CG - US'!#REF!</f>
        <v>#REF!</v>
      </c>
      <c r="Q26" s="782" t="e">
        <f>+'5 Capital Markets Canada'!#REF!+'6 CG - US'!#REF!</f>
        <v>#REF!</v>
      </c>
      <c r="R26" s="773" t="e">
        <f>+'5 Capital Markets Canada'!#REF!+'6 CG - US'!#REF!</f>
        <v>#REF!</v>
      </c>
      <c r="S26" s="773" t="e">
        <f>+'5 Capital Markets Canada'!#REF!+'6 CG - US'!#REF!</f>
        <v>#REF!</v>
      </c>
      <c r="T26" s="773">
        <v>4496</v>
      </c>
      <c r="U26" s="782">
        <v>3008</v>
      </c>
      <c r="V26" s="773">
        <v>3819</v>
      </c>
      <c r="W26" s="773">
        <v>2995</v>
      </c>
      <c r="X26" s="773">
        <v>5330</v>
      </c>
      <c r="Y26" s="782" t="e">
        <f>+'4 Canaccord Genuity '!#REF!-'7 UK &amp; Dubai'!#REF!-'6 CG - US'!#REF!-#REF!</f>
        <v>#REF!</v>
      </c>
      <c r="Z26" s="773">
        <v>3862</v>
      </c>
      <c r="AA26" s="773">
        <v>4390</v>
      </c>
      <c r="AB26" s="773">
        <v>3806</v>
      </c>
      <c r="AC26" s="782">
        <v>3275</v>
      </c>
      <c r="AD26" s="773">
        <v>1553</v>
      </c>
      <c r="AE26" s="773">
        <v>1777</v>
      </c>
      <c r="AF26" s="773">
        <v>1251</v>
      </c>
      <c r="AG26" s="782">
        <v>1408</v>
      </c>
      <c r="AH26" s="773">
        <v>-532</v>
      </c>
      <c r="AI26" s="773">
        <v>1655</v>
      </c>
      <c r="AJ26" s="773">
        <v>2880</v>
      </c>
      <c r="AK26" s="782">
        <v>4020</v>
      </c>
      <c r="AL26" s="783">
        <v>3405</v>
      </c>
      <c r="AM26" s="783">
        <v>8753</v>
      </c>
      <c r="AN26" s="783">
        <v>9885</v>
      </c>
      <c r="AO26" s="783">
        <v>10397</v>
      </c>
      <c r="AP26" s="784">
        <v>10292</v>
      </c>
      <c r="AQ26" s="782">
        <v>7376</v>
      </c>
      <c r="AR26" s="782">
        <v>8470</v>
      </c>
      <c r="AS26" s="782">
        <v>8715</v>
      </c>
      <c r="AT26" s="800"/>
      <c r="AU26" s="773" t="e">
        <f t="shared" si="7"/>
        <v>#REF!</v>
      </c>
      <c r="AV26" s="773" t="e">
        <f t="shared" si="8"/>
        <v>#REF!</v>
      </c>
      <c r="AW26" s="785" t="e">
        <f t="shared" si="9"/>
        <v>#REF!</v>
      </c>
      <c r="AX26" s="623" t="e">
        <f t="shared" si="1"/>
        <v>#REF!</v>
      </c>
      <c r="AY26" s="786"/>
      <c r="AZ26" s="506" t="e">
        <f t="shared" si="3"/>
        <v>#REF!</v>
      </c>
      <c r="BA26" s="506" t="e">
        <f t="shared" si="4"/>
        <v>#REF!</v>
      </c>
      <c r="BB26" s="506" t="e">
        <f>+'5 Capital Markets Canada'!#REF!+'6 CG - US'!#REF!</f>
        <v>#REF!</v>
      </c>
      <c r="BC26" s="506" t="e">
        <f>+'5 Capital Markets Canada'!#REF!+'6 CG - US'!#REF!</f>
        <v>#REF!</v>
      </c>
      <c r="BD26" s="506" t="e">
        <f>+'5 Capital Markets Canada'!#REF!+'6 CG - US'!#REF!</f>
        <v>#REF!</v>
      </c>
      <c r="BE26" s="506">
        <v>6369</v>
      </c>
      <c r="BF26" s="787">
        <v>9497</v>
      </c>
      <c r="BG26" s="632">
        <v>14790</v>
      </c>
      <c r="BH26" s="632">
        <v>12437</v>
      </c>
      <c r="BI26" s="642">
        <v>11037</v>
      </c>
      <c r="BJ26" s="642">
        <v>6277</v>
      </c>
      <c r="BK26" s="642">
        <v>7632</v>
      </c>
      <c r="BL26" s="575"/>
      <c r="BN26" s="575"/>
      <c r="BO26" s="575"/>
      <c r="BP26" s="575"/>
      <c r="BQ26" s="575"/>
    </row>
    <row r="27" spans="1:69" ht="12.75" customHeight="1" x14ac:dyDescent="0.2">
      <c r="A27" s="614"/>
      <c r="B27" s="616" t="s">
        <v>66</v>
      </c>
      <c r="C27" s="622" t="e">
        <f t="shared" si="5"/>
        <v>#REF!</v>
      </c>
      <c r="D27" s="656" t="e">
        <f t="shared" si="6"/>
        <v>#REF!</v>
      </c>
      <c r="E27" s="851"/>
      <c r="F27" s="628"/>
      <c r="G27" s="180"/>
      <c r="H27" s="773"/>
      <c r="I27" s="782" t="e">
        <f>+'5 Capital Markets Canada'!#REF!+'6 CG - US'!#REF!</f>
        <v>#REF!</v>
      </c>
      <c r="J27" s="628" t="e">
        <f>+'5 Capital Markets Canada'!#REF!+'6 CG - US'!#REF!</f>
        <v>#REF!</v>
      </c>
      <c r="K27" s="180" t="e">
        <f>+'5 Capital Markets Canada'!#REF!+'6 CG - US'!#REF!</f>
        <v>#REF!</v>
      </c>
      <c r="L27" s="773" t="e">
        <f>+'5 Capital Markets Canada'!#REF!+'6 CG - US'!#REF!</f>
        <v>#REF!</v>
      </c>
      <c r="M27" s="782" t="e">
        <f>+'5 Capital Markets Canada'!#REF!+'6 CG - US'!#REF!</f>
        <v>#REF!</v>
      </c>
      <c r="N27" s="628" t="e">
        <f>+'5 Capital Markets Canada'!#REF!+'6 CG - US'!#REF!</f>
        <v>#REF!</v>
      </c>
      <c r="O27" s="180" t="e">
        <f>+'5 Capital Markets Canada'!#REF!+'6 CG - US'!#REF!</f>
        <v>#REF!</v>
      </c>
      <c r="P27" s="773" t="e">
        <f>+'5 Capital Markets Canada'!#REF!+'6 CG - US'!#REF!</f>
        <v>#REF!</v>
      </c>
      <c r="Q27" s="782" t="e">
        <f>+'5 Capital Markets Canada'!#REF!+'6 CG - US'!#REF!</f>
        <v>#REF!</v>
      </c>
      <c r="R27" s="773" t="e">
        <f>+'5 Capital Markets Canada'!#REF!+'6 CG - US'!#REF!</f>
        <v>#REF!</v>
      </c>
      <c r="S27" s="773" t="e">
        <f>+'5 Capital Markets Canada'!#REF!+'6 CG - US'!#REF!</f>
        <v>#REF!</v>
      </c>
      <c r="T27" s="773">
        <v>1401</v>
      </c>
      <c r="U27" s="782">
        <v>1400</v>
      </c>
      <c r="V27" s="773">
        <v>1522</v>
      </c>
      <c r="W27" s="773">
        <v>1400</v>
      </c>
      <c r="X27" s="773">
        <v>1417</v>
      </c>
      <c r="Y27" s="782" t="e">
        <f>+'4 Canaccord Genuity '!#REF!-'7 UK &amp; Dubai'!#REF!-'6 CG - US'!#REF!-#REF!</f>
        <v>#REF!</v>
      </c>
      <c r="Z27" s="773">
        <v>1199</v>
      </c>
      <c r="AA27" s="773">
        <v>1232</v>
      </c>
      <c r="AB27" s="773">
        <v>2158</v>
      </c>
      <c r="AC27" s="782">
        <v>1735</v>
      </c>
      <c r="AD27" s="773">
        <v>186</v>
      </c>
      <c r="AE27" s="773">
        <v>183</v>
      </c>
      <c r="AF27" s="773">
        <v>182</v>
      </c>
      <c r="AG27" s="782">
        <v>189</v>
      </c>
      <c r="AH27" s="773">
        <v>228</v>
      </c>
      <c r="AI27" s="773">
        <v>732</v>
      </c>
      <c r="AJ27" s="773">
        <v>193</v>
      </c>
      <c r="AK27" s="782">
        <v>191</v>
      </c>
      <c r="AL27" s="783">
        <v>220</v>
      </c>
      <c r="AM27" s="783">
        <v>984</v>
      </c>
      <c r="AN27" s="783">
        <v>985</v>
      </c>
      <c r="AO27" s="783">
        <v>911</v>
      </c>
      <c r="AP27" s="784">
        <v>895</v>
      </c>
      <c r="AQ27" s="782">
        <v>785</v>
      </c>
      <c r="AR27" s="782">
        <v>1291</v>
      </c>
      <c r="AS27" s="782">
        <v>950</v>
      </c>
      <c r="AT27" s="800"/>
      <c r="AU27" s="773" t="e">
        <f t="shared" si="7"/>
        <v>#REF!</v>
      </c>
      <c r="AV27" s="773" t="e">
        <f t="shared" si="8"/>
        <v>#REF!</v>
      </c>
      <c r="AW27" s="785" t="e">
        <f t="shared" si="9"/>
        <v>#REF!</v>
      </c>
      <c r="AX27" s="623" t="e">
        <f t="shared" si="1"/>
        <v>#REF!</v>
      </c>
      <c r="AY27" s="786"/>
      <c r="AZ27" s="506" t="e">
        <f t="shared" si="3"/>
        <v>#REF!</v>
      </c>
      <c r="BA27" s="506" t="e">
        <f t="shared" si="4"/>
        <v>#REF!</v>
      </c>
      <c r="BB27" s="506" t="e">
        <f>+'5 Capital Markets Canada'!#REF!+'6 CG - US'!#REF!</f>
        <v>#REF!</v>
      </c>
      <c r="BC27" s="506" t="e">
        <f>+'5 Capital Markets Canada'!#REF!+'6 CG - US'!#REF!</f>
        <v>#REF!</v>
      </c>
      <c r="BD27" s="506" t="e">
        <f>+'5 Capital Markets Canada'!#REF!+'6 CG - US'!#REF!</f>
        <v>#REF!</v>
      </c>
      <c r="BE27" s="506">
        <v>907</v>
      </c>
      <c r="BF27" s="787">
        <v>1492</v>
      </c>
      <c r="BG27" s="632">
        <v>804</v>
      </c>
      <c r="BH27" s="632">
        <v>1063</v>
      </c>
      <c r="BI27" s="642">
        <v>893</v>
      </c>
      <c r="BJ27" s="642">
        <v>470</v>
      </c>
      <c r="BK27" s="642">
        <v>1291</v>
      </c>
      <c r="BL27" s="575"/>
      <c r="BN27" s="575"/>
      <c r="BO27" s="575"/>
      <c r="BP27" s="575"/>
      <c r="BQ27" s="575"/>
    </row>
    <row r="28" spans="1:69" ht="12.75" customHeight="1" x14ac:dyDescent="0.2">
      <c r="A28" s="584"/>
      <c r="B28" s="616" t="s">
        <v>67</v>
      </c>
      <c r="C28" s="622" t="e">
        <f t="shared" si="5"/>
        <v>#REF!</v>
      </c>
      <c r="D28" s="623" t="e">
        <f t="shared" si="6"/>
        <v>#REF!</v>
      </c>
      <c r="E28" s="624"/>
      <c r="F28" s="628"/>
      <c r="G28" s="180"/>
      <c r="H28" s="773"/>
      <c r="I28" s="782" t="e">
        <f>+'5 Capital Markets Canada'!#REF!+'6 CG - US'!#REF!</f>
        <v>#REF!</v>
      </c>
      <c r="J28" s="628" t="e">
        <f>+'5 Capital Markets Canada'!#REF!+'6 CG - US'!#REF!</f>
        <v>#REF!</v>
      </c>
      <c r="K28" s="180" t="e">
        <f>+'5 Capital Markets Canada'!#REF!+'6 CG - US'!#REF!</f>
        <v>#REF!</v>
      </c>
      <c r="L28" s="773" t="e">
        <f>+'5 Capital Markets Canada'!#REF!+'6 CG - US'!#REF!</f>
        <v>#REF!</v>
      </c>
      <c r="M28" s="782" t="e">
        <f>+'5 Capital Markets Canada'!#REF!+'6 CG - US'!#REF!</f>
        <v>#REF!</v>
      </c>
      <c r="N28" s="628" t="e">
        <f>+'5 Capital Markets Canada'!#REF!+'6 CG - US'!#REF!</f>
        <v>#REF!</v>
      </c>
      <c r="O28" s="180" t="e">
        <f>+'5 Capital Markets Canada'!#REF!+'6 CG - US'!#REF!</f>
        <v>#REF!</v>
      </c>
      <c r="P28" s="773" t="e">
        <f>+'5 Capital Markets Canada'!#REF!+'6 CG - US'!#REF!</f>
        <v>#REF!</v>
      </c>
      <c r="Q28" s="782" t="e">
        <f>+'5 Capital Markets Canada'!#REF!+'6 CG - US'!#REF!</f>
        <v>#REF!</v>
      </c>
      <c r="R28" s="773" t="e">
        <f>+'5 Capital Markets Canada'!#REF!+'6 CG - US'!#REF!</f>
        <v>#REF!</v>
      </c>
      <c r="S28" s="773" t="e">
        <f>+'5 Capital Markets Canada'!#REF!+'6 CG - US'!#REF!</f>
        <v>#REF!</v>
      </c>
      <c r="T28" s="773">
        <v>1037</v>
      </c>
      <c r="U28" s="782">
        <v>121</v>
      </c>
      <c r="V28" s="773">
        <v>34</v>
      </c>
      <c r="W28" s="773">
        <v>-103</v>
      </c>
      <c r="X28" s="773">
        <v>275</v>
      </c>
      <c r="Y28" s="782" t="e">
        <f>+'4 Canaccord Genuity '!#REF!-'7 UK &amp; Dubai'!#REF!-'6 CG - US'!#REF!-#REF!</f>
        <v>#REF!</v>
      </c>
      <c r="Z28" s="773">
        <v>472</v>
      </c>
      <c r="AA28" s="773">
        <v>550</v>
      </c>
      <c r="AB28" s="773">
        <v>709</v>
      </c>
      <c r="AC28" s="782">
        <v>1042</v>
      </c>
      <c r="AD28" s="773">
        <v>608</v>
      </c>
      <c r="AE28" s="773">
        <v>1167</v>
      </c>
      <c r="AF28" s="773">
        <v>272</v>
      </c>
      <c r="AG28" s="782">
        <v>657</v>
      </c>
      <c r="AH28" s="773">
        <v>605</v>
      </c>
      <c r="AI28" s="773">
        <v>643</v>
      </c>
      <c r="AJ28" s="773">
        <v>602</v>
      </c>
      <c r="AK28" s="782">
        <v>517</v>
      </c>
      <c r="AL28" s="783">
        <v>692</v>
      </c>
      <c r="AM28" s="783">
        <v>3936</v>
      </c>
      <c r="AN28" s="783">
        <v>5582</v>
      </c>
      <c r="AO28" s="783">
        <v>4292</v>
      </c>
      <c r="AP28" s="784">
        <v>3663</v>
      </c>
      <c r="AQ28" s="782">
        <v>2463</v>
      </c>
      <c r="AR28" s="782">
        <v>3310</v>
      </c>
      <c r="AS28" s="782">
        <v>1287</v>
      </c>
      <c r="AT28" s="800"/>
      <c r="AU28" s="773" t="e">
        <f t="shared" si="7"/>
        <v>#REF!</v>
      </c>
      <c r="AV28" s="773" t="e">
        <f t="shared" si="8"/>
        <v>#REF!</v>
      </c>
      <c r="AW28" s="785" t="e">
        <f t="shared" si="9"/>
        <v>#REF!</v>
      </c>
      <c r="AX28" s="623" t="e">
        <f t="shared" si="1"/>
        <v>#REF!</v>
      </c>
      <c r="AY28" s="786"/>
      <c r="AZ28" s="506" t="e">
        <f t="shared" si="3"/>
        <v>#REF!</v>
      </c>
      <c r="BA28" s="506" t="e">
        <f t="shared" si="4"/>
        <v>#REF!</v>
      </c>
      <c r="BB28" s="506" t="e">
        <f>+'5 Capital Markets Canada'!#REF!+'6 CG - US'!#REF!</f>
        <v>#REF!</v>
      </c>
      <c r="BC28" s="506" t="e">
        <f>+'5 Capital Markets Canada'!#REF!+'6 CG - US'!#REF!</f>
        <v>#REF!</v>
      </c>
      <c r="BD28" s="506" t="e">
        <f>+'5 Capital Markets Canada'!#REF!+'6 CG - US'!#REF!</f>
        <v>#REF!</v>
      </c>
      <c r="BE28" s="506">
        <v>3213</v>
      </c>
      <c r="BF28" s="787">
        <v>2422</v>
      </c>
      <c r="BG28" s="632">
        <v>2174</v>
      </c>
      <c r="BH28" s="632">
        <v>1510</v>
      </c>
      <c r="BI28" s="642">
        <v>538</v>
      </c>
      <c r="BJ28" s="642">
        <v>590</v>
      </c>
      <c r="BK28" s="642">
        <v>836</v>
      </c>
      <c r="BL28" s="575"/>
      <c r="BN28" s="575"/>
      <c r="BO28" s="575"/>
      <c r="BP28" s="575"/>
      <c r="BQ28" s="575"/>
    </row>
    <row r="29" spans="1:69" ht="12.75" customHeight="1" x14ac:dyDescent="0.2">
      <c r="A29" s="584"/>
      <c r="B29" s="584" t="s">
        <v>149</v>
      </c>
      <c r="C29" s="622" t="e">
        <f t="shared" si="5"/>
        <v>#REF!</v>
      </c>
      <c r="D29" s="623">
        <v>0</v>
      </c>
      <c r="E29" s="624"/>
      <c r="F29" s="180"/>
      <c r="G29" s="180"/>
      <c r="H29" s="523"/>
      <c r="I29" s="788" t="e">
        <f>+'5 Capital Markets Canada'!#REF!+'6 CG - US'!#REF!</f>
        <v>#REF!</v>
      </c>
      <c r="J29" s="180" t="e">
        <f>+'5 Capital Markets Canada'!#REF!+'6 CG - US'!#REF!</f>
        <v>#REF!</v>
      </c>
      <c r="K29" s="180" t="e">
        <f>+'5 Capital Markets Canada'!#REF!+'6 CG - US'!#REF!</f>
        <v>#REF!</v>
      </c>
      <c r="L29" s="523" t="e">
        <f>+'5 Capital Markets Canada'!#REF!+'6 CG - US'!#REF!</f>
        <v>#REF!</v>
      </c>
      <c r="M29" s="788" t="e">
        <f>+'5 Capital Markets Canada'!#REF!+'6 CG - US'!#REF!</f>
        <v>#REF!</v>
      </c>
      <c r="N29" s="180" t="e">
        <f>+'5 Capital Markets Canada'!#REF!+'6 CG - US'!#REF!</f>
        <v>#REF!</v>
      </c>
      <c r="O29" s="180" t="e">
        <f>+'5 Capital Markets Canada'!#REF!+'6 CG - US'!#REF!</f>
        <v>#REF!</v>
      </c>
      <c r="P29" s="523" t="e">
        <f>+'5 Capital Markets Canada'!#REF!+'6 CG - US'!#REF!</f>
        <v>#REF!</v>
      </c>
      <c r="Q29" s="788" t="e">
        <f>+'5 Capital Markets Canada'!#REF!+'6 CG - US'!#REF!</f>
        <v>#REF!</v>
      </c>
      <c r="R29" s="523" t="e">
        <f>+'5 Capital Markets Canada'!#REF!+'6 CG - US'!#REF!</f>
        <v>#REF!</v>
      </c>
      <c r="S29" s="523" t="e">
        <f>+'5 Capital Markets Canada'!#REF!+'6 CG - US'!#REF!</f>
        <v>#REF!</v>
      </c>
      <c r="T29" s="523">
        <v>575</v>
      </c>
      <c r="U29" s="788">
        <v>0</v>
      </c>
      <c r="V29" s="523">
        <v>6979</v>
      </c>
      <c r="W29" s="523">
        <v>884</v>
      </c>
      <c r="X29" s="779">
        <v>0</v>
      </c>
      <c r="Y29" s="788" t="e">
        <f>+'4 Canaccord Genuity '!#REF!-'7 UK &amp; Dubai'!#REF!-'6 CG - US'!#REF!-#REF!</f>
        <v>#REF!</v>
      </c>
      <c r="Z29" s="523">
        <v>0</v>
      </c>
      <c r="AA29" s="523">
        <v>0</v>
      </c>
      <c r="AB29" s="779">
        <v>0</v>
      </c>
      <c r="AC29" s="788">
        <v>0</v>
      </c>
      <c r="AD29" s="773">
        <v>0</v>
      </c>
      <c r="AE29" s="779">
        <v>0</v>
      </c>
      <c r="AF29" s="779">
        <v>0</v>
      </c>
      <c r="AG29" s="788">
        <v>0</v>
      </c>
      <c r="AH29" s="779">
        <v>22</v>
      </c>
      <c r="AI29" s="779">
        <v>5010</v>
      </c>
      <c r="AJ29" s="779">
        <v>0</v>
      </c>
      <c r="AK29" s="782">
        <v>0</v>
      </c>
      <c r="AL29" s="792">
        <v>0</v>
      </c>
      <c r="AM29" s="792">
        <v>0</v>
      </c>
      <c r="AN29" s="792">
        <v>0</v>
      </c>
      <c r="AO29" s="792">
        <v>0</v>
      </c>
      <c r="AP29" s="793">
        <v>0</v>
      </c>
      <c r="AQ29" s="794">
        <v>0</v>
      </c>
      <c r="AR29" s="794"/>
      <c r="AS29" s="794"/>
      <c r="AT29" s="793"/>
      <c r="AU29" s="773" t="e">
        <f t="shared" si="7"/>
        <v>#REF!</v>
      </c>
      <c r="AV29" s="779" t="e">
        <f t="shared" si="8"/>
        <v>#REF!</v>
      </c>
      <c r="AW29" s="785" t="e">
        <f t="shared" si="9"/>
        <v>#REF!</v>
      </c>
      <c r="AX29" s="623" t="e">
        <f t="shared" si="1"/>
        <v>#REF!</v>
      </c>
      <c r="AY29" s="795"/>
      <c r="AZ29" s="526" t="e">
        <f t="shared" si="3"/>
        <v>#REF!</v>
      </c>
      <c r="BA29" s="526" t="e">
        <f t="shared" si="4"/>
        <v>#REF!</v>
      </c>
      <c r="BB29" s="526" t="e">
        <f>+'5 Capital Markets Canada'!#REF!+'6 CG - US'!#REF!</f>
        <v>#REF!</v>
      </c>
      <c r="BC29" s="526" t="e">
        <f>+'5 Capital Markets Canada'!#REF!+'6 CG - US'!#REF!</f>
        <v>#REF!</v>
      </c>
      <c r="BD29" s="803" t="e">
        <f>+'5 Capital Markets Canada'!#REF!+'6 CG - US'!#REF!</f>
        <v>#REF!</v>
      </c>
      <c r="BE29" s="803">
        <v>0</v>
      </c>
      <c r="BF29" s="796">
        <v>4697</v>
      </c>
      <c r="BG29" s="660">
        <v>0</v>
      </c>
      <c r="BH29" s="660">
        <v>0</v>
      </c>
      <c r="BI29" s="661">
        <v>0</v>
      </c>
      <c r="BJ29" s="642">
        <v>0</v>
      </c>
      <c r="BK29" s="642">
        <v>0</v>
      </c>
      <c r="BL29" s="575"/>
      <c r="BN29" s="575"/>
      <c r="BO29" s="575"/>
      <c r="BP29" s="575"/>
      <c r="BQ29" s="575"/>
    </row>
    <row r="30" spans="1:69" ht="12.75" customHeight="1" x14ac:dyDescent="0.2">
      <c r="A30" s="584"/>
      <c r="B30" s="584" t="s">
        <v>169</v>
      </c>
      <c r="C30" s="622" t="e">
        <f t="shared" si="5"/>
        <v>#REF!</v>
      </c>
      <c r="D30" s="623">
        <v>0</v>
      </c>
      <c r="E30" s="624"/>
      <c r="F30" s="180"/>
      <c r="G30" s="180"/>
      <c r="H30" s="523"/>
      <c r="I30" s="788" t="e">
        <f>+'5 Capital Markets Canada'!#REF!+'6 CG - US'!#REF!</f>
        <v>#REF!</v>
      </c>
      <c r="J30" s="180" t="e">
        <f>+'5 Capital Markets Canada'!#REF!+'6 CG - US'!#REF!</f>
        <v>#REF!</v>
      </c>
      <c r="K30" s="180" t="e">
        <f>+'5 Capital Markets Canada'!#REF!+'6 CG - US'!#REF!</f>
        <v>#REF!</v>
      </c>
      <c r="L30" s="523" t="e">
        <f>+'5 Capital Markets Canada'!#REF!+'6 CG - US'!#REF!</f>
        <v>#REF!</v>
      </c>
      <c r="M30" s="788" t="e">
        <f>+'5 Capital Markets Canada'!#REF!+'6 CG - US'!#REF!</f>
        <v>#REF!</v>
      </c>
      <c r="N30" s="180" t="e">
        <f>+'5 Capital Markets Canada'!#REF!+'6 CG - US'!#REF!</f>
        <v>#REF!</v>
      </c>
      <c r="O30" s="180" t="e">
        <f>+'5 Capital Markets Canada'!#REF!+'6 CG - US'!#REF!</f>
        <v>#REF!</v>
      </c>
      <c r="P30" s="523" t="e">
        <f>+'5 Capital Markets Canada'!#REF!+'6 CG - US'!#REF!</f>
        <v>#REF!</v>
      </c>
      <c r="Q30" s="788" t="e">
        <f>+'5 Capital Markets Canada'!#REF!+'6 CG - US'!#REF!</f>
        <v>#REF!</v>
      </c>
      <c r="R30" s="523" t="e">
        <f>+'5 Capital Markets Canada'!#REF!+'6 CG - US'!#REF!</f>
        <v>#REF!</v>
      </c>
      <c r="S30" s="523" t="e">
        <f>+'5 Capital Markets Canada'!#REF!+'6 CG - US'!#REF!</f>
        <v>#REF!</v>
      </c>
      <c r="T30" s="523">
        <v>388</v>
      </c>
      <c r="U30" s="788">
        <v>0</v>
      </c>
      <c r="V30" s="523">
        <v>0</v>
      </c>
      <c r="W30" s="523">
        <v>2290</v>
      </c>
      <c r="X30" s="779">
        <v>1443</v>
      </c>
      <c r="Y30" s="788" t="e">
        <f>+'4 Canaccord Genuity '!#REF!-'7 UK &amp; Dubai'!#REF!-'6 CG - US'!#REF!</f>
        <v>#REF!</v>
      </c>
      <c r="Z30" s="523">
        <v>0</v>
      </c>
      <c r="AA30" s="523">
        <v>1750</v>
      </c>
      <c r="AB30" s="779">
        <v>0</v>
      </c>
      <c r="AC30" s="788">
        <v>10990</v>
      </c>
      <c r="AD30" s="773">
        <v>5000</v>
      </c>
      <c r="AE30" s="779">
        <v>0</v>
      </c>
      <c r="AF30" s="779">
        <v>0</v>
      </c>
      <c r="AG30" s="788">
        <v>0</v>
      </c>
      <c r="AH30" s="779">
        <v>0</v>
      </c>
      <c r="AI30" s="779">
        <v>0</v>
      </c>
      <c r="AJ30" s="779">
        <v>0</v>
      </c>
      <c r="AK30" s="782">
        <v>0</v>
      </c>
      <c r="AL30" s="792"/>
      <c r="AM30" s="792">
        <v>0</v>
      </c>
      <c r="AN30" s="792">
        <v>0</v>
      </c>
      <c r="AO30" s="792">
        <v>0</v>
      </c>
      <c r="AP30" s="793">
        <v>0</v>
      </c>
      <c r="AQ30" s="794">
        <v>0</v>
      </c>
      <c r="AR30" s="794">
        <v>0</v>
      </c>
      <c r="AS30" s="794">
        <v>0</v>
      </c>
      <c r="AT30" s="793"/>
      <c r="AU30" s="773" t="e">
        <f t="shared" si="7"/>
        <v>#REF!</v>
      </c>
      <c r="AV30" s="779" t="e">
        <f t="shared" si="8"/>
        <v>#REF!</v>
      </c>
      <c r="AW30" s="785" t="e">
        <f t="shared" si="9"/>
        <v>#REF!</v>
      </c>
      <c r="AX30" s="623">
        <v>0</v>
      </c>
      <c r="AY30" s="795"/>
      <c r="AZ30" s="803" t="e">
        <f t="shared" si="3"/>
        <v>#REF!</v>
      </c>
      <c r="BA30" s="803" t="e">
        <f t="shared" si="4"/>
        <v>#REF!</v>
      </c>
      <c r="BB30" s="526" t="e">
        <f>+'5 Capital Markets Canada'!#REF!+'6 CG - US'!#REF!</f>
        <v>#REF!</v>
      </c>
      <c r="BC30" s="526" t="e">
        <f>+'5 Capital Markets Canada'!#REF!+'6 CG - US'!#REF!</f>
        <v>#REF!</v>
      </c>
      <c r="BD30" s="526" t="e">
        <f>+'5 Capital Markets Canada'!#REF!+'6 CG - US'!#REF!</f>
        <v>#REF!</v>
      </c>
      <c r="BE30" s="526">
        <v>5000</v>
      </c>
      <c r="BF30" s="796">
        <v>0</v>
      </c>
      <c r="BG30" s="660">
        <v>0</v>
      </c>
      <c r="BH30" s="660">
        <v>0</v>
      </c>
      <c r="BI30" s="661">
        <v>0</v>
      </c>
      <c r="BJ30" s="642"/>
      <c r="BK30" s="642">
        <v>0</v>
      </c>
      <c r="BL30" s="575"/>
      <c r="BN30" s="575"/>
      <c r="BO30" s="575"/>
      <c r="BP30" s="575"/>
      <c r="BQ30" s="575"/>
    </row>
    <row r="31" spans="1:69" ht="12.75" hidden="1" customHeight="1" x14ac:dyDescent="0.2">
      <c r="A31" s="584"/>
      <c r="B31" s="664" t="s">
        <v>148</v>
      </c>
      <c r="C31" s="622">
        <f t="shared" si="5"/>
        <v>0</v>
      </c>
      <c r="D31" s="623">
        <v>0</v>
      </c>
      <c r="E31" s="624"/>
      <c r="F31" s="662"/>
      <c r="G31" s="662"/>
      <c r="H31" s="790"/>
      <c r="I31" s="797"/>
      <c r="J31" s="662"/>
      <c r="K31" s="662"/>
      <c r="L31" s="790"/>
      <c r="M31" s="797"/>
      <c r="N31" s="662"/>
      <c r="O31" s="662"/>
      <c r="P31" s="790"/>
      <c r="Q31" s="797"/>
      <c r="R31" s="790"/>
      <c r="S31" s="790"/>
      <c r="T31" s="790"/>
      <c r="U31" s="797"/>
      <c r="V31" s="790"/>
      <c r="W31" s="790"/>
      <c r="X31" s="790"/>
      <c r="Y31" s="797"/>
      <c r="Z31" s="790"/>
      <c r="AA31" s="790"/>
      <c r="AB31" s="790"/>
      <c r="AC31" s="797"/>
      <c r="AD31" s="790"/>
      <c r="AE31" s="790"/>
      <c r="AF31" s="790"/>
      <c r="AG31" s="797"/>
      <c r="AH31" s="790"/>
      <c r="AI31" s="790"/>
      <c r="AJ31" s="790"/>
      <c r="AK31" s="797"/>
      <c r="AL31" s="799"/>
      <c r="AM31" s="790">
        <v>0</v>
      </c>
      <c r="AN31" s="790">
        <v>0</v>
      </c>
      <c r="AO31" s="790">
        <v>0</v>
      </c>
      <c r="AP31" s="799">
        <v>0</v>
      </c>
      <c r="AQ31" s="797">
        <v>0</v>
      </c>
      <c r="AR31" s="797">
        <v>0</v>
      </c>
      <c r="AS31" s="797">
        <v>0</v>
      </c>
      <c r="AT31" s="800"/>
      <c r="AU31" s="773">
        <f>SUM(P31:Q31)</f>
        <v>0</v>
      </c>
      <c r="AV31" s="790">
        <f>SUM(W31:Y31)</f>
        <v>0</v>
      </c>
      <c r="AW31" s="802">
        <f t="shared" si="9"/>
        <v>0</v>
      </c>
      <c r="AX31" s="623" t="e">
        <f>IF(OR((AW31/BA31)&gt;3,(AW31/BA31)&lt;-3),"n.m.",(AW31/BA31))</f>
        <v>#DIV/0!</v>
      </c>
      <c r="AY31" s="786"/>
      <c r="AZ31" s="789"/>
      <c r="BA31" s="789">
        <f t="shared" si="4"/>
        <v>0</v>
      </c>
      <c r="BB31" s="789"/>
      <c r="BC31" s="789"/>
      <c r="BD31" s="789"/>
      <c r="BE31" s="789"/>
      <c r="BF31" s="789"/>
      <c r="BG31" s="663"/>
      <c r="BH31" s="663"/>
      <c r="BI31" s="642"/>
      <c r="BJ31" s="642"/>
      <c r="BK31" s="642">
        <v>0</v>
      </c>
      <c r="BL31" s="575"/>
      <c r="BN31" s="575"/>
      <c r="BO31" s="575"/>
      <c r="BP31" s="575"/>
      <c r="BQ31" s="575"/>
    </row>
    <row r="32" spans="1:69" ht="12.75" hidden="1" customHeight="1" x14ac:dyDescent="0.2">
      <c r="A32" s="584"/>
      <c r="B32" s="584" t="s">
        <v>147</v>
      </c>
      <c r="C32" s="622"/>
      <c r="D32" s="623"/>
      <c r="E32" s="624"/>
      <c r="F32" s="662"/>
      <c r="G32" s="662"/>
      <c r="H32" s="790"/>
      <c r="I32" s="797"/>
      <c r="J32" s="662"/>
      <c r="K32" s="662"/>
      <c r="L32" s="790"/>
      <c r="M32" s="797"/>
      <c r="N32" s="662"/>
      <c r="O32" s="662"/>
      <c r="P32" s="790"/>
      <c r="Q32" s="797"/>
      <c r="R32" s="790"/>
      <c r="S32" s="790"/>
      <c r="T32" s="790"/>
      <c r="U32" s="797"/>
      <c r="V32" s="790"/>
      <c r="W32" s="790">
        <v>0</v>
      </c>
      <c r="X32" s="790">
        <v>0</v>
      </c>
      <c r="Y32" s="797" t="e">
        <f>+'4 Canaccord Genuity '!#REF!-'6 CG - US'!#REF!</f>
        <v>#REF!</v>
      </c>
      <c r="Z32" s="790"/>
      <c r="AA32" s="790"/>
      <c r="AB32" s="790"/>
      <c r="AC32" s="797"/>
      <c r="AD32" s="790"/>
      <c r="AE32" s="790">
        <v>0</v>
      </c>
      <c r="AF32" s="790">
        <v>0</v>
      </c>
      <c r="AG32" s="797">
        <v>0</v>
      </c>
      <c r="AH32" s="790">
        <v>0</v>
      </c>
      <c r="AI32" s="790">
        <v>0</v>
      </c>
      <c r="AJ32" s="790">
        <v>0</v>
      </c>
      <c r="AK32" s="797">
        <v>0</v>
      </c>
      <c r="AL32" s="799">
        <v>0</v>
      </c>
      <c r="AM32" s="790">
        <v>0</v>
      </c>
      <c r="AN32" s="790">
        <v>0</v>
      </c>
      <c r="AO32" s="790">
        <v>0</v>
      </c>
      <c r="AP32" s="799">
        <v>0</v>
      </c>
      <c r="AQ32" s="797">
        <v>0</v>
      </c>
      <c r="AR32" s="797"/>
      <c r="AS32" s="797"/>
      <c r="AT32" s="800"/>
      <c r="AU32" s="773">
        <f>SUM(K32:M32)</f>
        <v>0</v>
      </c>
      <c r="AV32" s="790">
        <f>SUM(O32:Q32)</f>
        <v>0</v>
      </c>
      <c r="AW32" s="802"/>
      <c r="AX32" s="623"/>
      <c r="AY32" s="786"/>
      <c r="AZ32" s="803"/>
      <c r="BA32" s="803"/>
      <c r="BB32" s="803"/>
      <c r="BC32" s="803"/>
      <c r="BD32" s="803"/>
      <c r="BE32" s="803"/>
      <c r="BF32" s="789">
        <v>3958</v>
      </c>
      <c r="BG32" s="663">
        <v>0</v>
      </c>
      <c r="BH32" s="663">
        <v>0</v>
      </c>
      <c r="BI32" s="663">
        <v>0</v>
      </c>
      <c r="BJ32" s="663">
        <v>0</v>
      </c>
      <c r="BK32" s="663">
        <v>0</v>
      </c>
      <c r="BL32" s="575"/>
      <c r="BN32" s="575"/>
      <c r="BO32" s="575"/>
      <c r="BP32" s="575"/>
      <c r="BQ32" s="575"/>
    </row>
    <row r="33" spans="1:69" ht="12.75" hidden="1" customHeight="1" x14ac:dyDescent="0.2">
      <c r="A33" s="614"/>
      <c r="B33" s="584"/>
      <c r="C33" s="622"/>
      <c r="D33" s="623"/>
      <c r="E33" s="624"/>
      <c r="F33" s="654"/>
      <c r="G33" s="180"/>
      <c r="H33" s="551"/>
      <c r="I33" s="548"/>
      <c r="J33" s="654"/>
      <c r="K33" s="180"/>
      <c r="L33" s="551"/>
      <c r="M33" s="548"/>
      <c r="N33" s="654"/>
      <c r="O33" s="180"/>
      <c r="P33" s="551"/>
      <c r="Q33" s="548"/>
      <c r="R33" s="779"/>
      <c r="S33" s="523"/>
      <c r="T33" s="551"/>
      <c r="U33" s="548"/>
      <c r="V33" s="779"/>
      <c r="W33" s="551"/>
      <c r="X33" s="551"/>
      <c r="Y33" s="548"/>
      <c r="Z33" s="779"/>
      <c r="AA33" s="551"/>
      <c r="AB33" s="551"/>
      <c r="AC33" s="548"/>
      <c r="AD33" s="779"/>
      <c r="AE33" s="804"/>
      <c r="AF33" s="804"/>
      <c r="AG33" s="805"/>
      <c r="AH33" s="773"/>
      <c r="AI33" s="773"/>
      <c r="AJ33" s="804"/>
      <c r="AK33" s="805"/>
      <c r="AL33" s="806"/>
      <c r="AM33" s="790"/>
      <c r="AN33" s="790"/>
      <c r="AO33" s="790"/>
      <c r="AP33" s="799"/>
      <c r="AQ33" s="797"/>
      <c r="AR33" s="782"/>
      <c r="AS33" s="782"/>
      <c r="AT33" s="800"/>
      <c r="AU33" s="773"/>
      <c r="AV33" s="551"/>
      <c r="AW33" s="785"/>
      <c r="AX33" s="623"/>
      <c r="AY33" s="786"/>
      <c r="AZ33" s="803"/>
      <c r="BA33" s="803"/>
      <c r="BB33" s="803"/>
      <c r="BC33" s="803"/>
      <c r="BD33" s="549"/>
      <c r="BE33" s="803"/>
      <c r="BF33" s="803"/>
      <c r="BG33" s="666"/>
      <c r="BH33" s="666"/>
      <c r="BI33" s="666"/>
      <c r="BJ33" s="642"/>
      <c r="BK33" s="642"/>
      <c r="BL33" s="575"/>
      <c r="BN33" s="575"/>
      <c r="BO33" s="575"/>
      <c r="BP33" s="575"/>
      <c r="BQ33" s="575"/>
    </row>
    <row r="34" spans="1:69" ht="12.75" customHeight="1" x14ac:dyDescent="0.2">
      <c r="A34" s="614"/>
      <c r="B34" s="584"/>
      <c r="C34" s="633" t="e">
        <f t="shared" ref="C34:C41" si="10">I34-M34</f>
        <v>#REF!</v>
      </c>
      <c r="D34" s="667" t="e">
        <f>IF(OR((C34/M34)&gt;3,(C34/M34)&lt;-3),"n.m.",(C34/M34))</f>
        <v>#REF!</v>
      </c>
      <c r="E34" s="624"/>
      <c r="F34" s="814"/>
      <c r="G34" s="814"/>
      <c r="H34" s="814"/>
      <c r="I34" s="817" t="e">
        <f t="shared" ref="I34:S34" si="11">SUM(I19:I33)</f>
        <v>#REF!</v>
      </c>
      <c r="J34" s="814" t="e">
        <f>SUM(J19:J33)</f>
        <v>#REF!</v>
      </c>
      <c r="K34" s="814" t="e">
        <f t="shared" si="11"/>
        <v>#REF!</v>
      </c>
      <c r="L34" s="814" t="e">
        <f t="shared" si="11"/>
        <v>#REF!</v>
      </c>
      <c r="M34" s="817" t="e">
        <f t="shared" si="11"/>
        <v>#REF!</v>
      </c>
      <c r="N34" s="814" t="e">
        <f t="shared" si="11"/>
        <v>#REF!</v>
      </c>
      <c r="O34" s="814" t="e">
        <f t="shared" si="11"/>
        <v>#REF!</v>
      </c>
      <c r="P34" s="814" t="e">
        <f t="shared" si="11"/>
        <v>#REF!</v>
      </c>
      <c r="Q34" s="817" t="e">
        <f t="shared" si="11"/>
        <v>#REF!</v>
      </c>
      <c r="R34" s="814" t="e">
        <f t="shared" si="11"/>
        <v>#REF!</v>
      </c>
      <c r="S34" s="814" t="e">
        <f t="shared" si="11"/>
        <v>#REF!</v>
      </c>
      <c r="T34" s="814">
        <f>SUM(T19:T32)</f>
        <v>35842</v>
      </c>
      <c r="U34" s="817">
        <f>SUM(U19:U32)</f>
        <v>31620</v>
      </c>
      <c r="V34" s="814">
        <v>58961</v>
      </c>
      <c r="W34" s="814">
        <v>43143</v>
      </c>
      <c r="X34" s="814">
        <v>37095</v>
      </c>
      <c r="Y34" s="817" t="e">
        <f>SUM(Y19:Y33)</f>
        <v>#REF!</v>
      </c>
      <c r="Z34" s="820">
        <f>SUM(Z19:Z33)</f>
        <v>50271</v>
      </c>
      <c r="AA34" s="820">
        <f>SUM(AA19:AA33)</f>
        <v>61943</v>
      </c>
      <c r="AB34" s="814">
        <f>SUM(AB19:AB33)</f>
        <v>34417</v>
      </c>
      <c r="AC34" s="817">
        <f>SUM(AC19:AC33)</f>
        <v>44140</v>
      </c>
      <c r="AD34" s="814">
        <v>27693</v>
      </c>
      <c r="AE34" s="820">
        <v>37922</v>
      </c>
      <c r="AF34" s="814">
        <v>19480</v>
      </c>
      <c r="AG34" s="817">
        <v>22187</v>
      </c>
      <c r="AH34" s="820">
        <f>SUM(AH19:AH33)</f>
        <v>15783</v>
      </c>
      <c r="AI34" s="820">
        <f>SUM(AI19:AI33)</f>
        <v>21597</v>
      </c>
      <c r="AJ34" s="820">
        <f>SUM(AJ19:AJ33)</f>
        <v>20639</v>
      </c>
      <c r="AK34" s="817">
        <f>SUM(AK19:AK33)</f>
        <v>27571</v>
      </c>
      <c r="AL34" s="820">
        <f>SUM(AL19:AL33)</f>
        <v>24147</v>
      </c>
      <c r="AM34" s="820">
        <v>87449</v>
      </c>
      <c r="AN34" s="813">
        <v>74128</v>
      </c>
      <c r="AO34" s="820">
        <v>106349</v>
      </c>
      <c r="AP34" s="821">
        <v>100905</v>
      </c>
      <c r="AQ34" s="817">
        <v>75317</v>
      </c>
      <c r="AR34" s="817">
        <v>70703</v>
      </c>
      <c r="AS34" s="820">
        <v>91522</v>
      </c>
      <c r="AT34" s="800"/>
      <c r="AU34" s="814" t="e">
        <f>SUM(AU19:AU33)</f>
        <v>#REF!</v>
      </c>
      <c r="AV34" s="814" t="e">
        <f>SUM(AV19:AV33)</f>
        <v>#REF!</v>
      </c>
      <c r="AW34" s="835" t="e">
        <f t="shared" ref="AW34:AW41" si="12">AZ34-BA34</f>
        <v>#REF!</v>
      </c>
      <c r="AX34" s="669" t="e">
        <f>IF(OR((AW34/BA34)&gt;3,(AW34/BA34)&lt;-3),"n.m.",(AW34/BA34))</f>
        <v>#REF!</v>
      </c>
      <c r="AY34" s="618"/>
      <c r="AZ34" s="670" t="e">
        <f>SUM(AZ19:AZ33)</f>
        <v>#REF!</v>
      </c>
      <c r="BA34" s="670" t="e">
        <f>SUM(BA19:BA33)</f>
        <v>#REF!</v>
      </c>
      <c r="BB34" s="670" t="e">
        <f>SUM(BB19:BB33)</f>
        <v>#REF!</v>
      </c>
      <c r="BC34" s="670" t="e">
        <f>SUM(BC19:BC33)</f>
        <v>#REF!</v>
      </c>
      <c r="BD34" s="670" t="e">
        <f>SUM(BD19:BD33)</f>
        <v>#REF!</v>
      </c>
      <c r="BE34" s="670">
        <v>129651</v>
      </c>
      <c r="BF34" s="670">
        <v>111254</v>
      </c>
      <c r="BG34" s="670">
        <f>SUM(BG19:BG33)</f>
        <v>120138</v>
      </c>
      <c r="BH34" s="670">
        <f>SUM(BH19:BH33)</f>
        <v>125171</v>
      </c>
      <c r="BI34" s="671">
        <f>SUM(BI19:BI33)</f>
        <v>105485</v>
      </c>
      <c r="BJ34" s="671">
        <f>SUM(BJ19:BJ33)</f>
        <v>67435</v>
      </c>
      <c r="BK34" s="637">
        <v>154490</v>
      </c>
      <c r="BL34" s="575"/>
      <c r="BN34" s="575"/>
      <c r="BO34" s="575"/>
      <c r="BP34" s="575"/>
      <c r="BQ34" s="575"/>
    </row>
    <row r="35" spans="1:69" s="675" customFormat="1" ht="24.95" customHeight="1" thickBot="1" x14ac:dyDescent="0.25">
      <c r="A35" s="2401" t="s">
        <v>168</v>
      </c>
      <c r="B35" s="2402"/>
      <c r="C35" s="633" t="e">
        <f t="shared" si="10"/>
        <v>#REF!</v>
      </c>
      <c r="D35" s="634" t="e">
        <f>IF(OR((C35/M35)&gt;3,(C35/M35)&lt;-3),"n.m.",(C35/M35))</f>
        <v>#REF!</v>
      </c>
      <c r="E35" s="624"/>
      <c r="F35" s="823"/>
      <c r="G35" s="823"/>
      <c r="H35" s="823"/>
      <c r="I35" s="822" t="e">
        <f t="shared" ref="I35:S35" si="13">I15-I34</f>
        <v>#REF!</v>
      </c>
      <c r="J35" s="823" t="e">
        <f t="shared" si="13"/>
        <v>#REF!</v>
      </c>
      <c r="K35" s="823" t="e">
        <f t="shared" si="13"/>
        <v>#REF!</v>
      </c>
      <c r="L35" s="823" t="e">
        <f t="shared" si="13"/>
        <v>#REF!</v>
      </c>
      <c r="M35" s="822" t="e">
        <f t="shared" si="13"/>
        <v>#REF!</v>
      </c>
      <c r="N35" s="823" t="e">
        <f t="shared" si="13"/>
        <v>#REF!</v>
      </c>
      <c r="O35" s="823" t="e">
        <f t="shared" si="13"/>
        <v>#REF!</v>
      </c>
      <c r="P35" s="823" t="e">
        <f t="shared" si="13"/>
        <v>#REF!</v>
      </c>
      <c r="Q35" s="822" t="e">
        <f t="shared" si="13"/>
        <v>#REF!</v>
      </c>
      <c r="R35" s="823" t="e">
        <f t="shared" si="13"/>
        <v>#REF!</v>
      </c>
      <c r="S35" s="823" t="e">
        <f t="shared" si="13"/>
        <v>#REF!</v>
      </c>
      <c r="T35" s="823">
        <v>-396</v>
      </c>
      <c r="U35" s="822">
        <v>4004</v>
      </c>
      <c r="V35" s="823">
        <v>12045</v>
      </c>
      <c r="W35" s="823">
        <v>13799</v>
      </c>
      <c r="X35" s="823">
        <v>5396</v>
      </c>
      <c r="Y35" s="822" t="e">
        <f t="shared" ref="Y35:AL35" si="14">Y15-Y34</f>
        <v>#REF!</v>
      </c>
      <c r="Z35" s="823">
        <f t="shared" si="14"/>
        <v>38361</v>
      </c>
      <c r="AA35" s="823">
        <f t="shared" si="14"/>
        <v>47461</v>
      </c>
      <c r="AB35" s="779">
        <f t="shared" si="14"/>
        <v>15492</v>
      </c>
      <c r="AC35" s="822">
        <f t="shared" si="14"/>
        <v>8917</v>
      </c>
      <c r="AD35" s="779">
        <f t="shared" si="14"/>
        <v>5113</v>
      </c>
      <c r="AE35" s="823">
        <f t="shared" si="14"/>
        <v>20118</v>
      </c>
      <c r="AF35" s="779">
        <f>AF15-AF34</f>
        <v>7834</v>
      </c>
      <c r="AG35" s="822">
        <f t="shared" si="14"/>
        <v>7867</v>
      </c>
      <c r="AH35" s="823">
        <f t="shared" si="14"/>
        <v>9250</v>
      </c>
      <c r="AI35" s="823">
        <f t="shared" si="14"/>
        <v>-8958</v>
      </c>
      <c r="AJ35" s="823">
        <f t="shared" si="14"/>
        <v>2822</v>
      </c>
      <c r="AK35" s="822">
        <f t="shared" si="14"/>
        <v>6781</v>
      </c>
      <c r="AL35" s="823">
        <f t="shared" si="14"/>
        <v>7797</v>
      </c>
      <c r="AM35" s="814">
        <v>22134</v>
      </c>
      <c r="AN35" s="813">
        <v>14943</v>
      </c>
      <c r="AO35" s="814">
        <v>48674</v>
      </c>
      <c r="AP35" s="814">
        <v>29246</v>
      </c>
      <c r="AQ35" s="814">
        <v>26110</v>
      </c>
      <c r="AR35" s="814">
        <v>22330</v>
      </c>
      <c r="AS35" s="814">
        <v>33584</v>
      </c>
      <c r="AT35" s="800"/>
      <c r="AU35" s="823" t="e">
        <f>AU15-AU34</f>
        <v>#REF!</v>
      </c>
      <c r="AV35" s="823" t="e">
        <f>AV15-AV34</f>
        <v>#REF!</v>
      </c>
      <c r="AW35" s="834" t="e">
        <f t="shared" si="12"/>
        <v>#REF!</v>
      </c>
      <c r="AX35" s="634" t="e">
        <f>IF(OR((AW35/BA35)&gt;3,(AW35/BA35)&lt;-3),"n.m.",(AW35/BA35))</f>
        <v>#REF!</v>
      </c>
      <c r="AY35" s="618"/>
      <c r="AZ35" s="636" t="e">
        <f>AZ15-AZ34</f>
        <v>#REF!</v>
      </c>
      <c r="BA35" s="636" t="e">
        <f>BA15-BA34</f>
        <v>#REF!</v>
      </c>
      <c r="BB35" s="636" t="e">
        <f>BB15-BB34</f>
        <v>#REF!</v>
      </c>
      <c r="BC35" s="636" t="e">
        <f>BC15-BC34</f>
        <v>#REF!</v>
      </c>
      <c r="BD35" s="636" t="e">
        <f>BD15-BD34</f>
        <v>#REF!</v>
      </c>
      <c r="BE35" s="636">
        <v>47930</v>
      </c>
      <c r="BF35" s="636">
        <v>11596</v>
      </c>
      <c r="BG35" s="672">
        <f>BG15-BG34</f>
        <v>56517</v>
      </c>
      <c r="BH35" s="672">
        <f>BH15-BH34</f>
        <v>62391</v>
      </c>
      <c r="BI35" s="637">
        <f>BI15-BI34</f>
        <v>44985</v>
      </c>
      <c r="BJ35" s="637">
        <f>BJ15-BJ34</f>
        <v>28124</v>
      </c>
      <c r="BK35" s="673">
        <v>57268</v>
      </c>
      <c r="BL35" s="674"/>
      <c r="BN35" s="674"/>
      <c r="BO35" s="674"/>
      <c r="BP35" s="674"/>
      <c r="BQ35" s="674"/>
    </row>
    <row r="36" spans="1:69" s="137" customFormat="1" ht="12.75" hidden="1" customHeight="1" outlineLevel="1" thickTop="1" x14ac:dyDescent="0.2">
      <c r="A36" s="543"/>
      <c r="B36" s="547" t="s">
        <v>303</v>
      </c>
      <c r="C36" s="312" t="e">
        <f t="shared" si="10"/>
        <v>#REF!</v>
      </c>
      <c r="D36" s="353" t="e">
        <f>IF(OR((C36/M36)&gt;3,(C36/M36)&lt;-3),"n.m.",(C36/M36))</f>
        <v>#REF!</v>
      </c>
      <c r="E36" s="497"/>
      <c r="F36" s="161"/>
      <c r="G36" s="500"/>
      <c r="H36" s="500"/>
      <c r="I36" s="501" t="e">
        <f>+'5 Capital Markets Canada'!#REF!+'6 CG - US'!#REF!</f>
        <v>#REF!</v>
      </c>
      <c r="J36" s="557" t="e">
        <f>'5 Capital Markets Canada'!#REF!+'6 CG - US'!#REF!</f>
        <v>#REF!</v>
      </c>
      <c r="K36" s="500">
        <v>3336</v>
      </c>
      <c r="L36" s="500">
        <v>3885</v>
      </c>
      <c r="M36" s="501">
        <v>3376</v>
      </c>
      <c r="N36" s="161">
        <f>3857+1110</f>
        <v>4967</v>
      </c>
      <c r="O36" s="161">
        <v>3970</v>
      </c>
      <c r="P36" s="500">
        <v>3306</v>
      </c>
      <c r="Q36" s="501">
        <v>3095</v>
      </c>
      <c r="R36" s="490">
        <v>2855</v>
      </c>
      <c r="S36" s="500">
        <v>3118</v>
      </c>
      <c r="T36" s="504">
        <v>3107</v>
      </c>
      <c r="U36" s="503">
        <v>3192</v>
      </c>
      <c r="V36" s="504">
        <v>3575</v>
      </c>
      <c r="W36" s="504">
        <v>3056</v>
      </c>
      <c r="X36" s="504">
        <v>3566</v>
      </c>
      <c r="Y36" s="501">
        <v>3326</v>
      </c>
      <c r="Z36" s="500"/>
      <c r="AA36" s="500"/>
      <c r="AB36" s="500"/>
      <c r="AC36" s="501"/>
      <c r="AD36" s="500"/>
      <c r="AE36" s="500"/>
      <c r="AF36" s="500"/>
      <c r="AG36" s="501"/>
      <c r="AH36" s="544"/>
      <c r="AI36" s="315"/>
      <c r="AJ36" s="315"/>
      <c r="AK36" s="316"/>
      <c r="AL36" s="315"/>
      <c r="AM36" s="500"/>
      <c r="AN36" s="501"/>
      <c r="AO36" s="500"/>
      <c r="AP36" s="500"/>
      <c r="AQ36" s="500"/>
      <c r="AR36" s="500"/>
      <c r="AS36" s="500"/>
      <c r="AT36" s="170"/>
      <c r="AU36" s="280">
        <f>+SUM(K36:M36)</f>
        <v>10597</v>
      </c>
      <c r="AV36" s="500">
        <f>U36+T36</f>
        <v>6299</v>
      </c>
      <c r="AW36" s="507" t="e">
        <f t="shared" si="12"/>
        <v>#REF!</v>
      </c>
      <c r="AX36" s="498" t="e">
        <f>IF(OR((AW36/BA36)&gt;3,(AW36/BA36)&lt;-3),"n.m.",(AW36/BA36))</f>
        <v>#REF!</v>
      </c>
      <c r="AY36" s="169"/>
      <c r="AZ36" s="833" t="e">
        <f>+'5 Capital Markets Canada'!#REF!+'6 CG - US'!Y32</f>
        <v>#REF!</v>
      </c>
      <c r="BA36" s="558">
        <f>+SUM(N36:Q36)</f>
        <v>15338</v>
      </c>
      <c r="BB36" s="506"/>
      <c r="BC36" s="506"/>
      <c r="BD36" s="506"/>
      <c r="BE36" s="506">
        <v>9597</v>
      </c>
      <c r="BF36" s="316" t="s">
        <v>166</v>
      </c>
      <c r="BG36" s="539"/>
      <c r="BH36" s="539"/>
      <c r="BI36" s="540"/>
      <c r="BJ36" s="540"/>
      <c r="BK36" s="180"/>
      <c r="BL36" s="328"/>
      <c r="BM36" s="328"/>
      <c r="BN36" s="328"/>
      <c r="BO36" s="328"/>
    </row>
    <row r="37" spans="1:69" s="137" customFormat="1" ht="12.75" hidden="1" customHeight="1" outlineLevel="1" x14ac:dyDescent="0.2">
      <c r="A37" s="543"/>
      <c r="B37" s="547" t="s">
        <v>304</v>
      </c>
      <c r="C37" s="459" t="e">
        <f t="shared" si="10"/>
        <v>#REF!</v>
      </c>
      <c r="D37" s="498" t="s">
        <v>38</v>
      </c>
      <c r="E37" s="497"/>
      <c r="F37" s="500"/>
      <c r="G37" s="504"/>
      <c r="H37" s="504"/>
      <c r="I37" s="503" t="e">
        <f>+'5 Capital Markets Canada'!#REF!</f>
        <v>#REF!</v>
      </c>
      <c r="J37" s="504" t="e">
        <f>'5 Capital Markets Canada'!#REF!</f>
        <v>#REF!</v>
      </c>
      <c r="K37" s="504">
        <v>-765</v>
      </c>
      <c r="L37" s="504">
        <v>-479</v>
      </c>
      <c r="M37" s="503">
        <v>-660</v>
      </c>
      <c r="N37" s="504">
        <f>-540-784</f>
        <v>-1324</v>
      </c>
      <c r="O37" s="504">
        <v>-653</v>
      </c>
      <c r="P37" s="504">
        <v>-984</v>
      </c>
      <c r="Q37" s="503">
        <v>-123</v>
      </c>
      <c r="R37" s="523">
        <v>0</v>
      </c>
      <c r="S37" s="523">
        <v>0</v>
      </c>
      <c r="T37" s="523">
        <v>0</v>
      </c>
      <c r="U37" s="524">
        <v>0</v>
      </c>
      <c r="V37" s="523">
        <v>0</v>
      </c>
      <c r="W37" s="523">
        <v>0</v>
      </c>
      <c r="X37" s="523">
        <v>0</v>
      </c>
      <c r="Y37" s="524">
        <v>0</v>
      </c>
      <c r="Z37" s="523"/>
      <c r="AA37" s="500"/>
      <c r="AB37" s="500"/>
      <c r="AC37" s="501"/>
      <c r="AD37" s="500"/>
      <c r="AE37" s="500"/>
      <c r="AF37" s="500"/>
      <c r="AG37" s="501"/>
      <c r="AH37" s="315"/>
      <c r="AI37" s="315"/>
      <c r="AJ37" s="315"/>
      <c r="AK37" s="316"/>
      <c r="AL37" s="315"/>
      <c r="AM37" s="500"/>
      <c r="AN37" s="501"/>
      <c r="AO37" s="500"/>
      <c r="AP37" s="500"/>
      <c r="AQ37" s="500"/>
      <c r="AR37" s="500"/>
      <c r="AS37" s="500"/>
      <c r="AT37" s="170"/>
      <c r="AU37" s="280">
        <f>+SUM(K37:M37)</f>
        <v>-1904</v>
      </c>
      <c r="AV37" s="363">
        <f>U37+T37</f>
        <v>0</v>
      </c>
      <c r="AW37" s="507" t="e">
        <f t="shared" si="12"/>
        <v>#REF!</v>
      </c>
      <c r="AX37" s="498" t="s">
        <v>38</v>
      </c>
      <c r="AY37" s="131"/>
      <c r="AZ37" s="346" t="e">
        <f>+'5 Capital Markets Canada'!#REF!</f>
        <v>#REF!</v>
      </c>
      <c r="BA37" s="506">
        <f>+SUM(N37:Q37)</f>
        <v>-3084</v>
      </c>
      <c r="BB37" s="506"/>
      <c r="BC37" s="506"/>
      <c r="BD37" s="506"/>
      <c r="BE37" s="506">
        <v>0</v>
      </c>
      <c r="BF37" s="316" t="s">
        <v>166</v>
      </c>
      <c r="BG37" s="316"/>
      <c r="BH37" s="316"/>
      <c r="BI37" s="330"/>
      <c r="BJ37" s="330"/>
      <c r="BK37" s="180"/>
      <c r="BL37" s="328"/>
      <c r="BM37" s="328"/>
      <c r="BN37" s="328"/>
      <c r="BO37" s="328"/>
    </row>
    <row r="38" spans="1:69" s="137" customFormat="1" ht="12.75" hidden="1" customHeight="1" outlineLevel="1" x14ac:dyDescent="0.2">
      <c r="A38" s="543"/>
      <c r="B38" s="547" t="s">
        <v>305</v>
      </c>
      <c r="C38" s="459" t="e">
        <f t="shared" si="10"/>
        <v>#REF!</v>
      </c>
      <c r="D38" s="353" t="e">
        <f>-IF(OR((C38/M38)&gt;3,(C38/M38)&lt;-3),"n.m.",(C38/M38))</f>
        <v>#REF!</v>
      </c>
      <c r="E38" s="497"/>
      <c r="F38" s="500"/>
      <c r="G38" s="504"/>
      <c r="H38" s="504"/>
      <c r="I38" s="503" t="e">
        <f>+'5 Capital Markets Canada'!#REF!</f>
        <v>#REF!</v>
      </c>
      <c r="J38" s="504" t="e">
        <f>'5 Capital Markets Canada'!#REF!</f>
        <v>#REF!</v>
      </c>
      <c r="K38" s="504">
        <v>-588</v>
      </c>
      <c r="L38" s="504">
        <v>-561</v>
      </c>
      <c r="M38" s="503">
        <v>-550</v>
      </c>
      <c r="N38" s="504">
        <v>-613</v>
      </c>
      <c r="O38" s="504">
        <v>-561</v>
      </c>
      <c r="P38" s="504">
        <v>-550</v>
      </c>
      <c r="Q38" s="503">
        <v>-611</v>
      </c>
      <c r="R38" s="346">
        <v>-1374</v>
      </c>
      <c r="S38" s="504">
        <v>-1280</v>
      </c>
      <c r="T38" s="504">
        <v>-1398</v>
      </c>
      <c r="U38" s="503">
        <v>-1138</v>
      </c>
      <c r="V38" s="504">
        <v>-1366</v>
      </c>
      <c r="W38" s="504">
        <v>-1279</v>
      </c>
      <c r="X38" s="504">
        <v>-1344</v>
      </c>
      <c r="Y38" s="501">
        <v>-1206</v>
      </c>
      <c r="Z38" s="500"/>
      <c r="AA38" s="500"/>
      <c r="AB38" s="500"/>
      <c r="AC38" s="501"/>
      <c r="AD38" s="500"/>
      <c r="AE38" s="500"/>
      <c r="AF38" s="500"/>
      <c r="AG38" s="501"/>
      <c r="AH38" s="544"/>
      <c r="AI38" s="315"/>
      <c r="AJ38" s="315"/>
      <c r="AK38" s="316"/>
      <c r="AL38" s="315"/>
      <c r="AM38" s="500"/>
      <c r="AN38" s="501"/>
      <c r="AO38" s="500"/>
      <c r="AP38" s="500"/>
      <c r="AQ38" s="500"/>
      <c r="AR38" s="500"/>
      <c r="AS38" s="500"/>
      <c r="AT38" s="170"/>
      <c r="AU38" s="280">
        <f>+SUM(K38:M38)</f>
        <v>-1699</v>
      </c>
      <c r="AV38" s="504">
        <f>U38+T38</f>
        <v>-2536</v>
      </c>
      <c r="AW38" s="507" t="e">
        <f t="shared" si="12"/>
        <v>#REF!</v>
      </c>
      <c r="AX38" s="498" t="e">
        <f>IF(OR((AW38/BA38)&gt;3,(AW38/BA38)&lt;-3),"n.m.",(AW38/BA38))</f>
        <v>#REF!</v>
      </c>
      <c r="AY38" s="169"/>
      <c r="AZ38" s="346" t="e">
        <f>+'5 Capital Markets Canada'!#REF!</f>
        <v>#REF!</v>
      </c>
      <c r="BA38" s="506">
        <f>+SUM(N38:Q38)</f>
        <v>-2335</v>
      </c>
      <c r="BB38" s="506"/>
      <c r="BC38" s="506"/>
      <c r="BD38" s="506"/>
      <c r="BE38" s="506">
        <v>-3141</v>
      </c>
      <c r="BF38" s="316" t="s">
        <v>166</v>
      </c>
      <c r="BG38" s="316"/>
      <c r="BH38" s="316"/>
      <c r="BI38" s="330"/>
      <c r="BJ38" s="330"/>
      <c r="BK38" s="180"/>
      <c r="BL38" s="328"/>
      <c r="BM38" s="328"/>
      <c r="BN38" s="328"/>
      <c r="BO38" s="328"/>
    </row>
    <row r="39" spans="1:69" s="137" customFormat="1" ht="12.75" hidden="1" customHeight="1" outlineLevel="1" x14ac:dyDescent="0.2">
      <c r="A39" s="543"/>
      <c r="B39" s="547" t="s">
        <v>306</v>
      </c>
      <c r="C39" s="267" t="e">
        <f t="shared" si="10"/>
        <v>#REF!</v>
      </c>
      <c r="D39" s="810">
        <v>0</v>
      </c>
      <c r="E39" s="497"/>
      <c r="F39" s="840"/>
      <c r="G39" s="841"/>
      <c r="H39" s="841"/>
      <c r="I39" s="842" t="e">
        <f>+'5 Capital Markets Canada'!#REF!</f>
        <v>#REF!</v>
      </c>
      <c r="J39" s="840"/>
      <c r="K39" s="841">
        <v>0</v>
      </c>
      <c r="L39" s="841">
        <v>0</v>
      </c>
      <c r="M39" s="842">
        <v>0</v>
      </c>
      <c r="N39" s="840">
        <v>0</v>
      </c>
      <c r="O39" s="840">
        <v>0</v>
      </c>
      <c r="P39" s="841">
        <v>0</v>
      </c>
      <c r="Q39" s="842">
        <v>0</v>
      </c>
      <c r="R39" s="777">
        <v>800</v>
      </c>
      <c r="S39" s="527">
        <v>753</v>
      </c>
      <c r="T39" s="527">
        <v>809</v>
      </c>
      <c r="U39" s="559">
        <v>860</v>
      </c>
      <c r="V39" s="527">
        <v>898</v>
      </c>
      <c r="W39" s="527">
        <v>838</v>
      </c>
      <c r="X39" s="527">
        <v>882</v>
      </c>
      <c r="Y39" s="501">
        <v>921</v>
      </c>
      <c r="Z39" s="500"/>
      <c r="AA39" s="500"/>
      <c r="AB39" s="500"/>
      <c r="AC39" s="501"/>
      <c r="AD39" s="500"/>
      <c r="AE39" s="500"/>
      <c r="AF39" s="500"/>
      <c r="AG39" s="501"/>
      <c r="AH39" s="544"/>
      <c r="AI39" s="315"/>
      <c r="AJ39" s="315"/>
      <c r="AK39" s="316"/>
      <c r="AL39" s="315"/>
      <c r="AM39" s="500"/>
      <c r="AN39" s="501"/>
      <c r="AO39" s="500"/>
      <c r="AP39" s="500"/>
      <c r="AQ39" s="500"/>
      <c r="AR39" s="500"/>
      <c r="AS39" s="500"/>
      <c r="AT39" s="170"/>
      <c r="AU39" s="280">
        <f>+SUM(K39:M39)</f>
        <v>0</v>
      </c>
      <c r="AV39" s="166">
        <f>U39+T39</f>
        <v>1669</v>
      </c>
      <c r="AW39" s="100" t="e">
        <f t="shared" si="12"/>
        <v>#REF!</v>
      </c>
      <c r="AX39" s="92" t="e">
        <f>IF(OR((AW39/BA39)&gt;3,(AW39/BA39)&lt;-3),"n.m.",(AW39/BA39))</f>
        <v>#REF!</v>
      </c>
      <c r="AY39" s="131"/>
      <c r="AZ39" s="665" t="e">
        <f>+'5 Capital Markets Canada'!#REF!</f>
        <v>#REF!</v>
      </c>
      <c r="BA39" s="852">
        <f>+SUM(N39:Q39)</f>
        <v>0</v>
      </c>
      <c r="BB39" s="134"/>
      <c r="BC39" s="134"/>
      <c r="BD39" s="134"/>
      <c r="BE39" s="134">
        <v>3117</v>
      </c>
      <c r="BF39" s="545" t="s">
        <v>166</v>
      </c>
      <c r="BG39" s="545"/>
      <c r="BH39" s="545"/>
      <c r="BI39" s="546"/>
      <c r="BJ39" s="546"/>
      <c r="BK39" s="180"/>
      <c r="BL39" s="328"/>
      <c r="BM39" s="328"/>
      <c r="BN39" s="328"/>
      <c r="BO39" s="328"/>
    </row>
    <row r="40" spans="1:69" s="675" customFormat="1" ht="12.75" customHeight="1" collapsed="1" thickTop="1" x14ac:dyDescent="0.2">
      <c r="A40" s="853"/>
      <c r="B40" s="676" t="s">
        <v>317</v>
      </c>
      <c r="C40" s="646" t="e">
        <f t="shared" si="10"/>
        <v>#REF!</v>
      </c>
      <c r="D40" s="656" t="e">
        <f>IF(OR((C40/M40)&gt;3,(C40/M40)&lt;-3),"n.m.",(C40/M40))</f>
        <v>#REF!</v>
      </c>
      <c r="E40" s="624"/>
      <c r="F40" s="804"/>
      <c r="G40" s="804"/>
      <c r="H40" s="804"/>
      <c r="I40" s="822" t="e">
        <f>SUM(I36:I39)</f>
        <v>#REF!</v>
      </c>
      <c r="J40" s="804" t="e">
        <f>+'5 Capital Markets Canada'!#REF!+'6 CG - US'!#REF!</f>
        <v>#REF!</v>
      </c>
      <c r="K40" s="804" t="e">
        <f>+'5 Capital Markets Canada'!#REF!+'6 CG - US'!#REF!</f>
        <v>#REF!</v>
      </c>
      <c r="L40" s="804" t="e">
        <f>+'5 Capital Markets Canada'!#REF!+'6 CG - US'!#REF!</f>
        <v>#REF!</v>
      </c>
      <c r="M40" s="822" t="e">
        <f>+'5 Capital Markets Canada'!#REF!+'6 CG - US'!#REF!</f>
        <v>#REF!</v>
      </c>
      <c r="N40" s="804" t="e">
        <f>+'5 Capital Markets Canada'!#REF!+'6 CG - US'!#REF!</f>
        <v>#REF!</v>
      </c>
      <c r="O40" s="804" t="e">
        <f>+'5 Capital Markets Canada'!#REF!+'6 CG - US'!#REF!</f>
        <v>#REF!</v>
      </c>
      <c r="P40" s="804" t="e">
        <f>+'5 Capital Markets Canada'!#REF!+'6 CG - US'!#REF!</f>
        <v>#REF!</v>
      </c>
      <c r="Q40" s="804" t="e">
        <f>+'5 Capital Markets Canada'!#REF!+'6 CG - US'!#REF!</f>
        <v>#REF!</v>
      </c>
      <c r="R40" s="804" t="e">
        <f>+'5 Capital Markets Canada'!#REF!+'6 CG - US'!#REF!</f>
        <v>#REF!</v>
      </c>
      <c r="S40" s="804" t="e">
        <f>+'5 Capital Markets Canada'!#REF!+'6 CG - US'!#REF!</f>
        <v>#REF!</v>
      </c>
      <c r="T40" s="804">
        <v>2518</v>
      </c>
      <c r="U40" s="788">
        <v>2914</v>
      </c>
      <c r="V40" s="779">
        <v>3107</v>
      </c>
      <c r="W40" s="779">
        <v>2615</v>
      </c>
      <c r="X40" s="804">
        <v>3104</v>
      </c>
      <c r="Y40" s="788" t="e">
        <f>+'4 Canaccord Genuity '!#REF!</f>
        <v>#REF!</v>
      </c>
      <c r="Z40" s="823">
        <v>1560</v>
      </c>
      <c r="AA40" s="779">
        <v>1796</v>
      </c>
      <c r="AB40" s="823">
        <v>1873</v>
      </c>
      <c r="AC40" s="788">
        <v>1741</v>
      </c>
      <c r="AD40" s="823">
        <v>1757</v>
      </c>
      <c r="AE40" s="779">
        <v>1483</v>
      </c>
      <c r="AF40" s="823">
        <v>1374</v>
      </c>
      <c r="AG40" s="788">
        <v>1459</v>
      </c>
      <c r="AH40" s="779">
        <v>2224</v>
      </c>
      <c r="AI40" s="779">
        <v>671</v>
      </c>
      <c r="AJ40" s="779">
        <v>2365</v>
      </c>
      <c r="AK40" s="788">
        <v>1384</v>
      </c>
      <c r="AL40" s="779">
        <v>889</v>
      </c>
      <c r="AM40" s="824" t="s">
        <v>166</v>
      </c>
      <c r="AN40" s="825" t="s">
        <v>166</v>
      </c>
      <c r="AO40" s="824"/>
      <c r="AP40" s="824"/>
      <c r="AQ40" s="824"/>
      <c r="AR40" s="824"/>
      <c r="AS40" s="824"/>
      <c r="AT40" s="874"/>
      <c r="AU40" s="823" t="e">
        <f>SUM(K40:M40)</f>
        <v>#REF!</v>
      </c>
      <c r="AV40" s="823" t="e">
        <f>SUM(O40:Q40)</f>
        <v>#REF!</v>
      </c>
      <c r="AW40" s="504" t="e">
        <f t="shared" si="12"/>
        <v>#REF!</v>
      </c>
      <c r="AX40" s="656" t="e">
        <f>IF(OR((AW40/BA40)&gt;3,(AW40/BA40)&lt;-3),"n.m.",(AW40/BA40))</f>
        <v>#REF!</v>
      </c>
      <c r="AY40" s="677"/>
      <c r="AZ40" s="632" t="e">
        <f>+SUM(J40:M40)</f>
        <v>#REF!</v>
      </c>
      <c r="BA40" s="632" t="e">
        <f>+SUM(N40:Q40)</f>
        <v>#REF!</v>
      </c>
      <c r="BB40" s="632" t="e">
        <f>+'5 Capital Markets Canada'!#REF!+'6 CG - US'!#REF!</f>
        <v>#REF!</v>
      </c>
      <c r="BC40" s="632" t="e">
        <f>+'5 Capital Markets Canada'!#REF!+'6 CG - US'!#REF!</f>
        <v>#REF!</v>
      </c>
      <c r="BD40" s="632" t="e">
        <f>+'5 Capital Markets Canada'!#REF!+'6 CG - US'!#REF!</f>
        <v>#REF!</v>
      </c>
      <c r="BE40" s="632">
        <v>9573</v>
      </c>
      <c r="BF40" s="809" t="s">
        <v>166</v>
      </c>
      <c r="BG40" s="645">
        <v>2661</v>
      </c>
      <c r="BH40" s="645">
        <v>2823</v>
      </c>
      <c r="BI40" s="678">
        <v>2501</v>
      </c>
      <c r="BJ40" s="642">
        <v>3033</v>
      </c>
      <c r="BK40" s="653"/>
      <c r="BL40" s="674"/>
      <c r="BN40" s="674"/>
      <c r="BO40" s="674"/>
      <c r="BP40" s="674"/>
      <c r="BQ40" s="674"/>
    </row>
    <row r="41" spans="1:69" s="675" customFormat="1" ht="13.5" thickBot="1" x14ac:dyDescent="0.25">
      <c r="A41" s="2401" t="s">
        <v>69</v>
      </c>
      <c r="B41" s="2403"/>
      <c r="C41" s="679" t="e">
        <f t="shared" si="10"/>
        <v>#REF!</v>
      </c>
      <c r="D41" s="780" t="e">
        <f>IF(OR((C41/M41)&gt;3,(C41/M41)&lt;-3),"n.m.",(C41/M41))</f>
        <v>#REF!</v>
      </c>
      <c r="E41" s="624"/>
      <c r="F41" s="826"/>
      <c r="G41" s="826"/>
      <c r="H41" s="826"/>
      <c r="I41" s="827" t="e">
        <f>I35-I40</f>
        <v>#REF!</v>
      </c>
      <c r="J41" s="826" t="e">
        <f t="shared" ref="J41:S41" si="15">J35-J40</f>
        <v>#REF!</v>
      </c>
      <c r="K41" s="826" t="e">
        <f t="shared" si="15"/>
        <v>#REF!</v>
      </c>
      <c r="L41" s="826" t="e">
        <f t="shared" si="15"/>
        <v>#REF!</v>
      </c>
      <c r="M41" s="827" t="e">
        <f t="shared" si="15"/>
        <v>#REF!</v>
      </c>
      <c r="N41" s="826" t="e">
        <f t="shared" si="15"/>
        <v>#REF!</v>
      </c>
      <c r="O41" s="826" t="e">
        <f t="shared" si="15"/>
        <v>#REF!</v>
      </c>
      <c r="P41" s="826" t="e">
        <f t="shared" si="15"/>
        <v>#REF!</v>
      </c>
      <c r="Q41" s="827" t="e">
        <f t="shared" si="15"/>
        <v>#REF!</v>
      </c>
      <c r="R41" s="826" t="e">
        <f t="shared" si="15"/>
        <v>#REF!</v>
      </c>
      <c r="S41" s="826" t="e">
        <f t="shared" si="15"/>
        <v>#REF!</v>
      </c>
      <c r="T41" s="826">
        <v>-2914</v>
      </c>
      <c r="U41" s="827">
        <v>1090</v>
      </c>
      <c r="V41" s="826">
        <v>8938</v>
      </c>
      <c r="W41" s="826">
        <v>11184</v>
      </c>
      <c r="X41" s="826">
        <v>2292</v>
      </c>
      <c r="Y41" s="827" t="e">
        <f t="shared" ref="Y41:AL41" si="16">Y35-Y40</f>
        <v>#REF!</v>
      </c>
      <c r="Z41" s="826">
        <f t="shared" si="16"/>
        <v>36801</v>
      </c>
      <c r="AA41" s="826">
        <f t="shared" si="16"/>
        <v>45665</v>
      </c>
      <c r="AB41" s="826">
        <f t="shared" si="16"/>
        <v>13619</v>
      </c>
      <c r="AC41" s="827">
        <f t="shared" si="16"/>
        <v>7176</v>
      </c>
      <c r="AD41" s="826">
        <f t="shared" si="16"/>
        <v>3356</v>
      </c>
      <c r="AE41" s="826">
        <f t="shared" si="16"/>
        <v>18635</v>
      </c>
      <c r="AF41" s="826">
        <f t="shared" si="16"/>
        <v>6460</v>
      </c>
      <c r="AG41" s="827">
        <f t="shared" si="16"/>
        <v>6408</v>
      </c>
      <c r="AH41" s="826">
        <f t="shared" si="16"/>
        <v>7026</v>
      </c>
      <c r="AI41" s="826">
        <f t="shared" si="16"/>
        <v>-9629</v>
      </c>
      <c r="AJ41" s="826">
        <f t="shared" si="16"/>
        <v>457</v>
      </c>
      <c r="AK41" s="827">
        <f t="shared" si="16"/>
        <v>5397</v>
      </c>
      <c r="AL41" s="826">
        <f t="shared" si="16"/>
        <v>6908</v>
      </c>
      <c r="AM41" s="828" t="s">
        <v>166</v>
      </c>
      <c r="AN41" s="829" t="s">
        <v>166</v>
      </c>
      <c r="AO41" s="828"/>
      <c r="AP41" s="828"/>
      <c r="AQ41" s="828"/>
      <c r="AR41" s="828"/>
      <c r="AS41" s="828"/>
      <c r="AT41" s="874"/>
      <c r="AU41" s="826" t="e">
        <f>AU35-AU40</f>
        <v>#REF!</v>
      </c>
      <c r="AV41" s="826" t="e">
        <f>AV35-AV40</f>
        <v>#REF!</v>
      </c>
      <c r="AW41" s="438" t="e">
        <f t="shared" si="12"/>
        <v>#REF!</v>
      </c>
      <c r="AX41" s="780" t="e">
        <f>IF(OR((AW41/BA41)&gt;3,(AW41/BA41)&lt;-3),"n.m.",(AW41/BA41))</f>
        <v>#REF!</v>
      </c>
      <c r="AY41" s="677"/>
      <c r="AZ41" s="681" t="e">
        <f>AZ35-AZ40</f>
        <v>#REF!</v>
      </c>
      <c r="BA41" s="681" t="e">
        <f>BA35-BA40</f>
        <v>#REF!</v>
      </c>
      <c r="BB41" s="681" t="e">
        <f>BB35-BB40</f>
        <v>#REF!</v>
      </c>
      <c r="BC41" s="681" t="e">
        <f>BC35-BC40</f>
        <v>#REF!</v>
      </c>
      <c r="BD41" s="681" t="e">
        <f>BD35-BD40</f>
        <v>#REF!</v>
      </c>
      <c r="BE41" s="681">
        <v>38357</v>
      </c>
      <c r="BF41" s="681">
        <v>11596</v>
      </c>
      <c r="BG41" s="680">
        <f>BG35-BG40</f>
        <v>53856</v>
      </c>
      <c r="BH41" s="680">
        <f>BH35-BH40</f>
        <v>59568</v>
      </c>
      <c r="BI41" s="682">
        <f>BI35-BI40</f>
        <v>42484</v>
      </c>
      <c r="BJ41" s="637">
        <f>BJ35-BJ40</f>
        <v>25091</v>
      </c>
      <c r="BK41" s="653"/>
      <c r="BL41" s="674"/>
      <c r="BN41" s="674"/>
      <c r="BO41" s="674"/>
      <c r="BP41" s="674"/>
      <c r="BQ41" s="674"/>
    </row>
    <row r="42" spans="1:69" ht="12.75" customHeight="1" thickTop="1" x14ac:dyDescent="0.2">
      <c r="A42" s="664"/>
      <c r="B42" s="664"/>
      <c r="C42" s="653"/>
      <c r="D42" s="683"/>
      <c r="E42" s="683"/>
      <c r="F42" s="683"/>
      <c r="G42" s="684"/>
      <c r="H42" s="684"/>
      <c r="I42" s="618"/>
      <c r="J42" s="683"/>
      <c r="K42" s="684"/>
      <c r="L42" s="684"/>
      <c r="M42" s="618"/>
      <c r="N42" s="683"/>
      <c r="O42" s="684"/>
      <c r="P42" s="684"/>
      <c r="Q42" s="618"/>
      <c r="R42" s="683"/>
      <c r="S42" s="684"/>
      <c r="T42" s="684"/>
      <c r="U42" s="618"/>
      <c r="V42" s="683"/>
      <c r="W42" s="683"/>
      <c r="X42" s="684"/>
      <c r="Y42" s="618"/>
      <c r="Z42" s="683"/>
      <c r="AA42" s="683"/>
      <c r="AB42" s="683"/>
      <c r="AC42" s="618"/>
      <c r="AD42" s="683"/>
      <c r="AE42" s="683"/>
      <c r="AF42" s="683"/>
      <c r="AG42" s="618"/>
      <c r="AH42" s="683"/>
      <c r="AI42" s="683"/>
      <c r="AJ42" s="683"/>
      <c r="AK42" s="618"/>
      <c r="AL42" s="619"/>
      <c r="AM42" s="619"/>
      <c r="AN42" s="619"/>
      <c r="AO42" s="619"/>
      <c r="AP42" s="685"/>
      <c r="AQ42" s="685"/>
      <c r="AR42" s="685"/>
      <c r="AS42" s="685"/>
      <c r="AT42" s="618"/>
      <c r="AU42" s="618"/>
      <c r="AV42" s="618"/>
      <c r="AW42" s="631"/>
      <c r="AX42" s="683"/>
      <c r="AY42" s="618"/>
      <c r="AZ42" s="618"/>
      <c r="BA42" s="618"/>
      <c r="BB42" s="618"/>
      <c r="BC42" s="618"/>
      <c r="BD42" s="618"/>
      <c r="BE42" s="618"/>
      <c r="BF42" s="618"/>
      <c r="BG42" s="653"/>
      <c r="BH42" s="653"/>
      <c r="BI42" s="653"/>
      <c r="BJ42" s="653"/>
      <c r="BK42" s="653"/>
      <c r="BL42" s="575"/>
      <c r="BN42" s="575"/>
      <c r="BO42" s="575"/>
      <c r="BP42" s="575"/>
      <c r="BQ42" s="575"/>
    </row>
    <row r="43" spans="1:69" ht="12.75" customHeight="1" x14ac:dyDescent="0.2">
      <c r="A43" s="664" t="s">
        <v>276</v>
      </c>
      <c r="B43" s="664"/>
      <c r="C43" s="686" t="e">
        <f t="shared" ref="C43:C50" si="17">(I43-M43)*100</f>
        <v>#REF!</v>
      </c>
      <c r="D43" s="683"/>
      <c r="E43" s="683"/>
      <c r="F43" s="687"/>
      <c r="G43" s="687"/>
      <c r="H43" s="687"/>
      <c r="I43" s="687" t="e">
        <f>+I17/I$15</f>
        <v>#REF!</v>
      </c>
      <c r="J43" s="687" t="e">
        <f t="shared" ref="J43:S44" si="18">+J17/J$15</f>
        <v>#REF!</v>
      </c>
      <c r="K43" s="687" t="e">
        <f t="shared" si="18"/>
        <v>#REF!</v>
      </c>
      <c r="L43" s="687" t="e">
        <f t="shared" si="18"/>
        <v>#REF!</v>
      </c>
      <c r="M43" s="687" t="e">
        <f t="shared" si="18"/>
        <v>#REF!</v>
      </c>
      <c r="N43" s="687" t="e">
        <f t="shared" si="18"/>
        <v>#REF!</v>
      </c>
      <c r="O43" s="687" t="e">
        <f t="shared" si="18"/>
        <v>#REF!</v>
      </c>
      <c r="P43" s="687" t="e">
        <f t="shared" si="18"/>
        <v>#REF!</v>
      </c>
      <c r="Q43" s="687" t="e">
        <f t="shared" si="18"/>
        <v>#REF!</v>
      </c>
      <c r="R43" s="687" t="e">
        <f t="shared" si="18"/>
        <v>#REF!</v>
      </c>
      <c r="S43" s="687" t="e">
        <f t="shared" si="18"/>
        <v>#REF!</v>
      </c>
      <c r="T43" s="687">
        <v>0.39509098603470166</v>
      </c>
      <c r="U43" s="687">
        <v>0.38086683134965194</v>
      </c>
      <c r="V43" s="687">
        <v>0.42531617046446779</v>
      </c>
      <c r="W43" s="687">
        <v>0.41185767974430121</v>
      </c>
      <c r="X43" s="687">
        <v>0.40003765503283051</v>
      </c>
      <c r="Y43" s="687" t="e">
        <f t="shared" ref="Y43:AB44" si="19">+Y17/Y$15</f>
        <v>#REF!</v>
      </c>
      <c r="Z43" s="687">
        <f t="shared" si="19"/>
        <v>0.48563724162830579</v>
      </c>
      <c r="AA43" s="687">
        <f t="shared" si="19"/>
        <v>0.43493839347738655</v>
      </c>
      <c r="AB43" s="687">
        <f t="shared" si="19"/>
        <v>0.41539602075777915</v>
      </c>
      <c r="AC43" s="687"/>
      <c r="AD43" s="687"/>
      <c r="AE43" s="687"/>
      <c r="AF43" s="687"/>
      <c r="AG43" s="687"/>
      <c r="AH43" s="687"/>
      <c r="AI43" s="687"/>
      <c r="AJ43" s="687"/>
      <c r="AK43" s="687"/>
      <c r="AL43" s="687"/>
      <c r="AM43" s="687"/>
      <c r="AN43" s="687"/>
      <c r="AO43" s="687"/>
      <c r="AP43" s="687"/>
      <c r="AQ43" s="687"/>
      <c r="AR43" s="687"/>
      <c r="AS43" s="687"/>
      <c r="AT43" s="687"/>
      <c r="AU43" s="687" t="e">
        <f>+AU17/AU$15</f>
        <v>#REF!</v>
      </c>
      <c r="AV43" s="687" t="e">
        <f>+AV17/AV$15</f>
        <v>#REF!</v>
      </c>
      <c r="AW43" s="686" t="e">
        <f t="shared" ref="AW43:AW50" si="20">(AZ43-BA43)*100</f>
        <v>#REF!</v>
      </c>
      <c r="AX43" s="683"/>
      <c r="AY43" s="618"/>
      <c r="AZ43" s="687" t="e">
        <f t="shared" ref="AZ43:BE44" si="21">+AZ17/AZ$15</f>
        <v>#REF!</v>
      </c>
      <c r="BA43" s="687" t="e">
        <f t="shared" si="21"/>
        <v>#REF!</v>
      </c>
      <c r="BB43" s="687" t="e">
        <f t="shared" si="21"/>
        <v>#REF!</v>
      </c>
      <c r="BC43" s="687" t="e">
        <f t="shared" si="21"/>
        <v>#REF!</v>
      </c>
      <c r="BD43" s="687" t="e">
        <f t="shared" si="21"/>
        <v>#REF!</v>
      </c>
      <c r="BE43" s="687">
        <f t="shared" si="21"/>
        <v>0.48791255821287188</v>
      </c>
      <c r="BF43" s="687">
        <v>0.51352055352055348</v>
      </c>
      <c r="BG43" s="687">
        <f>+BG17/BG$15</f>
        <v>0.49947071976451274</v>
      </c>
      <c r="BH43" s="653"/>
      <c r="BI43" s="653"/>
      <c r="BJ43" s="653"/>
      <c r="BK43" s="653"/>
      <c r="BL43" s="575"/>
      <c r="BN43" s="575"/>
      <c r="BO43" s="575"/>
      <c r="BP43" s="575"/>
      <c r="BQ43" s="575"/>
    </row>
    <row r="44" spans="1:69" ht="12.75" customHeight="1" x14ac:dyDescent="0.2">
      <c r="A44" s="664" t="s">
        <v>318</v>
      </c>
      <c r="B44" s="664"/>
      <c r="C44" s="686" t="e">
        <f t="shared" si="17"/>
        <v>#REF!</v>
      </c>
      <c r="D44" s="683"/>
      <c r="E44" s="683"/>
      <c r="F44" s="687"/>
      <c r="G44" s="687"/>
      <c r="H44" s="687"/>
      <c r="I44" s="687" t="e">
        <f>+I18/I$15</f>
        <v>#REF!</v>
      </c>
      <c r="J44" s="687" t="e">
        <f t="shared" si="18"/>
        <v>#REF!</v>
      </c>
      <c r="K44" s="687" t="e">
        <f t="shared" si="18"/>
        <v>#REF!</v>
      </c>
      <c r="L44" s="687" t="e">
        <f t="shared" si="18"/>
        <v>#REF!</v>
      </c>
      <c r="M44" s="687" t="e">
        <f t="shared" si="18"/>
        <v>#REF!</v>
      </c>
      <c r="N44" s="687" t="e">
        <f t="shared" si="18"/>
        <v>#REF!</v>
      </c>
      <c r="O44" s="687" t="e">
        <f t="shared" si="18"/>
        <v>#REF!</v>
      </c>
      <c r="P44" s="687" t="e">
        <f t="shared" si="18"/>
        <v>#REF!</v>
      </c>
      <c r="Q44" s="687" t="e">
        <f t="shared" si="18"/>
        <v>#REF!</v>
      </c>
      <c r="R44" s="687" t="e">
        <f t="shared" si="18"/>
        <v>#REF!</v>
      </c>
      <c r="S44" s="687" t="e">
        <f t="shared" si="18"/>
        <v>#REF!</v>
      </c>
      <c r="T44" s="687">
        <v>0.15426717449569757</v>
      </c>
      <c r="U44" s="687">
        <v>9.8529081518077696E-2</v>
      </c>
      <c r="V44" s="687">
        <v>8.8429146832662023E-2</v>
      </c>
      <c r="W44" s="687">
        <v>5.7145867725053562E-2</v>
      </c>
      <c r="X44" s="687">
        <v>7.4556965004353867E-2</v>
      </c>
      <c r="Y44" s="687" t="e">
        <f t="shared" si="19"/>
        <v>#REF!</v>
      </c>
      <c r="Z44" s="687">
        <f t="shared" si="19"/>
        <v>-4.2196949183139272E-2</v>
      </c>
      <c r="AA44" s="687">
        <f t="shared" si="19"/>
        <v>5.4659793060582796E-3</v>
      </c>
      <c r="AB44" s="687">
        <f t="shared" si="19"/>
        <v>3.5664910136448333E-2</v>
      </c>
      <c r="AC44" s="687"/>
      <c r="AD44" s="687"/>
      <c r="AE44" s="687"/>
      <c r="AF44" s="687"/>
      <c r="AG44" s="687"/>
      <c r="AH44" s="687"/>
      <c r="AI44" s="687"/>
      <c r="AJ44" s="687"/>
      <c r="AK44" s="687"/>
      <c r="AL44" s="687"/>
      <c r="AM44" s="687"/>
      <c r="AN44" s="687"/>
      <c r="AO44" s="687"/>
      <c r="AP44" s="687"/>
      <c r="AQ44" s="687"/>
      <c r="AR44" s="687"/>
      <c r="AS44" s="687"/>
      <c r="AT44" s="687"/>
      <c r="AU44" s="687" t="e">
        <f>+AU18/AU$15</f>
        <v>#REF!</v>
      </c>
      <c r="AV44" s="687" t="e">
        <f>+AV18/AV$15</f>
        <v>#REF!</v>
      </c>
      <c r="AW44" s="686" t="e">
        <f t="shared" si="20"/>
        <v>#REF!</v>
      </c>
      <c r="AX44" s="683"/>
      <c r="AY44" s="618"/>
      <c r="AZ44" s="687" t="e">
        <f t="shared" si="21"/>
        <v>#REF!</v>
      </c>
      <c r="BA44" s="687" t="e">
        <f t="shared" si="21"/>
        <v>#REF!</v>
      </c>
      <c r="BB44" s="687" t="e">
        <f t="shared" si="21"/>
        <v>#REF!</v>
      </c>
      <c r="BC44" s="687" t="e">
        <f t="shared" si="21"/>
        <v>#REF!</v>
      </c>
      <c r="BD44" s="687" t="e">
        <f t="shared" si="21"/>
        <v>#REF!</v>
      </c>
      <c r="BE44" s="687">
        <f t="shared" si="21"/>
        <v>3.654107139840411E-2</v>
      </c>
      <c r="BF44" s="687">
        <v>3.2047212047212045E-2</v>
      </c>
      <c r="BG44" s="687">
        <f>+BG18/BG$15</f>
        <v>-1.4321700489654976E-3</v>
      </c>
      <c r="BH44" s="653"/>
      <c r="BI44" s="653"/>
      <c r="BJ44" s="653"/>
      <c r="BK44" s="653"/>
      <c r="BL44" s="575"/>
      <c r="BN44" s="575"/>
      <c r="BO44" s="575"/>
      <c r="BP44" s="575"/>
      <c r="BQ44" s="575"/>
    </row>
    <row r="45" spans="1:69" ht="12.75" customHeight="1" x14ac:dyDescent="0.2">
      <c r="A45" s="688" t="s">
        <v>71</v>
      </c>
      <c r="B45" s="689"/>
      <c r="C45" s="686" t="e">
        <f t="shared" si="17"/>
        <v>#REF!</v>
      </c>
      <c r="D45" s="683"/>
      <c r="E45" s="683"/>
      <c r="F45" s="687"/>
      <c r="G45" s="687"/>
      <c r="H45" s="687"/>
      <c r="I45" s="687" t="e">
        <f>I19/I15</f>
        <v>#REF!</v>
      </c>
      <c r="J45" s="687" t="e">
        <f t="shared" ref="J45:S45" si="22">J19/J15</f>
        <v>#REF!</v>
      </c>
      <c r="K45" s="687" t="e">
        <f t="shared" si="22"/>
        <v>#REF!</v>
      </c>
      <c r="L45" s="687" t="e">
        <f t="shared" si="22"/>
        <v>#REF!</v>
      </c>
      <c r="M45" s="687" t="e">
        <f t="shared" si="22"/>
        <v>#REF!</v>
      </c>
      <c r="N45" s="687" t="e">
        <f t="shared" si="22"/>
        <v>#REF!</v>
      </c>
      <c r="O45" s="687" t="e">
        <f t="shared" si="22"/>
        <v>#REF!</v>
      </c>
      <c r="P45" s="687" t="e">
        <f t="shared" si="22"/>
        <v>#REF!</v>
      </c>
      <c r="Q45" s="687" t="e">
        <f t="shared" si="22"/>
        <v>#REF!</v>
      </c>
      <c r="R45" s="687" t="e">
        <f t="shared" si="22"/>
        <v>#REF!</v>
      </c>
      <c r="S45" s="687" t="e">
        <f t="shared" si="22"/>
        <v>#REF!</v>
      </c>
      <c r="T45" s="687">
        <v>0.54935816053039921</v>
      </c>
      <c r="U45" s="687">
        <v>0.47939591286772965</v>
      </c>
      <c r="V45" s="687">
        <v>0.5137453172971298</v>
      </c>
      <c r="W45" s="687">
        <v>0.4690035474693548</v>
      </c>
      <c r="X45" s="687">
        <v>0.47459462003718433</v>
      </c>
      <c r="Y45" s="687" t="e">
        <f>Y19/Y15</f>
        <v>#REF!</v>
      </c>
      <c r="Z45" s="687">
        <f>Z19/Z15</f>
        <v>0.44344029244516653</v>
      </c>
      <c r="AA45" s="687">
        <f>AA19/AA15</f>
        <v>0.44040437278344485</v>
      </c>
      <c r="AB45" s="687">
        <f>AB19/AB15</f>
        <v>0.4510609308942275</v>
      </c>
      <c r="AC45" s="687">
        <f>AC19/AC15</f>
        <v>0.42422300544697211</v>
      </c>
      <c r="AD45" s="687">
        <v>0.51723611026220895</v>
      </c>
      <c r="AE45" s="687">
        <v>0.53841046875272991</v>
      </c>
      <c r="AF45" s="687">
        <v>0.56449056603773584</v>
      </c>
      <c r="AG45" s="687">
        <v>0.57280228921275034</v>
      </c>
      <c r="AH45" s="687">
        <f>AH19/AH15</f>
        <v>0.49418767227260019</v>
      </c>
      <c r="AI45" s="687">
        <f>AI19/AI15</f>
        <v>0.81422580900387687</v>
      </c>
      <c r="AJ45" s="687">
        <f>AJ19/AJ15</f>
        <v>0.56382933378798861</v>
      </c>
      <c r="AK45" s="687">
        <f>AK19/AK15</f>
        <v>0.55557172799254773</v>
      </c>
      <c r="AL45" s="687">
        <f>AL19/AL15</f>
        <v>0.51684197345354366</v>
      </c>
      <c r="AM45" s="690">
        <v>0.52900000000000003</v>
      </c>
      <c r="AN45" s="690">
        <v>0.47399999999999998</v>
      </c>
      <c r="AO45" s="690">
        <v>0.49199999999999999</v>
      </c>
      <c r="AP45" s="690">
        <v>0.54400000000000004</v>
      </c>
      <c r="AQ45" s="690">
        <v>0.50800000000000001</v>
      </c>
      <c r="AR45" s="690">
        <v>0.48699999999999999</v>
      </c>
      <c r="AS45" s="690">
        <v>0.52700000000000002</v>
      </c>
      <c r="AT45" s="618"/>
      <c r="AU45" s="687" t="e">
        <f>AU19/AU15</f>
        <v>#REF!</v>
      </c>
      <c r="AV45" s="687" t="e">
        <f>AV19/AV15</f>
        <v>#REF!</v>
      </c>
      <c r="AW45" s="686" t="e">
        <f t="shared" si="20"/>
        <v>#REF!</v>
      </c>
      <c r="AX45" s="683"/>
      <c r="AY45" s="618"/>
      <c r="AZ45" s="687" t="e">
        <f t="shared" ref="AZ45:BE45" si="23">AZ19/AZ15</f>
        <v>#REF!</v>
      </c>
      <c r="BA45" s="687" t="e">
        <f t="shared" si="23"/>
        <v>#REF!</v>
      </c>
      <c r="BB45" s="687" t="e">
        <f t="shared" si="23"/>
        <v>#REF!</v>
      </c>
      <c r="BC45" s="687" t="e">
        <f t="shared" si="23"/>
        <v>#REF!</v>
      </c>
      <c r="BD45" s="687" t="e">
        <f t="shared" si="23"/>
        <v>#REF!</v>
      </c>
      <c r="BE45" s="687">
        <f t="shared" si="23"/>
        <v>0.52445362961127595</v>
      </c>
      <c r="BF45" s="690">
        <v>0.54556776556776554</v>
      </c>
      <c r="BG45" s="690">
        <f>BG19/BG15</f>
        <v>0.49803854971554723</v>
      </c>
      <c r="BH45" s="690">
        <f>BH19/BH15</f>
        <v>0.52591676352352823</v>
      </c>
      <c r="BI45" s="691">
        <f>BI19/BI15</f>
        <v>0.54668040140891871</v>
      </c>
      <c r="BJ45" s="691">
        <f>BJ19/BJ15</f>
        <v>0.49978547284923452</v>
      </c>
      <c r="BK45" s="691">
        <v>0.56799999999999995</v>
      </c>
      <c r="BL45" s="575"/>
      <c r="BN45" s="575"/>
      <c r="BO45" s="575"/>
      <c r="BP45" s="575"/>
      <c r="BQ45" s="575"/>
    </row>
    <row r="46" spans="1:69" ht="12.75" customHeight="1" x14ac:dyDescent="0.2">
      <c r="A46" s="485" t="s">
        <v>189</v>
      </c>
      <c r="B46" s="689"/>
      <c r="C46" s="686" t="e">
        <f t="shared" si="17"/>
        <v>#REF!</v>
      </c>
      <c r="D46" s="683"/>
      <c r="E46" s="683"/>
      <c r="F46" s="687"/>
      <c r="G46" s="687"/>
      <c r="H46" s="687"/>
      <c r="I46" s="687" t="e">
        <f>(I19+I20)/I15</f>
        <v>#REF!</v>
      </c>
      <c r="J46" s="687" t="e">
        <f>(J19+J20)/J15</f>
        <v>#REF!</v>
      </c>
      <c r="K46" s="687" t="e">
        <f>(K19+K20)/K15</f>
        <v>#REF!</v>
      </c>
      <c r="L46" s="687" t="e">
        <f>(L19+L20)/L15</f>
        <v>#REF!</v>
      </c>
      <c r="M46" s="687" t="e">
        <f>(M19+M20)/M15</f>
        <v>#REF!</v>
      </c>
      <c r="N46" s="687" t="e">
        <f t="shared" ref="N46:S46" si="24">(N19+N20)/N15</f>
        <v>#REF!</v>
      </c>
      <c r="O46" s="687" t="e">
        <f t="shared" si="24"/>
        <v>#REF!</v>
      </c>
      <c r="P46" s="687" t="e">
        <f t="shared" si="24"/>
        <v>#REF!</v>
      </c>
      <c r="Q46" s="687" t="e">
        <f t="shared" si="24"/>
        <v>#REF!</v>
      </c>
      <c r="R46" s="687" t="e">
        <f t="shared" si="24"/>
        <v>#REF!</v>
      </c>
      <c r="S46" s="687" t="e">
        <f t="shared" si="24"/>
        <v>#REF!</v>
      </c>
      <c r="T46" s="687">
        <v>0.61201862039779942</v>
      </c>
      <c r="U46" s="687">
        <v>0.52815517628565012</v>
      </c>
      <c r="V46" s="687">
        <v>0.5337577106160043</v>
      </c>
      <c r="W46" s="687">
        <v>0.4920094130870008</v>
      </c>
      <c r="X46" s="687">
        <v>0.49499894095220165</v>
      </c>
      <c r="Y46" s="687" t="e">
        <f>(Y19+Y20)/Y15</f>
        <v>#REF!</v>
      </c>
      <c r="Z46" s="687">
        <f>(Z19+Z20)/Z15</f>
        <v>0.45171044318079251</v>
      </c>
      <c r="AA46" s="687">
        <f>(AA19+AA20)/AA15</f>
        <v>0.44890497605206392</v>
      </c>
      <c r="AB46" s="687">
        <f>(AB19+AB20)/AB15</f>
        <v>0.47221943937967098</v>
      </c>
      <c r="AC46" s="687">
        <f>(AC19+AC20)/AC15</f>
        <v>0.44572817912810753</v>
      </c>
      <c r="AD46" s="687">
        <v>0.53972862294480772</v>
      </c>
      <c r="AE46" s="687">
        <v>0.55773363383825147</v>
      </c>
      <c r="AF46" s="687">
        <v>0.58128301886792455</v>
      </c>
      <c r="AG46" s="687">
        <v>0.58840753310707394</v>
      </c>
      <c r="AH46" s="687">
        <f>(AH19+AH20)/AH15</f>
        <v>0.51472056884911921</v>
      </c>
      <c r="AI46" s="687">
        <f>(AI19+AI20)/AI15</f>
        <v>0.85655510720784878</v>
      </c>
      <c r="AJ46" s="687">
        <f>(AJ19+AJ20)/AJ15</f>
        <v>0.59400707557222621</v>
      </c>
      <c r="AK46" s="687">
        <f>(AK19+AK20)/AK15</f>
        <v>0.58284816022356778</v>
      </c>
      <c r="AL46" s="687">
        <f>(AL19+AL20)/AL15</f>
        <v>0.53471700475832706</v>
      </c>
      <c r="AM46" s="690">
        <v>0.55900000000000005</v>
      </c>
      <c r="AN46" s="690">
        <v>0.51</v>
      </c>
      <c r="AO46" s="690">
        <v>0.51700000000000002</v>
      </c>
      <c r="AP46" s="690">
        <v>0.56399999999999995</v>
      </c>
      <c r="AQ46" s="690">
        <v>0.53900000000000003</v>
      </c>
      <c r="AR46" s="690">
        <v>0.51100000000000001</v>
      </c>
      <c r="AS46" s="690">
        <v>0.55300000000000005</v>
      </c>
      <c r="AT46" s="618"/>
      <c r="AU46" s="687" t="e">
        <f>(AU19+AU20)/AU15</f>
        <v>#REF!</v>
      </c>
      <c r="AV46" s="687" t="e">
        <f>(AV19+AV20)/AV15</f>
        <v>#REF!</v>
      </c>
      <c r="AW46" s="686" t="e">
        <f t="shared" si="20"/>
        <v>#REF!</v>
      </c>
      <c r="AX46" s="683"/>
      <c r="AY46" s="618"/>
      <c r="AZ46" s="687" t="e">
        <f t="shared" ref="AZ46:BE46" si="25">(AZ19+AZ20)/AZ15</f>
        <v>#REF!</v>
      </c>
      <c r="BA46" s="687" t="e">
        <f t="shared" si="25"/>
        <v>#REF!</v>
      </c>
      <c r="BB46" s="687" t="e">
        <f t="shared" si="25"/>
        <v>#REF!</v>
      </c>
      <c r="BC46" s="687" t="e">
        <f t="shared" si="25"/>
        <v>#REF!</v>
      </c>
      <c r="BD46" s="687" t="e">
        <f t="shared" si="25"/>
        <v>#REF!</v>
      </c>
      <c r="BE46" s="687">
        <f t="shared" si="25"/>
        <v>0.54969281623597122</v>
      </c>
      <c r="BF46" s="690">
        <v>0.58048026048026047</v>
      </c>
      <c r="BG46" s="690">
        <f>(BG19+BG20)/BG15</f>
        <v>0.51592086269848014</v>
      </c>
      <c r="BH46" s="690">
        <f>(BH19+BH20)/BH15</f>
        <v>0.53576417397980403</v>
      </c>
      <c r="BI46" s="691">
        <f>(BI19+BI20)/BI15</f>
        <v>0.56272346647172189</v>
      </c>
      <c r="BJ46" s="691">
        <f>(BJ19+BJ20)/BJ15</f>
        <v>0.56988875982377385</v>
      </c>
      <c r="BK46" s="691">
        <v>0.627</v>
      </c>
      <c r="BL46" s="575"/>
      <c r="BN46" s="575"/>
      <c r="BO46" s="575"/>
      <c r="BP46" s="575"/>
      <c r="BQ46" s="575"/>
    </row>
    <row r="47" spans="1:69" ht="12.75" customHeight="1" x14ac:dyDescent="0.2">
      <c r="A47" s="688" t="s">
        <v>72</v>
      </c>
      <c r="B47" s="689"/>
      <c r="C47" s="686" t="e">
        <f t="shared" si="17"/>
        <v>#REF!</v>
      </c>
      <c r="D47" s="683"/>
      <c r="E47" s="683"/>
      <c r="F47" s="687"/>
      <c r="G47" s="687"/>
      <c r="H47" s="687"/>
      <c r="I47" s="687" t="e">
        <f>(I22+I23+I24+I25+I26+I27+I28+I29+I30+I31+I32+I33)/I15</f>
        <v>#REF!</v>
      </c>
      <c r="J47" s="687" t="e">
        <f t="shared" ref="J47:S47" si="26">(J22+J23+J24+J25+J26+J27+J28+J29+J30+J31+J32+J33)/J15</f>
        <v>#REF!</v>
      </c>
      <c r="K47" s="687" t="e">
        <f t="shared" si="26"/>
        <v>#REF!</v>
      </c>
      <c r="L47" s="687" t="e">
        <f t="shared" si="26"/>
        <v>#REF!</v>
      </c>
      <c r="M47" s="687" t="e">
        <f t="shared" si="26"/>
        <v>#REF!</v>
      </c>
      <c r="N47" s="687" t="e">
        <f t="shared" si="26"/>
        <v>#REF!</v>
      </c>
      <c r="O47" s="687" t="e">
        <f t="shared" si="26"/>
        <v>#REF!</v>
      </c>
      <c r="P47" s="687" t="e">
        <f t="shared" si="26"/>
        <v>#REF!</v>
      </c>
      <c r="Q47" s="687" t="e">
        <f t="shared" si="26"/>
        <v>#REF!</v>
      </c>
      <c r="R47" s="687" t="e">
        <f t="shared" si="26"/>
        <v>#REF!</v>
      </c>
      <c r="S47" s="687" t="e">
        <f t="shared" si="26"/>
        <v>#REF!</v>
      </c>
      <c r="T47" s="687">
        <v>0.39915361828184509</v>
      </c>
      <c r="U47" s="687">
        <v>0.35944868627891308</v>
      </c>
      <c r="V47" s="687">
        <v>0.29660873728980647</v>
      </c>
      <c r="W47" s="687">
        <v>0.26565628183063467</v>
      </c>
      <c r="X47" s="687">
        <v>0.37800946082699866</v>
      </c>
      <c r="Y47" s="687" t="e">
        <f>(Y22+Y23+Y24+Y25+Y26+Y27+Y28+Y29+Y30+Y31+Y32+Y33)/Y15</f>
        <v>#REF!</v>
      </c>
      <c r="Z47" s="687">
        <f>(Z22+Z23+Z24+Z25+Z26+Z27+Z28+Z29+Z30+Z31+Z32+Z33)/Z15</f>
        <v>0.11547747991696002</v>
      </c>
      <c r="AA47" s="687">
        <f>(AA22+AA23+AA24+AA25+AA26+AA27+AA28+AA29+AA30+AA31+AA32+AA33)/AA15</f>
        <v>0.11728090380607656</v>
      </c>
      <c r="AB47" s="687">
        <f>(AB22+AB23+AB24+AB25+AB26+AB27+AB28+AB29+AB30+AB31+AB32+AB33)/AB15</f>
        <v>0.21737562363501572</v>
      </c>
      <c r="AC47" s="687">
        <f>(AC22+AC23+AC24+AC25+AC26+AC27+AC28+AC29+AC30+AC31+AC32+AC33)/AC15</f>
        <v>0.38620728650319469</v>
      </c>
      <c r="AD47" s="687">
        <v>0.30658272721716279</v>
      </c>
      <c r="AE47" s="687">
        <v>0.10480982581197477</v>
      </c>
      <c r="AF47" s="687">
        <v>0.15381132075471698</v>
      </c>
      <c r="AG47" s="687">
        <v>0.14983030545018966</v>
      </c>
      <c r="AH47" s="687">
        <f>(AH22+AH23+AH24+AH25+AH26+AH27+AH28+AH29+AH30+AH31+AH32+AH33)/AH15</f>
        <v>0.11576718731274717</v>
      </c>
      <c r="AI47" s="687">
        <f>(AI22+AI23+AI24+AI25+AI26+AI27+AI28+AI29+AI30+AI31+AI32+AI33)/AI15</f>
        <v>0.8522034971121133</v>
      </c>
      <c r="AJ47" s="687">
        <f>(AJ22+AJ23+AJ24+AJ25+AJ26+AJ27+AJ28+AJ29+AJ30+AJ31+AJ32+AJ33)/AJ15</f>
        <v>0.28570819658156088</v>
      </c>
      <c r="AK47" s="687">
        <f>(AK22+AK23+AK24+AK25+AK26+AK27+AK28+AK29+AK30+AK31+AK32+AK33)/AK15</f>
        <v>0.21975430833721471</v>
      </c>
      <c r="AL47" s="687">
        <f>(AL22+AL23+AL24+AL25+AL26+AL27+AL28+AL29+AL30+AL31+AL32+AL33)/AL15</f>
        <v>0.22119959929877286</v>
      </c>
      <c r="AM47" s="690">
        <v>0.23899999999999999</v>
      </c>
      <c r="AN47" s="690">
        <v>0.32199999999999995</v>
      </c>
      <c r="AO47" s="690">
        <v>0.16900000000000004</v>
      </c>
      <c r="AP47" s="690">
        <v>0.21100000000000008</v>
      </c>
      <c r="AQ47" s="690">
        <v>0.20399999999999996</v>
      </c>
      <c r="AR47" s="690">
        <v>0.249</v>
      </c>
      <c r="AS47" s="690">
        <v>0.17899999999999994</v>
      </c>
      <c r="AT47" s="618"/>
      <c r="AU47" s="687" t="e">
        <f>(AU22+AU23+AU24+AU25+AU26+AU27+AU28+AU29+AU30+AU31+AU32+AU33)/AU15</f>
        <v>#REF!</v>
      </c>
      <c r="AV47" s="687" t="e">
        <f>(AV22+AV23+AV24+AV25+AV26+AV27+AV28+AV29+AV30+AV31+AV32+AV33)/AV15</f>
        <v>#REF!</v>
      </c>
      <c r="AW47" s="686" t="e">
        <f t="shared" si="20"/>
        <v>#REF!</v>
      </c>
      <c r="AX47" s="683"/>
      <c r="AY47" s="618"/>
      <c r="AZ47" s="687" t="e">
        <f t="shared" ref="AZ47:BE47" si="27">(AZ22+AZ23+AZ24+AZ25+AZ26+AZ27+AZ28+AZ29+AZ30+AZ31+AZ32+AZ33)/AZ15</f>
        <v>#REF!</v>
      </c>
      <c r="BA47" s="687" t="e">
        <f t="shared" si="27"/>
        <v>#REF!</v>
      </c>
      <c r="BB47" s="687" t="e">
        <f t="shared" si="27"/>
        <v>#REF!</v>
      </c>
      <c r="BC47" s="687" t="e">
        <f t="shared" si="27"/>
        <v>#REF!</v>
      </c>
      <c r="BD47" s="687" t="e">
        <f t="shared" si="27"/>
        <v>#REF!</v>
      </c>
      <c r="BE47" s="687">
        <f t="shared" si="27"/>
        <v>0.18040218266593835</v>
      </c>
      <c r="BF47" s="690">
        <v>0.32512820512820512</v>
      </c>
      <c r="BG47" s="690">
        <f>(BG22+BG23+BG24+BG25+BG26+BG27+BG28+BG29+BG30+BG31+BG32+BG33)/BG15</f>
        <v>0.1641504627664091</v>
      </c>
      <c r="BH47" s="690">
        <f>(BH22+BH23+BH24+BH25+BH26+BH27+BH28+BH29+BH30+BH31+BH32+BH33)/BH15</f>
        <v>0.13159381964363784</v>
      </c>
      <c r="BI47" s="691">
        <f>(BI22+BI23+BI24+BI25+BI26+BI27+BI28+BI29+BI30+BI31+BI32+BI33)/BI15</f>
        <v>0.13831328504020735</v>
      </c>
      <c r="BJ47" s="691">
        <f>(BJ22+BJ23+BJ24+BJ25+BJ26+BJ27+BJ28+BJ29+BJ30+BJ31+BJ32+BJ33)/BJ15</f>
        <v>0.13580091880408962</v>
      </c>
      <c r="BK47" s="691">
        <v>0.10299999999999998</v>
      </c>
      <c r="BL47" s="575"/>
      <c r="BN47" s="575"/>
      <c r="BO47" s="575"/>
      <c r="BP47" s="575"/>
      <c r="BQ47" s="575"/>
    </row>
    <row r="48" spans="1:69" ht="12.75" customHeight="1" x14ac:dyDescent="0.2">
      <c r="A48" s="688" t="s">
        <v>73</v>
      </c>
      <c r="B48" s="688"/>
      <c r="C48" s="686" t="e">
        <f t="shared" si="17"/>
        <v>#REF!</v>
      </c>
      <c r="D48" s="683"/>
      <c r="E48" s="683"/>
      <c r="F48" s="687"/>
      <c r="G48" s="687"/>
      <c r="H48" s="687"/>
      <c r="I48" s="687" t="e">
        <f>I34/I15</f>
        <v>#REF!</v>
      </c>
      <c r="J48" s="687" t="e">
        <f t="shared" ref="J48:S48" si="28">J34/J15</f>
        <v>#REF!</v>
      </c>
      <c r="K48" s="687" t="e">
        <f t="shared" si="28"/>
        <v>#REF!</v>
      </c>
      <c r="L48" s="687" t="e">
        <f t="shared" si="28"/>
        <v>#REF!</v>
      </c>
      <c r="M48" s="687" t="e">
        <f t="shared" si="28"/>
        <v>#REF!</v>
      </c>
      <c r="N48" s="687" t="e">
        <f t="shared" si="28"/>
        <v>#REF!</v>
      </c>
      <c r="O48" s="687" t="e">
        <f t="shared" si="28"/>
        <v>#REF!</v>
      </c>
      <c r="P48" s="687" t="e">
        <f t="shared" si="28"/>
        <v>#REF!</v>
      </c>
      <c r="Q48" s="687" t="e">
        <f t="shared" si="28"/>
        <v>#REF!</v>
      </c>
      <c r="R48" s="687" t="e">
        <f t="shared" si="28"/>
        <v>#REF!</v>
      </c>
      <c r="S48" s="687" t="e">
        <f t="shared" si="28"/>
        <v>#REF!</v>
      </c>
      <c r="T48" s="687">
        <v>1.0111722386796445</v>
      </c>
      <c r="U48" s="687">
        <v>0.88760386256456325</v>
      </c>
      <c r="V48" s="687">
        <v>0.83036644790581082</v>
      </c>
      <c r="W48" s="687">
        <v>0.75766569491763547</v>
      </c>
      <c r="X48" s="687">
        <v>0.87300840177920025</v>
      </c>
      <c r="Y48" s="687" t="e">
        <f>Y34/Y15</f>
        <v>#REF!</v>
      </c>
      <c r="Z48" s="687">
        <f>Z34/Z15</f>
        <v>0.56718792309775246</v>
      </c>
      <c r="AA48" s="687">
        <f>AA34/AA15</f>
        <v>0.56618587985814051</v>
      </c>
      <c r="AB48" s="687">
        <f>AB34/AB15</f>
        <v>0.68959506301468676</v>
      </c>
      <c r="AC48" s="687">
        <f>AC34/AC15</f>
        <v>0.83193546563130216</v>
      </c>
      <c r="AD48" s="687">
        <v>0.84631135016197057</v>
      </c>
      <c r="AE48" s="687">
        <v>0.66254345965022621</v>
      </c>
      <c r="AF48" s="687">
        <v>0.73509433962264148</v>
      </c>
      <c r="AG48" s="687">
        <v>0.73823783855726355</v>
      </c>
      <c r="AH48" s="687">
        <f>AH34/AH15</f>
        <v>0.63048775616186636</v>
      </c>
      <c r="AI48" s="687">
        <f>AI34/AI15</f>
        <v>1.7087586043199621</v>
      </c>
      <c r="AJ48" s="687">
        <f>AJ34/AJ15</f>
        <v>0.87971527215378709</v>
      </c>
      <c r="AK48" s="687">
        <f>AK34/AK15</f>
        <v>0.80260246856078243</v>
      </c>
      <c r="AL48" s="687">
        <f>AL34/AL15</f>
        <v>0.75591660405709993</v>
      </c>
      <c r="AM48" s="690">
        <v>0.79800000000000004</v>
      </c>
      <c r="AN48" s="690">
        <v>0.83199999999999996</v>
      </c>
      <c r="AO48" s="690">
        <v>0.68600000000000005</v>
      </c>
      <c r="AP48" s="690">
        <v>0.77500000000000002</v>
      </c>
      <c r="AQ48" s="690">
        <v>0.74299999999999999</v>
      </c>
      <c r="AR48" s="690">
        <v>0.76</v>
      </c>
      <c r="AS48" s="690">
        <v>0.73199999999999998</v>
      </c>
      <c r="AT48" s="618"/>
      <c r="AU48" s="687" t="e">
        <f>AU34/AU15</f>
        <v>#REF!</v>
      </c>
      <c r="AV48" s="687" t="e">
        <f>AV34/AV15</f>
        <v>#REF!</v>
      </c>
      <c r="AW48" s="686" t="e">
        <f t="shared" si="20"/>
        <v>#REF!</v>
      </c>
      <c r="AX48" s="683"/>
      <c r="AY48" s="618"/>
      <c r="AZ48" s="687" t="e">
        <f t="shared" ref="AZ48:BE48" si="29">AZ34/AZ15</f>
        <v>#REF!</v>
      </c>
      <c r="BA48" s="687" t="e">
        <f t="shared" si="29"/>
        <v>#REF!</v>
      </c>
      <c r="BB48" s="687" t="e">
        <f t="shared" si="29"/>
        <v>#REF!</v>
      </c>
      <c r="BC48" s="687" t="e">
        <f t="shared" si="29"/>
        <v>#REF!</v>
      </c>
      <c r="BD48" s="687" t="e">
        <f t="shared" si="29"/>
        <v>#REF!</v>
      </c>
      <c r="BE48" s="687">
        <f t="shared" si="29"/>
        <v>0.73009499890190954</v>
      </c>
      <c r="BF48" s="690">
        <v>0.90560846560846564</v>
      </c>
      <c r="BG48" s="690">
        <f>BG34/BG15</f>
        <v>0.68007132546488924</v>
      </c>
      <c r="BH48" s="690">
        <f>BH34/BH15</f>
        <v>0.66735799362344184</v>
      </c>
      <c r="BI48" s="691">
        <f>BI34/BI15</f>
        <v>0.70103675151192923</v>
      </c>
      <c r="BJ48" s="691">
        <f>BJ34/BJ15</f>
        <v>0.70568967862786336</v>
      </c>
      <c r="BK48" s="691">
        <v>0.73</v>
      </c>
      <c r="BL48" s="575"/>
      <c r="BN48" s="575"/>
      <c r="BO48" s="575"/>
      <c r="BP48" s="575"/>
      <c r="BQ48" s="575"/>
    </row>
    <row r="49" spans="1:69" ht="12.75" customHeight="1" x14ac:dyDescent="0.2">
      <c r="A49" s="688" t="s">
        <v>167</v>
      </c>
      <c r="B49" s="688"/>
      <c r="C49" s="686" t="e">
        <f t="shared" si="17"/>
        <v>#REF!</v>
      </c>
      <c r="D49" s="683"/>
      <c r="E49" s="683"/>
      <c r="F49" s="687"/>
      <c r="G49" s="687"/>
      <c r="H49" s="687"/>
      <c r="I49" s="687" t="e">
        <f>I35/I15</f>
        <v>#REF!</v>
      </c>
      <c r="J49" s="687" t="e">
        <f t="shared" ref="J49:S49" si="30">J35/J15</f>
        <v>#REF!</v>
      </c>
      <c r="K49" s="687" t="e">
        <f t="shared" si="30"/>
        <v>#REF!</v>
      </c>
      <c r="L49" s="687" t="e">
        <f t="shared" si="30"/>
        <v>#REF!</v>
      </c>
      <c r="M49" s="687" t="e">
        <f t="shared" si="30"/>
        <v>#REF!</v>
      </c>
      <c r="N49" s="687" t="e">
        <f t="shared" si="30"/>
        <v>#REF!</v>
      </c>
      <c r="O49" s="687" t="e">
        <f t="shared" si="30"/>
        <v>#REF!</v>
      </c>
      <c r="P49" s="687" t="e">
        <f t="shared" si="30"/>
        <v>#REF!</v>
      </c>
      <c r="Q49" s="687" t="e">
        <f t="shared" si="30"/>
        <v>#REF!</v>
      </c>
      <c r="R49" s="687" t="e">
        <f t="shared" si="30"/>
        <v>#REF!</v>
      </c>
      <c r="S49" s="687" t="e">
        <f t="shared" si="30"/>
        <v>#REF!</v>
      </c>
      <c r="T49" s="687">
        <v>-1.117223867964452E-2</v>
      </c>
      <c r="U49" s="687">
        <v>0.11239613743543679</v>
      </c>
      <c r="V49" s="687">
        <v>0.16963355209418923</v>
      </c>
      <c r="W49" s="687">
        <v>0.2423343050823645</v>
      </c>
      <c r="X49" s="687">
        <v>0.1269915982207997</v>
      </c>
      <c r="Y49" s="687" t="e">
        <f>Y35/Y15</f>
        <v>#REF!</v>
      </c>
      <c r="Z49" s="687">
        <f>Z35/Z15</f>
        <v>0.43281207690224749</v>
      </c>
      <c r="AA49" s="687">
        <f>AA35/AA15</f>
        <v>0.43381412014185955</v>
      </c>
      <c r="AB49" s="687">
        <f>AB35/AB15</f>
        <v>0.3104049369853133</v>
      </c>
      <c r="AC49" s="687">
        <f>AC35/AC15</f>
        <v>0.16806453436869781</v>
      </c>
      <c r="AD49" s="687">
        <v>0.15368864983802946</v>
      </c>
      <c r="AE49" s="687">
        <v>0.33745654034977374</v>
      </c>
      <c r="AF49" s="687">
        <v>0.26490566037735847</v>
      </c>
      <c r="AG49" s="687">
        <v>0.2617621614427364</v>
      </c>
      <c r="AH49" s="687">
        <f>AH35/AH15</f>
        <v>0.36951224383813364</v>
      </c>
      <c r="AI49" s="687">
        <f>AI35/AI15</f>
        <v>-0.70875860431996207</v>
      </c>
      <c r="AJ49" s="687">
        <f>AJ35/AJ15</f>
        <v>0.12028472784621286</v>
      </c>
      <c r="AK49" s="687">
        <f>AK35/AK15</f>
        <v>0.19739753143921751</v>
      </c>
      <c r="AL49" s="687">
        <f>AL35/AL15</f>
        <v>0.24408339594290007</v>
      </c>
      <c r="AM49" s="690">
        <v>0.20199999999999996</v>
      </c>
      <c r="AN49" s="690">
        <v>0.16800000000000004</v>
      </c>
      <c r="AO49" s="690">
        <v>0.31399999999999995</v>
      </c>
      <c r="AP49" s="690">
        <v>0.22500000000000001</v>
      </c>
      <c r="AQ49" s="690">
        <v>0.25700000000000001</v>
      </c>
      <c r="AR49" s="690">
        <v>0.24</v>
      </c>
      <c r="AS49" s="690">
        <v>0.26800000000000002</v>
      </c>
      <c r="AT49" s="618"/>
      <c r="AU49" s="687" t="e">
        <f>AU35/AU15</f>
        <v>#REF!</v>
      </c>
      <c r="AV49" s="687" t="e">
        <f>AV35/AV15</f>
        <v>#REF!</v>
      </c>
      <c r="AW49" s="686" t="e">
        <f t="shared" si="20"/>
        <v>#REF!</v>
      </c>
      <c r="AX49" s="683"/>
      <c r="AY49" s="618"/>
      <c r="AZ49" s="687" t="e">
        <f t="shared" ref="AZ49:BE49" si="31">AZ35/AZ15</f>
        <v>#REF!</v>
      </c>
      <c r="BA49" s="687" t="e">
        <f t="shared" si="31"/>
        <v>#REF!</v>
      </c>
      <c r="BB49" s="687" t="e">
        <f t="shared" si="31"/>
        <v>#REF!</v>
      </c>
      <c r="BC49" s="687" t="e">
        <f t="shared" si="31"/>
        <v>#REF!</v>
      </c>
      <c r="BD49" s="687" t="e">
        <f t="shared" si="31"/>
        <v>#REF!</v>
      </c>
      <c r="BE49" s="687">
        <f t="shared" si="31"/>
        <v>0.26990500109809046</v>
      </c>
      <c r="BF49" s="690">
        <v>9.4391534391534387E-2</v>
      </c>
      <c r="BG49" s="690">
        <f>BG35/BG15</f>
        <v>0.31992867453511081</v>
      </c>
      <c r="BH49" s="690">
        <f>BH35/BH15</f>
        <v>0.33264200637655816</v>
      </c>
      <c r="BI49" s="691">
        <f>BI35/BI15</f>
        <v>0.29896324848807071</v>
      </c>
      <c r="BJ49" s="691">
        <f>BJ35/BJ15</f>
        <v>0.29431032137213659</v>
      </c>
      <c r="BK49" s="691">
        <v>0.27</v>
      </c>
      <c r="BL49" s="575"/>
      <c r="BN49" s="575"/>
      <c r="BO49" s="575"/>
      <c r="BP49" s="575"/>
      <c r="BQ49" s="575"/>
    </row>
    <row r="50" spans="1:69" ht="12.75" customHeight="1" x14ac:dyDescent="0.2">
      <c r="A50" s="688" t="s">
        <v>74</v>
      </c>
      <c r="B50" s="688"/>
      <c r="C50" s="686" t="e">
        <f t="shared" si="17"/>
        <v>#REF!</v>
      </c>
      <c r="D50" s="683"/>
      <c r="E50" s="683"/>
      <c r="F50" s="687"/>
      <c r="G50" s="687"/>
      <c r="H50" s="687"/>
      <c r="I50" s="687" t="e">
        <f>I41/I15</f>
        <v>#REF!</v>
      </c>
      <c r="J50" s="687" t="e">
        <f t="shared" ref="J50:S50" si="32">J41/J15</f>
        <v>#REF!</v>
      </c>
      <c r="K50" s="687" t="e">
        <f t="shared" si="32"/>
        <v>#REF!</v>
      </c>
      <c r="L50" s="687" t="e">
        <f t="shared" si="32"/>
        <v>#REF!</v>
      </c>
      <c r="M50" s="687" t="e">
        <f t="shared" si="32"/>
        <v>#REF!</v>
      </c>
      <c r="N50" s="687" t="e">
        <f t="shared" si="32"/>
        <v>#REF!</v>
      </c>
      <c r="O50" s="687" t="e">
        <f t="shared" si="32"/>
        <v>#REF!</v>
      </c>
      <c r="P50" s="687" t="e">
        <f t="shared" si="32"/>
        <v>#REF!</v>
      </c>
      <c r="Q50" s="687" t="e">
        <f t="shared" si="32"/>
        <v>#REF!</v>
      </c>
      <c r="R50" s="687" t="e">
        <f t="shared" si="32"/>
        <v>#REF!</v>
      </c>
      <c r="S50" s="687" t="e">
        <f t="shared" si="32"/>
        <v>#REF!</v>
      </c>
      <c r="T50" s="687">
        <v>-8.2211877556778112E-2</v>
      </c>
      <c r="U50" s="687">
        <v>3.0597350101055468E-2</v>
      </c>
      <c r="V50" s="687">
        <v>0.1258766864771991</v>
      </c>
      <c r="W50" s="687">
        <v>0.19641038249446804</v>
      </c>
      <c r="X50" s="687">
        <v>5.3940834529665103E-2</v>
      </c>
      <c r="Y50" s="687" t="e">
        <f>Y41/Y15</f>
        <v>#REF!</v>
      </c>
      <c r="Z50" s="687">
        <f>Z41/Z15</f>
        <v>0.41521121039805037</v>
      </c>
      <c r="AA50" s="687">
        <f>AA41/AA15</f>
        <v>0.41739790135644034</v>
      </c>
      <c r="AB50" s="687">
        <f>AB41/AB15</f>
        <v>0.27287663547656738</v>
      </c>
      <c r="AC50" s="687">
        <f>AC41/AC15</f>
        <v>0.13525076804191719</v>
      </c>
      <c r="AD50" s="687">
        <v>9.9993887904162332E-2</v>
      </c>
      <c r="AE50" s="687">
        <v>0.31154672676765027</v>
      </c>
      <c r="AF50" s="687">
        <v>0.2130566037735849</v>
      </c>
      <c r="AG50" s="687">
        <v>0.21321621082052306</v>
      </c>
      <c r="AH50" s="687">
        <f>AH41/AH15</f>
        <v>0.28066951623856512</v>
      </c>
      <c r="AI50" s="687">
        <f>AI41/AI15</f>
        <v>-0.76184824748793423</v>
      </c>
      <c r="AJ50" s="687">
        <f>AJ41/AJ15</f>
        <v>1.9479135586718384E-2</v>
      </c>
      <c r="AK50" s="687">
        <f>AK41/AK15</f>
        <v>0.15710875640428504</v>
      </c>
      <c r="AL50" s="687">
        <f>AL41/AL15</f>
        <v>0.21625344352617079</v>
      </c>
      <c r="AM50" s="692" t="s">
        <v>166</v>
      </c>
      <c r="AN50" s="692" t="s">
        <v>166</v>
      </c>
      <c r="AO50" s="683"/>
      <c r="AP50" s="683"/>
      <c r="AQ50" s="683"/>
      <c r="AR50" s="683"/>
      <c r="AS50" s="683"/>
      <c r="AT50" s="655"/>
      <c r="AU50" s="687" t="e">
        <f>AU41/AU15</f>
        <v>#REF!</v>
      </c>
      <c r="AV50" s="687" t="e">
        <f>AV41/AV15</f>
        <v>#REF!</v>
      </c>
      <c r="AW50" s="686" t="e">
        <f t="shared" si="20"/>
        <v>#REF!</v>
      </c>
      <c r="AX50" s="683"/>
      <c r="AY50" s="655"/>
      <c r="AZ50" s="687" t="e">
        <f t="shared" ref="AZ50:BE50" si="33">AZ41/AZ15</f>
        <v>#REF!</v>
      </c>
      <c r="BA50" s="687" t="e">
        <f t="shared" si="33"/>
        <v>#REF!</v>
      </c>
      <c r="BB50" s="687" t="e">
        <f t="shared" si="33"/>
        <v>#REF!</v>
      </c>
      <c r="BC50" s="687" t="e">
        <f t="shared" si="33"/>
        <v>#REF!</v>
      </c>
      <c r="BD50" s="687" t="e">
        <f t="shared" si="33"/>
        <v>#REF!</v>
      </c>
      <c r="BE50" s="687">
        <f t="shared" si="33"/>
        <v>0.21599720690839674</v>
      </c>
      <c r="BF50" s="690">
        <v>9.4391534391534387E-2</v>
      </c>
      <c r="BG50" s="690">
        <f>BG41/BG15</f>
        <v>0.3048654156406555</v>
      </c>
      <c r="BH50" s="690">
        <f>BH41/BH15</f>
        <v>0.31759098324820595</v>
      </c>
      <c r="BI50" s="691">
        <f>BI41/BI15</f>
        <v>0.28234199508207614</v>
      </c>
      <c r="BJ50" s="691">
        <f>BJ41/BJ15</f>
        <v>0.26257076779790495</v>
      </c>
      <c r="BK50" s="691"/>
      <c r="BL50" s="575"/>
      <c r="BN50" s="575"/>
      <c r="BO50" s="575"/>
      <c r="BP50" s="575"/>
      <c r="BQ50" s="575"/>
    </row>
    <row r="51" spans="1:69" ht="12.75" customHeight="1" x14ac:dyDescent="0.2">
      <c r="A51" s="689"/>
      <c r="B51" s="689"/>
      <c r="C51" s="686"/>
      <c r="D51" s="683"/>
      <c r="E51" s="683"/>
      <c r="F51" s="504"/>
      <c r="G51" s="683"/>
      <c r="H51" s="683"/>
      <c r="I51" s="683"/>
      <c r="J51" s="504"/>
      <c r="K51" s="683"/>
      <c r="L51" s="683"/>
      <c r="M51" s="683"/>
      <c r="N51" s="504"/>
      <c r="O51" s="683"/>
      <c r="P51" s="683"/>
      <c r="Q51" s="683"/>
      <c r="R51" s="683"/>
      <c r="S51" s="683"/>
      <c r="T51" s="683"/>
      <c r="U51" s="683"/>
      <c r="V51" s="683"/>
      <c r="W51" s="683"/>
      <c r="X51" s="683"/>
      <c r="Y51" s="683"/>
      <c r="Z51" s="683"/>
      <c r="AA51" s="683"/>
      <c r="AB51" s="683"/>
      <c r="AC51" s="683"/>
      <c r="AD51" s="683"/>
      <c r="AE51" s="683"/>
      <c r="AF51" s="683"/>
      <c r="AG51" s="683"/>
      <c r="AH51" s="683"/>
      <c r="AI51" s="683"/>
      <c r="AJ51" s="683"/>
      <c r="AK51" s="687"/>
      <c r="AL51" s="687"/>
      <c r="AM51" s="619"/>
      <c r="AN51" s="619"/>
      <c r="AO51" s="619"/>
      <c r="AP51" s="687"/>
      <c r="AQ51" s="687"/>
      <c r="AR51" s="687"/>
      <c r="AS51" s="687"/>
      <c r="AT51" s="618"/>
      <c r="AU51" s="618"/>
      <c r="AV51" s="618"/>
      <c r="AW51" s="631"/>
      <c r="AX51" s="683"/>
      <c r="AY51" s="618"/>
      <c r="AZ51" s="690"/>
      <c r="BA51" s="690"/>
      <c r="BB51" s="690"/>
      <c r="BC51" s="690"/>
      <c r="BD51" s="690"/>
      <c r="BE51" s="690"/>
      <c r="BF51" s="690"/>
      <c r="BG51" s="690"/>
      <c r="BH51" s="693"/>
      <c r="BI51" s="694"/>
      <c r="BJ51" s="694"/>
      <c r="BK51" s="694"/>
      <c r="BL51" s="575"/>
      <c r="BN51" s="575"/>
      <c r="BO51" s="575"/>
      <c r="BP51" s="575"/>
      <c r="BQ51" s="575"/>
    </row>
    <row r="52" spans="1:69" ht="12.75" customHeight="1" x14ac:dyDescent="0.2">
      <c r="A52" s="689" t="s">
        <v>84</v>
      </c>
      <c r="B52" s="689"/>
      <c r="C52" s="778" t="e">
        <f>I52-M52</f>
        <v>#REF!</v>
      </c>
      <c r="D52" s="683" t="e">
        <f>IF(OR((C52/M52)&gt;3,(C52/M52)&lt;-3),"n.m.",(C52/M52))</f>
        <v>#REF!</v>
      </c>
      <c r="E52" s="683"/>
      <c r="F52" s="504"/>
      <c r="G52" s="504"/>
      <c r="H52" s="504"/>
      <c r="I52" s="504" t="e">
        <f>+'5 Capital Markets Canada'!#REF!+'6 CG - US'!#REF!</f>
        <v>#REF!</v>
      </c>
      <c r="J52" s="504" t="e">
        <f>+'5 Capital Markets Canada'!#REF!+'6 CG - US'!#REF!</f>
        <v>#REF!</v>
      </c>
      <c r="K52" s="504" t="e">
        <f>+'5 Capital Markets Canada'!#REF!+'6 CG - US'!#REF!</f>
        <v>#REF!</v>
      </c>
      <c r="L52" s="504" t="e">
        <f>+'5 Capital Markets Canada'!#REF!+'6 CG - US'!#REF!</f>
        <v>#REF!</v>
      </c>
      <c r="M52" s="504" t="e">
        <f>+'5 Capital Markets Canada'!#REF!+'6 CG - US'!#REF!</f>
        <v>#REF!</v>
      </c>
      <c r="N52" s="504" t="e">
        <f>+'5 Capital Markets Canada'!#REF!+'6 CG - US'!#REF!</f>
        <v>#REF!</v>
      </c>
      <c r="O52" s="504" t="e">
        <f>+'5 Capital Markets Canada'!#REF!+'6 CG - US'!#REF!</f>
        <v>#REF!</v>
      </c>
      <c r="P52" s="504" t="e">
        <f>+'5 Capital Markets Canada'!#REF!+'6 CG - US'!#REF!</f>
        <v>#REF!</v>
      </c>
      <c r="Q52" s="504" t="e">
        <f>+'5 Capital Markets Canada'!#REF!+'6 CG - US'!#REF!</f>
        <v>#REF!</v>
      </c>
      <c r="R52" s="504" t="e">
        <f>+'5 Capital Markets Canada'!#REF!+'6 CG - US'!#REF!</f>
        <v>#REF!</v>
      </c>
      <c r="S52" s="504" t="e">
        <f>+'5 Capital Markets Canada'!#REF!+'6 CG - US'!#REF!</f>
        <v>#REF!</v>
      </c>
      <c r="T52" s="504">
        <v>225</v>
      </c>
      <c r="U52" s="504">
        <v>239</v>
      </c>
      <c r="V52" s="504">
        <v>247</v>
      </c>
      <c r="W52" s="504">
        <v>262</v>
      </c>
      <c r="X52" s="504">
        <v>266</v>
      </c>
      <c r="Y52" s="504"/>
      <c r="Z52" s="504"/>
      <c r="AA52" s="504"/>
      <c r="AB52" s="504"/>
      <c r="AC52" s="504"/>
      <c r="AD52" s="504"/>
      <c r="AE52" s="504"/>
      <c r="AF52" s="504"/>
      <c r="AG52" s="504"/>
      <c r="AH52" s="504"/>
      <c r="AI52" s="504"/>
      <c r="AJ52" s="504"/>
      <c r="AK52" s="359"/>
      <c r="AL52" s="359"/>
      <c r="AM52" s="457"/>
      <c r="AN52" s="457"/>
      <c r="AO52" s="457"/>
      <c r="AP52" s="359"/>
      <c r="AQ52" s="359"/>
      <c r="AR52" s="359"/>
      <c r="AS52" s="359"/>
      <c r="AT52" s="359"/>
      <c r="AU52" s="359" t="e">
        <f>+K52</f>
        <v>#REF!</v>
      </c>
      <c r="AV52" s="359" t="e">
        <f>+O52</f>
        <v>#REF!</v>
      </c>
      <c r="AW52" s="631" t="e">
        <f>AZ52-BA52</f>
        <v>#REF!</v>
      </c>
      <c r="AX52" s="683" t="e">
        <f>IF(OR((AW52/BA52)&gt;3,(AW52/BA52)&lt;-3),"n.m.",(AW52/BA52))</f>
        <v>#REF!</v>
      </c>
      <c r="AY52" s="618"/>
      <c r="AZ52" s="504">
        <f>+'5 Capital Markets Canada'!Y40+'6 CG - US'!Y43</f>
        <v>470</v>
      </c>
      <c r="BA52" s="504" t="e">
        <f>+'5 Capital Markets Canada'!#REF!+'6 CG - US'!#REF!</f>
        <v>#REF!</v>
      </c>
      <c r="BB52" s="504" t="e">
        <f>+'5 Capital Markets Canada'!#REF!+'6 CG - US'!#REF!</f>
        <v>#REF!</v>
      </c>
      <c r="BC52" s="504" t="e">
        <f>+'5 Capital Markets Canada'!#REF!+'6 CG - US'!#REF!</f>
        <v>#REF!</v>
      </c>
      <c r="BD52" s="504" t="e">
        <f>+'5 Capital Markets Canada'!#REF!+'6 CG - US'!#REF!</f>
        <v>#REF!</v>
      </c>
      <c r="BE52" s="280">
        <v>203</v>
      </c>
      <c r="BF52" s="280">
        <v>209</v>
      </c>
      <c r="BG52" s="690"/>
      <c r="BH52" s="693"/>
      <c r="BI52" s="694"/>
      <c r="BJ52" s="694"/>
      <c r="BK52" s="694"/>
      <c r="BL52" s="575"/>
      <c r="BN52" s="575"/>
      <c r="BO52" s="575"/>
      <c r="BP52" s="575"/>
      <c r="BQ52" s="575"/>
    </row>
    <row r="53" spans="1:69" ht="12.75" customHeight="1" x14ac:dyDescent="0.2">
      <c r="A53" s="584"/>
      <c r="B53" s="584"/>
      <c r="C53" s="618"/>
      <c r="D53" s="618"/>
      <c r="E53" s="618"/>
      <c r="F53" s="618"/>
      <c r="G53" s="618"/>
      <c r="H53" s="618"/>
      <c r="I53" s="618"/>
      <c r="J53" s="618"/>
      <c r="K53" s="618"/>
      <c r="L53" s="618"/>
      <c r="M53" s="618"/>
      <c r="N53" s="618"/>
      <c r="O53" s="618"/>
      <c r="P53" s="618"/>
      <c r="Q53" s="618"/>
      <c r="R53" s="618"/>
      <c r="S53" s="618"/>
      <c r="T53" s="618"/>
      <c r="U53" s="618"/>
      <c r="V53" s="618"/>
      <c r="W53" s="618"/>
      <c r="X53" s="618"/>
      <c r="Y53" s="618"/>
      <c r="Z53" s="618"/>
      <c r="AA53" s="618"/>
      <c r="AB53" s="618"/>
      <c r="AC53" s="618"/>
      <c r="AD53" s="618"/>
      <c r="AE53" s="618"/>
      <c r="AF53" s="618"/>
      <c r="AG53" s="618"/>
      <c r="AH53" s="618"/>
      <c r="AI53" s="618"/>
      <c r="AJ53" s="618"/>
      <c r="AK53" s="618"/>
      <c r="AL53" s="618"/>
      <c r="AM53" s="618"/>
      <c r="AN53" s="618"/>
      <c r="AO53" s="618"/>
      <c r="AP53" s="618"/>
      <c r="AQ53" s="618"/>
      <c r="AR53" s="618"/>
      <c r="AS53" s="618"/>
      <c r="AT53" s="618"/>
      <c r="AU53" s="618"/>
      <c r="AV53" s="618"/>
      <c r="AW53" s="695"/>
      <c r="AX53" s="695"/>
      <c r="AY53" s="618"/>
      <c r="AZ53" s="618"/>
      <c r="BA53" s="618"/>
      <c r="BB53" s="618"/>
      <c r="BC53" s="618"/>
      <c r="BD53" s="798"/>
      <c r="BE53" s="618"/>
      <c r="BF53" s="618"/>
      <c r="BG53" s="618"/>
      <c r="BH53" s="618"/>
      <c r="BI53" s="696"/>
      <c r="BJ53" s="696"/>
      <c r="BK53" s="696"/>
      <c r="BL53" s="575"/>
      <c r="BN53" s="575"/>
      <c r="BO53" s="575"/>
      <c r="BP53" s="575"/>
      <c r="BQ53" s="575"/>
    </row>
    <row r="54" spans="1:69" ht="18" customHeight="1" x14ac:dyDescent="0.2">
      <c r="A54" s="697" t="s">
        <v>231</v>
      </c>
      <c r="B54" s="584"/>
      <c r="C54" s="619"/>
      <c r="D54" s="619"/>
      <c r="E54" s="618"/>
      <c r="F54" s="618"/>
      <c r="G54" s="618"/>
      <c r="H54" s="618"/>
      <c r="I54" s="618"/>
      <c r="J54" s="618"/>
      <c r="K54" s="618"/>
      <c r="L54" s="618"/>
      <c r="M54" s="618"/>
      <c r="N54" s="618"/>
      <c r="O54" s="618"/>
      <c r="P54" s="618"/>
      <c r="Q54" s="618"/>
      <c r="R54" s="618"/>
      <c r="S54" s="618"/>
      <c r="T54" s="618"/>
      <c r="U54" s="618"/>
      <c r="V54" s="618"/>
      <c r="W54" s="618"/>
      <c r="X54" s="618"/>
      <c r="Y54" s="618"/>
      <c r="Z54" s="618"/>
      <c r="AA54" s="618"/>
      <c r="AB54" s="618"/>
      <c r="AC54" s="618"/>
      <c r="AD54" s="618"/>
      <c r="AE54" s="618"/>
      <c r="AF54" s="618"/>
      <c r="AG54" s="618"/>
      <c r="AH54" s="618"/>
      <c r="AI54" s="618"/>
      <c r="AJ54" s="618"/>
      <c r="AK54" s="618"/>
      <c r="AL54" s="618"/>
      <c r="AM54" s="618"/>
      <c r="AN54" s="619"/>
      <c r="AO54" s="619"/>
      <c r="AP54" s="619"/>
      <c r="AQ54" s="619"/>
      <c r="AR54" s="619"/>
      <c r="AS54" s="619"/>
      <c r="AT54" s="618"/>
      <c r="AU54" s="619"/>
      <c r="AV54" s="619"/>
      <c r="AW54" s="695"/>
      <c r="AX54" s="695"/>
      <c r="AY54" s="619"/>
      <c r="AZ54" s="619"/>
      <c r="BA54" s="619"/>
      <c r="BB54" s="619"/>
      <c r="BC54" s="619"/>
      <c r="BD54" s="619"/>
      <c r="BE54" s="619"/>
      <c r="BF54" s="786"/>
      <c r="BG54" s="619"/>
      <c r="BH54" s="619"/>
      <c r="BI54" s="698"/>
      <c r="BJ54" s="698"/>
      <c r="BK54" s="698"/>
      <c r="BL54" s="575"/>
      <c r="BN54" s="575"/>
      <c r="BO54" s="575"/>
      <c r="BP54" s="575"/>
      <c r="BQ54" s="575"/>
    </row>
    <row r="55" spans="1:69" ht="12.75" customHeight="1" x14ac:dyDescent="0.2">
      <c r="A55" s="699"/>
      <c r="B55" s="584"/>
      <c r="C55" s="619"/>
      <c r="D55" s="619"/>
      <c r="E55" s="618"/>
      <c r="F55" s="618"/>
      <c r="G55" s="700"/>
      <c r="H55" s="700"/>
      <c r="I55" s="618"/>
      <c r="J55" s="618"/>
      <c r="K55" s="700"/>
      <c r="L55" s="700"/>
      <c r="M55" s="618"/>
      <c r="N55" s="618"/>
      <c r="O55" s="700"/>
      <c r="P55" s="700"/>
      <c r="Q55" s="618"/>
      <c r="R55" s="618"/>
      <c r="S55" s="700"/>
      <c r="T55" s="700"/>
      <c r="U55" s="618"/>
      <c r="V55" s="618"/>
      <c r="W55" s="618"/>
      <c r="X55" s="700"/>
      <c r="Y55" s="618"/>
      <c r="Z55" s="700"/>
      <c r="AA55" s="618"/>
      <c r="AB55" s="700"/>
      <c r="AC55" s="618"/>
      <c r="AD55" s="700"/>
      <c r="AE55" s="618"/>
      <c r="AF55" s="700"/>
      <c r="AG55" s="618"/>
      <c r="AH55" s="700"/>
      <c r="AI55" s="618"/>
      <c r="AJ55" s="618"/>
      <c r="AK55" s="618"/>
      <c r="AL55" s="618"/>
      <c r="AM55" s="618"/>
      <c r="AN55" s="619"/>
      <c r="AO55" s="619"/>
      <c r="AP55" s="619"/>
      <c r="AQ55" s="619"/>
      <c r="AR55" s="619"/>
      <c r="AS55" s="619"/>
      <c r="AT55" s="618"/>
      <c r="AU55" s="619"/>
      <c r="AV55" s="619"/>
      <c r="AW55" s="695"/>
      <c r="AX55" s="695"/>
      <c r="AY55" s="619"/>
      <c r="AZ55" s="619"/>
      <c r="BA55" s="619"/>
      <c r="BB55" s="619"/>
      <c r="BC55" s="619"/>
      <c r="BD55" s="619"/>
      <c r="BE55" s="619"/>
      <c r="BF55" s="619"/>
      <c r="BG55" s="619"/>
      <c r="BH55" s="619"/>
      <c r="BI55" s="698"/>
      <c r="BJ55" s="698"/>
      <c r="BK55" s="698"/>
      <c r="BL55" s="575"/>
      <c r="BN55" s="575"/>
      <c r="BO55" s="575"/>
      <c r="BP55" s="575"/>
      <c r="BQ55" s="575"/>
    </row>
    <row r="56" spans="1:69" ht="12.75" customHeight="1" x14ac:dyDescent="0.2">
      <c r="A56" s="583"/>
      <c r="B56" s="584"/>
      <c r="C56" s="2395" t="s">
        <v>348</v>
      </c>
      <c r="D56" s="2396"/>
      <c r="E56" s="585"/>
      <c r="F56" s="586"/>
      <c r="G56" s="586"/>
      <c r="I56" s="587"/>
      <c r="J56" s="586"/>
      <c r="K56" s="586"/>
      <c r="M56" s="587"/>
      <c r="N56" s="586"/>
      <c r="O56" s="586"/>
      <c r="Q56" s="587"/>
      <c r="R56" s="586"/>
      <c r="S56" s="586"/>
      <c r="U56" s="587"/>
      <c r="V56" s="586"/>
      <c r="W56" s="586"/>
      <c r="Y56" s="587"/>
      <c r="Z56" s="586"/>
      <c r="AA56" s="586"/>
      <c r="AC56" s="587"/>
      <c r="AD56" s="586"/>
      <c r="AE56" s="586"/>
      <c r="AG56" s="587"/>
      <c r="AI56" s="586"/>
      <c r="AJ56" s="586"/>
      <c r="AK56" s="587"/>
      <c r="AL56" s="586"/>
      <c r="AM56" s="586"/>
      <c r="AN56" s="586"/>
      <c r="AO56" s="586"/>
      <c r="AP56" s="588"/>
      <c r="AQ56" s="587"/>
      <c r="AR56" s="587"/>
      <c r="AS56" s="587"/>
      <c r="AT56" s="594"/>
      <c r="AU56" s="433" t="s">
        <v>281</v>
      </c>
      <c r="AV56" s="433"/>
      <c r="AW56" s="433" t="s">
        <v>338</v>
      </c>
      <c r="AX56" s="434"/>
      <c r="AY56" s="590"/>
      <c r="AZ56" s="591"/>
      <c r="BA56" s="591"/>
      <c r="BB56" s="591"/>
      <c r="BC56" s="591"/>
      <c r="BD56" s="591"/>
      <c r="BE56" s="591"/>
      <c r="BF56" s="591"/>
      <c r="BG56" s="701"/>
      <c r="BH56" s="702"/>
      <c r="BI56" s="591"/>
      <c r="BJ56" s="591"/>
      <c r="BK56" s="591"/>
      <c r="BL56" s="594"/>
      <c r="BN56" s="575"/>
      <c r="BO56" s="575"/>
      <c r="BP56" s="575"/>
      <c r="BQ56" s="575"/>
    </row>
    <row r="57" spans="1:69" ht="12.75" customHeight="1" x14ac:dyDescent="0.2">
      <c r="A57" s="583" t="s">
        <v>2</v>
      </c>
      <c r="B57" s="584"/>
      <c r="C57" s="2397" t="s">
        <v>35</v>
      </c>
      <c r="D57" s="2398"/>
      <c r="E57" s="595"/>
      <c r="F57" s="19"/>
      <c r="G57" s="19"/>
      <c r="H57" s="19"/>
      <c r="I57" s="12" t="s">
        <v>347</v>
      </c>
      <c r="J57" s="19" t="s">
        <v>331</v>
      </c>
      <c r="K57" s="19" t="s">
        <v>332</v>
      </c>
      <c r="L57" s="19" t="s">
        <v>333</v>
      </c>
      <c r="M57" s="12" t="s">
        <v>334</v>
      </c>
      <c r="N57" s="596" t="s">
        <v>296</v>
      </c>
      <c r="O57" s="596" t="s">
        <v>295</v>
      </c>
      <c r="P57" s="596" t="s">
        <v>294</v>
      </c>
      <c r="Q57" s="597" t="s">
        <v>292</v>
      </c>
      <c r="R57" s="596" t="s">
        <v>252</v>
      </c>
      <c r="S57" s="596" t="s">
        <v>253</v>
      </c>
      <c r="T57" s="596" t="s">
        <v>254</v>
      </c>
      <c r="U57" s="597" t="s">
        <v>255</v>
      </c>
      <c r="V57" s="596" t="s">
        <v>202</v>
      </c>
      <c r="W57" s="596" t="s">
        <v>203</v>
      </c>
      <c r="X57" s="596" t="s">
        <v>204</v>
      </c>
      <c r="Y57" s="597" t="s">
        <v>201</v>
      </c>
      <c r="Z57" s="596" t="s">
        <v>173</v>
      </c>
      <c r="AA57" s="596" t="s">
        <v>174</v>
      </c>
      <c r="AB57" s="596" t="s">
        <v>175</v>
      </c>
      <c r="AC57" s="597" t="s">
        <v>176</v>
      </c>
      <c r="AD57" s="596" t="s">
        <v>109</v>
      </c>
      <c r="AE57" s="596" t="s">
        <v>108</v>
      </c>
      <c r="AF57" s="596" t="s">
        <v>107</v>
      </c>
      <c r="AG57" s="597" t="s">
        <v>106</v>
      </c>
      <c r="AH57" s="596" t="s">
        <v>78</v>
      </c>
      <c r="AI57" s="596" t="s">
        <v>79</v>
      </c>
      <c r="AJ57" s="596" t="s">
        <v>80</v>
      </c>
      <c r="AK57" s="597" t="s">
        <v>26</v>
      </c>
      <c r="AL57" s="596" t="s">
        <v>27</v>
      </c>
      <c r="AM57" s="596" t="s">
        <v>28</v>
      </c>
      <c r="AN57" s="596" t="s">
        <v>29</v>
      </c>
      <c r="AO57" s="596" t="s">
        <v>30</v>
      </c>
      <c r="AP57" s="598" t="s">
        <v>31</v>
      </c>
      <c r="AQ57" s="597" t="s">
        <v>32</v>
      </c>
      <c r="AR57" s="597" t="s">
        <v>33</v>
      </c>
      <c r="AS57" s="597" t="s">
        <v>34</v>
      </c>
      <c r="AT57" s="873"/>
      <c r="AU57" s="19" t="s">
        <v>332</v>
      </c>
      <c r="AV57" s="19" t="s">
        <v>295</v>
      </c>
      <c r="AW57" s="2399" t="s">
        <v>35</v>
      </c>
      <c r="AX57" s="2400"/>
      <c r="AY57" s="703"/>
      <c r="AZ57" s="18" t="s">
        <v>342</v>
      </c>
      <c r="BA57" s="18" t="s">
        <v>298</v>
      </c>
      <c r="BB57" s="598" t="s">
        <v>257</v>
      </c>
      <c r="BC57" s="598" t="s">
        <v>206</v>
      </c>
      <c r="BD57" s="598" t="s">
        <v>111</v>
      </c>
      <c r="BE57" s="598" t="s">
        <v>110</v>
      </c>
      <c r="BF57" s="598" t="s">
        <v>39</v>
      </c>
      <c r="BG57" s="598" t="s">
        <v>36</v>
      </c>
      <c r="BH57" s="600" t="s">
        <v>37</v>
      </c>
      <c r="BI57" s="600" t="s">
        <v>128</v>
      </c>
      <c r="BJ57" s="600" t="s">
        <v>129</v>
      </c>
      <c r="BK57" s="600" t="s">
        <v>130</v>
      </c>
      <c r="BL57" s="594"/>
      <c r="BN57" s="575"/>
      <c r="BO57" s="575"/>
      <c r="BP57" s="575"/>
      <c r="BQ57" s="575"/>
    </row>
    <row r="58" spans="1:69" ht="12.75" customHeight="1" x14ac:dyDescent="0.2">
      <c r="A58" s="704"/>
      <c r="B58" s="618" t="s">
        <v>4</v>
      </c>
      <c r="C58" s="705" t="e">
        <f>I58-M58</f>
        <v>#REF!</v>
      </c>
      <c r="D58" s="706" t="e">
        <f>IF(OR((C58/M58)&gt;3,(C58/M58)&lt;-3),"n.m.",(C58/M58))</f>
        <v>#REF!</v>
      </c>
      <c r="E58" s="617"/>
      <c r="F58" s="707"/>
      <c r="G58" s="707"/>
      <c r="H58" s="707"/>
      <c r="I58" s="708" t="e">
        <f>+I15</f>
        <v>#REF!</v>
      </c>
      <c r="J58" s="707">
        <f t="shared" ref="J58:S58" si="34">+J15</f>
        <v>104807</v>
      </c>
      <c r="K58" s="707" t="e">
        <f t="shared" si="34"/>
        <v>#REF!</v>
      </c>
      <c r="L58" s="707" t="e">
        <f t="shared" si="34"/>
        <v>#REF!</v>
      </c>
      <c r="M58" s="708" t="e">
        <f t="shared" si="34"/>
        <v>#REF!</v>
      </c>
      <c r="N58" s="707" t="e">
        <f t="shared" si="34"/>
        <v>#REF!</v>
      </c>
      <c r="O58" s="707" t="e">
        <f t="shared" si="34"/>
        <v>#REF!</v>
      </c>
      <c r="P58" s="707" t="e">
        <f t="shared" si="34"/>
        <v>#REF!</v>
      </c>
      <c r="Q58" s="708" t="e">
        <f t="shared" si="34"/>
        <v>#REF!</v>
      </c>
      <c r="R58" s="707" t="e">
        <f t="shared" si="34"/>
        <v>#REF!</v>
      </c>
      <c r="S58" s="707" t="e">
        <f t="shared" si="34"/>
        <v>#REF!</v>
      </c>
      <c r="T58" s="707">
        <v>35445</v>
      </c>
      <c r="U58" s="708">
        <v>35624</v>
      </c>
      <c r="V58" s="707">
        <v>71006</v>
      </c>
      <c r="W58" s="707">
        <v>56942</v>
      </c>
      <c r="X58" s="707">
        <v>42491</v>
      </c>
      <c r="Y58" s="707" t="e">
        <f>Y15</f>
        <v>#REF!</v>
      </c>
      <c r="Z58" s="707">
        <f>Z15</f>
        <v>88632</v>
      </c>
      <c r="AA58" s="709">
        <f>AA15</f>
        <v>109404</v>
      </c>
      <c r="AB58" s="707">
        <f>AB15</f>
        <v>49909</v>
      </c>
      <c r="AC58" s="708">
        <f>AC15</f>
        <v>53057</v>
      </c>
      <c r="AD58" s="707">
        <v>32806</v>
      </c>
      <c r="AE58" s="709">
        <v>58040</v>
      </c>
      <c r="AF58" s="707">
        <v>27314</v>
      </c>
      <c r="AG58" s="708">
        <v>30054</v>
      </c>
      <c r="AH58" s="709">
        <v>25033</v>
      </c>
      <c r="AI58" s="709">
        <v>12639</v>
      </c>
      <c r="AJ58" s="707">
        <v>23461</v>
      </c>
      <c r="AK58" s="708">
        <v>34352</v>
      </c>
      <c r="AL58" s="639">
        <v>31944</v>
      </c>
      <c r="AM58" s="639">
        <v>42952</v>
      </c>
      <c r="AN58" s="639">
        <v>39210</v>
      </c>
      <c r="AO58" s="639">
        <v>62549</v>
      </c>
      <c r="AP58" s="668">
        <v>57382</v>
      </c>
      <c r="AQ58" s="626">
        <v>48897</v>
      </c>
      <c r="AR58" s="626">
        <v>38533</v>
      </c>
      <c r="AS58" s="638">
        <v>42750</v>
      </c>
      <c r="AT58" s="615"/>
      <c r="AU58" s="628" t="e">
        <f>SUM(K58:M58)</f>
        <v>#REF!</v>
      </c>
      <c r="AV58" s="628" t="e">
        <f>SUM(O58:Q58)</f>
        <v>#REF!</v>
      </c>
      <c r="AW58" s="835" t="e">
        <f>AZ58-BA58</f>
        <v>#REF!</v>
      </c>
      <c r="AX58" s="710" t="e">
        <f>IF(OR((AW58/BA58)&gt;3,(AW58/BA58)&lt;-3),"n.m.",(AW58/BA58))</f>
        <v>#REF!</v>
      </c>
      <c r="AY58" s="619"/>
      <c r="AZ58" s="711" t="e">
        <f>+AZ15</f>
        <v>#REF!</v>
      </c>
      <c r="BA58" s="711" t="e">
        <f>+SUM(N58:Q58)</f>
        <v>#REF!</v>
      </c>
      <c r="BB58" s="711" t="e">
        <f>+'5 Capital Markets Canada'!#REF!+'6 CG - US'!#REF!</f>
        <v>#REF!</v>
      </c>
      <c r="BC58" s="711" t="e">
        <f>+'5 Capital Markets Canada'!#REF!+'6 CG - US'!#REF!</f>
        <v>#REF!</v>
      </c>
      <c r="BD58" s="711" t="e">
        <f>+'5 Capital Markets Canada'!#REF!+'6 CG - US'!#REF!</f>
        <v>#REF!</v>
      </c>
      <c r="BE58" s="711">
        <v>177581</v>
      </c>
      <c r="BF58" s="711">
        <v>122850</v>
      </c>
      <c r="BG58" s="668">
        <v>176655</v>
      </c>
      <c r="BH58" s="712">
        <v>187562</v>
      </c>
      <c r="BI58" s="671">
        <v>150470</v>
      </c>
      <c r="BJ58" s="671">
        <f>BJ15</f>
        <v>95559</v>
      </c>
      <c r="BK58" s="671">
        <v>211758</v>
      </c>
      <c r="BL58" s="594"/>
      <c r="BN58" s="575"/>
      <c r="BO58" s="575"/>
      <c r="BP58" s="575"/>
      <c r="BQ58" s="575"/>
    </row>
    <row r="59" spans="1:69" ht="12.75" customHeight="1" x14ac:dyDescent="0.2">
      <c r="A59" s="619"/>
      <c r="B59" s="618" t="s">
        <v>77</v>
      </c>
      <c r="C59" s="705" t="e">
        <f>I59-M59</f>
        <v>#REF!</v>
      </c>
      <c r="D59" s="706" t="e">
        <f>IF(OR((C59/M59)&gt;3,(C59/M59)&lt;-3),"n.m.",(C59/M59))</f>
        <v>#REF!</v>
      </c>
      <c r="E59" s="713"/>
      <c r="F59" s="707"/>
      <c r="G59" s="707"/>
      <c r="H59" s="707"/>
      <c r="I59" s="708" t="e">
        <f>+I34-666</f>
        <v>#REF!</v>
      </c>
      <c r="J59" s="707" t="e">
        <f>+J34-930-2-J29</f>
        <v>#REF!</v>
      </c>
      <c r="K59" s="707" t="e">
        <f>+K34-930-1</f>
        <v>#REF!</v>
      </c>
      <c r="L59" s="707" t="e">
        <f>+L34-930-1</f>
        <v>#REF!</v>
      </c>
      <c r="M59" s="708" t="e">
        <f>+M34-930-1</f>
        <v>#REF!</v>
      </c>
      <c r="N59" s="707" t="e">
        <f>+N34-931-1</f>
        <v>#REF!</v>
      </c>
      <c r="O59" s="707" t="e">
        <f>+O34-O29-931-1</f>
        <v>#REF!</v>
      </c>
      <c r="P59" s="707" t="e">
        <f>+P34-P29-930-1</f>
        <v>#REF!</v>
      </c>
      <c r="Q59" s="708" t="e">
        <f>+Q34-Q29-930-1</f>
        <v>#REF!</v>
      </c>
      <c r="R59" s="707" t="e">
        <f>+R34-R29-930-1</f>
        <v>#REF!</v>
      </c>
      <c r="S59" s="707" t="e">
        <f>+S34-S29-930-2</f>
        <v>#REF!</v>
      </c>
      <c r="T59" s="707">
        <v>33948</v>
      </c>
      <c r="U59" s="708">
        <v>30690</v>
      </c>
      <c r="V59" s="707">
        <v>51052</v>
      </c>
      <c r="W59" s="707">
        <v>39039</v>
      </c>
      <c r="X59" s="707">
        <v>34722</v>
      </c>
      <c r="Y59" s="708" t="e">
        <f>Y34-Y29-930</f>
        <v>#REF!</v>
      </c>
      <c r="Z59" s="707">
        <f>Z34-Z29-930</f>
        <v>49341</v>
      </c>
      <c r="AA59" s="707">
        <f>AA34-AA29-930</f>
        <v>61013</v>
      </c>
      <c r="AB59" s="707">
        <f>AB34-1827</f>
        <v>32590</v>
      </c>
      <c r="AC59" s="708">
        <f>AC34-AC33-AC32-AC31-AC30-AC29-1439</f>
        <v>31711</v>
      </c>
      <c r="AD59" s="707">
        <v>22693</v>
      </c>
      <c r="AE59" s="707">
        <v>37922</v>
      </c>
      <c r="AF59" s="707">
        <v>19480</v>
      </c>
      <c r="AG59" s="708">
        <v>22187</v>
      </c>
      <c r="AH59" s="707">
        <f>AH34-AH33-AH32-AH31-AH30</f>
        <v>15783</v>
      </c>
      <c r="AI59" s="707">
        <f>AI34-AI33-AI32-AI31-AI30</f>
        <v>21597</v>
      </c>
      <c r="AJ59" s="707">
        <f>AJ34-AJ33-AJ32-AJ31-AJ30</f>
        <v>20639</v>
      </c>
      <c r="AK59" s="708">
        <f>AK34-AK33-AK32-AK31-AK30</f>
        <v>27571</v>
      </c>
      <c r="AL59" s="639">
        <f>AL34-AL33-AL32-AL31-AL30</f>
        <v>24147</v>
      </c>
      <c r="AM59" s="639">
        <v>86348</v>
      </c>
      <c r="AN59" s="639">
        <v>72982</v>
      </c>
      <c r="AO59" s="639">
        <v>106349</v>
      </c>
      <c r="AP59" s="640">
        <v>100905</v>
      </c>
      <c r="AQ59" s="626">
        <v>75317</v>
      </c>
      <c r="AR59" s="626">
        <v>70703</v>
      </c>
      <c r="AS59" s="626">
        <v>91522</v>
      </c>
      <c r="AT59" s="615"/>
      <c r="AU59" s="658" t="e">
        <f>SUM(K59:M59)</f>
        <v>#REF!</v>
      </c>
      <c r="AV59" s="628" t="e">
        <f>SUM(O59:Q59)</f>
        <v>#REF!</v>
      </c>
      <c r="AW59" s="398" t="e">
        <f>AZ59-BA59</f>
        <v>#REF!</v>
      </c>
      <c r="AX59" s="714" t="e">
        <f>IF(OR((AW59/BA59)&gt;3,(AW59/BA59)&lt;-3),"n.m.",(AW59/BA59))</f>
        <v>#REF!</v>
      </c>
      <c r="AY59" s="619"/>
      <c r="AZ59" s="711" t="e">
        <f>+SUM(J59:M59)</f>
        <v>#REF!</v>
      </c>
      <c r="BA59" s="711" t="e">
        <f>+SUM(N59:Q59)</f>
        <v>#REF!</v>
      </c>
      <c r="BB59" s="711" t="e">
        <f>+'5 Capital Markets Canada'!#REF!+'6 CG - US'!#REF!</f>
        <v>#REF!</v>
      </c>
      <c r="BC59" s="711" t="e">
        <f>+'5 Capital Markets Canada'!#REF!+'6 CG - US'!#REF!</f>
        <v>#REF!</v>
      </c>
      <c r="BD59" s="711" t="e">
        <f>+'5 Capital Markets Canada'!#REF!+'6 CG - US'!#REF!</f>
        <v>#REF!</v>
      </c>
      <c r="BE59" s="711">
        <v>102282</v>
      </c>
      <c r="BF59" s="711">
        <v>102599</v>
      </c>
      <c r="BG59" s="640">
        <f>BG34</f>
        <v>120138</v>
      </c>
      <c r="BH59" s="715">
        <f>BH34</f>
        <v>125171</v>
      </c>
      <c r="BI59" s="642">
        <f>BI34</f>
        <v>105485</v>
      </c>
      <c r="BJ59" s="642">
        <f>BJ34</f>
        <v>67435</v>
      </c>
      <c r="BK59" s="642">
        <v>154490</v>
      </c>
      <c r="BL59" s="594"/>
      <c r="BN59" s="575"/>
      <c r="BO59" s="575"/>
      <c r="BP59" s="575"/>
      <c r="BQ59" s="575"/>
    </row>
    <row r="60" spans="1:69" ht="24.75" customHeight="1" x14ac:dyDescent="0.2">
      <c r="A60" s="619"/>
      <c r="B60" s="676" t="s">
        <v>168</v>
      </c>
      <c r="C60" s="705" t="e">
        <f>I60-M60</f>
        <v>#REF!</v>
      </c>
      <c r="D60" s="774" t="e">
        <f>IF(OR((C60/M60)&gt;3,(C60/M60)&lt;-3),"n.m.",(C60/M60))</f>
        <v>#REF!</v>
      </c>
      <c r="E60" s="713"/>
      <c r="F60" s="707"/>
      <c r="G60" s="280"/>
      <c r="H60" s="707"/>
      <c r="I60" s="708" t="e">
        <f>+I58-I59</f>
        <v>#REF!</v>
      </c>
      <c r="J60" s="707" t="e">
        <f>+J58-J59</f>
        <v>#REF!</v>
      </c>
      <c r="K60" s="280" t="e">
        <f t="shared" ref="K60:S60" si="35">+K58-K59</f>
        <v>#REF!</v>
      </c>
      <c r="L60" s="707" t="e">
        <f t="shared" si="35"/>
        <v>#REF!</v>
      </c>
      <c r="M60" s="708" t="e">
        <f t="shared" si="35"/>
        <v>#REF!</v>
      </c>
      <c r="N60" s="707" t="e">
        <f t="shared" si="35"/>
        <v>#REF!</v>
      </c>
      <c r="O60" s="707" t="e">
        <f t="shared" si="35"/>
        <v>#REF!</v>
      </c>
      <c r="P60" s="707" t="e">
        <f t="shared" si="35"/>
        <v>#REF!</v>
      </c>
      <c r="Q60" s="708" t="e">
        <f t="shared" si="35"/>
        <v>#REF!</v>
      </c>
      <c r="R60" s="707" t="e">
        <f t="shared" si="35"/>
        <v>#REF!</v>
      </c>
      <c r="S60" s="707" t="e">
        <f t="shared" si="35"/>
        <v>#REF!</v>
      </c>
      <c r="T60" s="707">
        <v>1497</v>
      </c>
      <c r="U60" s="708">
        <v>4934</v>
      </c>
      <c r="V60" s="707">
        <v>19954</v>
      </c>
      <c r="W60" s="707">
        <v>17903</v>
      </c>
      <c r="X60" s="707">
        <v>7769</v>
      </c>
      <c r="Y60" s="708" t="e">
        <f t="shared" ref="Y60:AL60" si="36">Y58-Y59</f>
        <v>#REF!</v>
      </c>
      <c r="Z60" s="707">
        <f t="shared" si="36"/>
        <v>39291</v>
      </c>
      <c r="AA60" s="707">
        <f t="shared" si="36"/>
        <v>48391</v>
      </c>
      <c r="AB60" s="707">
        <f t="shared" si="36"/>
        <v>17319</v>
      </c>
      <c r="AC60" s="708">
        <f t="shared" si="36"/>
        <v>21346</v>
      </c>
      <c r="AD60" s="707">
        <f t="shared" si="36"/>
        <v>10113</v>
      </c>
      <c r="AE60" s="707">
        <f t="shared" si="36"/>
        <v>20118</v>
      </c>
      <c r="AF60" s="707">
        <f>AF58-AF59</f>
        <v>7834</v>
      </c>
      <c r="AG60" s="708">
        <f t="shared" si="36"/>
        <v>7867</v>
      </c>
      <c r="AH60" s="707">
        <f t="shared" si="36"/>
        <v>9250</v>
      </c>
      <c r="AI60" s="707">
        <f t="shared" si="36"/>
        <v>-8958</v>
      </c>
      <c r="AJ60" s="707">
        <f t="shared" si="36"/>
        <v>2822</v>
      </c>
      <c r="AK60" s="708">
        <f t="shared" si="36"/>
        <v>6781</v>
      </c>
      <c r="AL60" s="639">
        <f t="shared" si="36"/>
        <v>7797</v>
      </c>
      <c r="AM60" s="639">
        <v>23235</v>
      </c>
      <c r="AN60" s="639">
        <v>16089</v>
      </c>
      <c r="AO60" s="639">
        <v>48674</v>
      </c>
      <c r="AP60" s="640">
        <v>29246</v>
      </c>
      <c r="AQ60" s="626">
        <v>26110</v>
      </c>
      <c r="AR60" s="626">
        <v>22330</v>
      </c>
      <c r="AS60" s="626">
        <v>33584</v>
      </c>
      <c r="AT60" s="615"/>
      <c r="AU60" s="658" t="e">
        <f>AU58-AU59</f>
        <v>#REF!</v>
      </c>
      <c r="AV60" s="628" t="e">
        <f>+AV58-AV59</f>
        <v>#REF!</v>
      </c>
      <c r="AW60" s="398" t="e">
        <f>AZ60-BA60</f>
        <v>#REF!</v>
      </c>
      <c r="AX60" s="714" t="e">
        <f>IF(OR((AW60/BA60)&gt;3,(AW60/BA60)&lt;-3),"n.m.",(AW60/BA60))</f>
        <v>#REF!</v>
      </c>
      <c r="AY60" s="619"/>
      <c r="AZ60" s="711" t="e">
        <f>+AZ58-AZ59</f>
        <v>#REF!</v>
      </c>
      <c r="BA60" s="711" t="e">
        <f>+SUM(N60:Q60)</f>
        <v>#REF!</v>
      </c>
      <c r="BB60" s="711" t="e">
        <f>+'5 Capital Markets Canada'!#REF!+'6 CG - US'!#REF!</f>
        <v>#REF!</v>
      </c>
      <c r="BC60" s="711" t="e">
        <f>+'5 Capital Markets Canada'!#REF!+'6 CG - US'!#REF!</f>
        <v>#REF!</v>
      </c>
      <c r="BD60" s="711" t="e">
        <f>+'5 Capital Markets Canada'!#REF!+'6 CG - US'!#REF!</f>
        <v>#REF!</v>
      </c>
      <c r="BE60" s="711">
        <v>75299</v>
      </c>
      <c r="BF60" s="711">
        <v>20251</v>
      </c>
      <c r="BG60" s="716">
        <f>BG58-BG59</f>
        <v>56517</v>
      </c>
      <c r="BH60" s="717">
        <f>BH58-BH59</f>
        <v>62391</v>
      </c>
      <c r="BI60" s="718">
        <f>BI58-BI59</f>
        <v>44985</v>
      </c>
      <c r="BJ60" s="718">
        <f>BJ58-BJ59</f>
        <v>28124</v>
      </c>
      <c r="BK60" s="718">
        <v>57268</v>
      </c>
      <c r="BL60" s="594"/>
      <c r="BN60" s="575"/>
      <c r="BO60" s="575"/>
      <c r="BP60" s="575"/>
      <c r="BQ60" s="575"/>
    </row>
    <row r="61" spans="1:69" ht="24.75" customHeight="1" x14ac:dyDescent="0.2">
      <c r="A61" s="619"/>
      <c r="B61" s="676" t="s">
        <v>319</v>
      </c>
      <c r="C61" s="719" t="e">
        <f>I61-M61</f>
        <v>#REF!</v>
      </c>
      <c r="D61" s="720" t="e">
        <f>IF(OR((C61/M61)&gt;3,(C61/M61)&lt;-3),"n.m.",(C61/M61))</f>
        <v>#REF!</v>
      </c>
      <c r="E61" s="713"/>
      <c r="F61" s="627"/>
      <c r="G61" s="627"/>
      <c r="H61" s="627"/>
      <c r="I61" s="721" t="e">
        <f>+I60-I40</f>
        <v>#REF!</v>
      </c>
      <c r="J61" s="627" t="e">
        <f t="shared" ref="J61:S61" si="37">+J60-J40</f>
        <v>#REF!</v>
      </c>
      <c r="K61" s="832" t="e">
        <f t="shared" si="37"/>
        <v>#REF!</v>
      </c>
      <c r="L61" s="627" t="e">
        <f t="shared" si="37"/>
        <v>#REF!</v>
      </c>
      <c r="M61" s="721" t="e">
        <f t="shared" si="37"/>
        <v>#REF!</v>
      </c>
      <c r="N61" s="627" t="e">
        <f t="shared" si="37"/>
        <v>#REF!</v>
      </c>
      <c r="O61" s="627" t="e">
        <f t="shared" si="37"/>
        <v>#REF!</v>
      </c>
      <c r="P61" s="627" t="e">
        <f t="shared" si="37"/>
        <v>#REF!</v>
      </c>
      <c r="Q61" s="721" t="e">
        <f t="shared" si="37"/>
        <v>#REF!</v>
      </c>
      <c r="R61" s="627" t="e">
        <f t="shared" si="37"/>
        <v>#REF!</v>
      </c>
      <c r="S61" s="627" t="e">
        <f t="shared" si="37"/>
        <v>#REF!</v>
      </c>
      <c r="T61" s="832">
        <v>-1021</v>
      </c>
      <c r="U61" s="721">
        <v>2020</v>
      </c>
      <c r="V61" s="627">
        <v>16847</v>
      </c>
      <c r="W61" s="627">
        <v>15288</v>
      </c>
      <c r="X61" s="627">
        <v>4665</v>
      </c>
      <c r="Y61" s="721" t="e">
        <f>+Y60-Y40</f>
        <v>#REF!</v>
      </c>
      <c r="Z61" s="627">
        <f>+Z60-Z40</f>
        <v>37731</v>
      </c>
      <c r="AA61" s="627">
        <f>+AA60-AA40</f>
        <v>46595</v>
      </c>
      <c r="AB61" s="627"/>
      <c r="AC61" s="721"/>
      <c r="AD61" s="627"/>
      <c r="AE61" s="627"/>
      <c r="AF61" s="627"/>
      <c r="AG61" s="721"/>
      <c r="AH61" s="627"/>
      <c r="AI61" s="627"/>
      <c r="AJ61" s="627"/>
      <c r="AK61" s="721"/>
      <c r="AL61" s="625"/>
      <c r="AM61" s="625"/>
      <c r="AN61" s="625"/>
      <c r="AO61" s="625"/>
      <c r="AP61" s="716"/>
      <c r="AQ61" s="649"/>
      <c r="AR61" s="649"/>
      <c r="AS61" s="649"/>
      <c r="AT61" s="615"/>
      <c r="AU61" s="627" t="e">
        <f>+AU60-AU40</f>
        <v>#REF!</v>
      </c>
      <c r="AV61" s="627" t="e">
        <f>+AV60-AV40</f>
        <v>#REF!</v>
      </c>
      <c r="AW61" s="836" t="e">
        <f>AZ61-BA61</f>
        <v>#REF!</v>
      </c>
      <c r="AX61" s="720" t="e">
        <f>IF(OR((AW61/BA61)&gt;3,(AW61/BA61)&lt;-3),"n.m.",(AW61/BA61))</f>
        <v>#REF!</v>
      </c>
      <c r="AY61" s="619"/>
      <c r="AZ61" s="722" t="e">
        <f>+AZ60-AZ40</f>
        <v>#REF!</v>
      </c>
      <c r="BA61" s="722" t="e">
        <f>+SUM(N61:Q61)</f>
        <v>#REF!</v>
      </c>
      <c r="BB61" s="722" t="e">
        <f>+'5 Capital Markets Canada'!#REF!+'6 CG - US'!#REF!</f>
        <v>#REF!</v>
      </c>
      <c r="BC61" s="722" t="e">
        <f>+'5 Capital Markets Canada'!#REF!+'6 CG - US'!#REF!</f>
        <v>#REF!</v>
      </c>
      <c r="BD61" s="722" t="e">
        <f>+'5 Capital Markets Canada'!#REF!+'6 CG - US'!#REF!</f>
        <v>#REF!</v>
      </c>
      <c r="BE61" s="722">
        <v>65726</v>
      </c>
      <c r="BF61" s="722">
        <v>20251</v>
      </c>
      <c r="BG61" s="639"/>
      <c r="BH61" s="639"/>
      <c r="BI61" s="653"/>
      <c r="BJ61" s="653"/>
      <c r="BK61" s="653"/>
      <c r="BL61" s="575"/>
      <c r="BN61" s="575"/>
      <c r="BO61" s="575"/>
      <c r="BP61" s="575"/>
      <c r="BQ61" s="575"/>
    </row>
    <row r="62" spans="1:69" ht="12.75" customHeight="1" x14ac:dyDescent="0.2">
      <c r="A62" s="619"/>
      <c r="B62" s="618"/>
      <c r="C62" s="723"/>
      <c r="D62" s="693"/>
      <c r="E62" s="693"/>
      <c r="F62" s="693"/>
      <c r="G62" s="584"/>
      <c r="H62" s="584"/>
      <c r="I62" s="618"/>
      <c r="J62" s="693"/>
      <c r="K62" s="584"/>
      <c r="L62" s="584"/>
      <c r="M62" s="618"/>
      <c r="N62" s="693"/>
      <c r="O62" s="584"/>
      <c r="P62" s="584"/>
      <c r="Q62" s="618"/>
      <c r="R62" s="693"/>
      <c r="S62" s="584"/>
      <c r="T62" s="584"/>
      <c r="U62" s="618"/>
      <c r="V62" s="693"/>
      <c r="W62" s="693"/>
      <c r="X62" s="584"/>
      <c r="Y62" s="618"/>
      <c r="Z62" s="693"/>
      <c r="AA62" s="693"/>
      <c r="AB62" s="693"/>
      <c r="AC62" s="618"/>
      <c r="AD62" s="693"/>
      <c r="AE62" s="693"/>
      <c r="AF62" s="693"/>
      <c r="AG62" s="618"/>
      <c r="AH62" s="693"/>
      <c r="AI62" s="693"/>
      <c r="AJ62" s="693"/>
      <c r="AK62" s="618"/>
      <c r="AL62" s="619"/>
      <c r="AM62" s="619"/>
      <c r="AN62" s="619"/>
      <c r="AO62" s="619"/>
      <c r="AP62" s="619"/>
      <c r="AQ62" s="619"/>
      <c r="AR62" s="619"/>
      <c r="AS62" s="619"/>
      <c r="AT62" s="618"/>
      <c r="AU62" s="693"/>
      <c r="AV62" s="693"/>
      <c r="AW62" s="724"/>
      <c r="AX62" s="725"/>
      <c r="AY62" s="618"/>
      <c r="AZ62" s="618"/>
      <c r="BA62" s="618"/>
      <c r="BB62" s="618"/>
      <c r="BC62" s="618"/>
      <c r="BD62" s="618"/>
      <c r="BE62" s="618"/>
      <c r="BF62" s="618"/>
      <c r="BG62" s="619"/>
      <c r="BH62" s="619"/>
      <c r="BI62" s="653"/>
      <c r="BJ62" s="653"/>
      <c r="BK62" s="653"/>
      <c r="BL62" s="575"/>
      <c r="BN62" s="575"/>
      <c r="BO62" s="575"/>
      <c r="BP62" s="575"/>
      <c r="BQ62" s="575"/>
    </row>
    <row r="63" spans="1:69" ht="12.75" customHeight="1" x14ac:dyDescent="0.2">
      <c r="A63" s="619"/>
      <c r="B63" s="688" t="s">
        <v>72</v>
      </c>
      <c r="C63" s="726" t="e">
        <f>(I63-M63)*100</f>
        <v>#REF!</v>
      </c>
      <c r="D63" s="693"/>
      <c r="E63" s="693"/>
      <c r="F63" s="693"/>
      <c r="G63" s="693"/>
      <c r="H63" s="693"/>
      <c r="I63" s="693" t="e">
        <f>(I59-I19-I20)/I58</f>
        <v>#REF!</v>
      </c>
      <c r="J63" s="693" t="e">
        <f t="shared" ref="J63:S63" si="38">(J59-J19-J20)/J58</f>
        <v>#REF!</v>
      </c>
      <c r="K63" s="693" t="e">
        <f t="shared" si="38"/>
        <v>#REF!</v>
      </c>
      <c r="L63" s="693" t="e">
        <f t="shared" si="38"/>
        <v>#REF!</v>
      </c>
      <c r="M63" s="693" t="e">
        <f t="shared" si="38"/>
        <v>#REF!</v>
      </c>
      <c r="N63" s="693" t="e">
        <f t="shared" si="38"/>
        <v>#REF!</v>
      </c>
      <c r="O63" s="693" t="e">
        <f t="shared" si="38"/>
        <v>#REF!</v>
      </c>
      <c r="P63" s="693" t="e">
        <f t="shared" si="38"/>
        <v>#REF!</v>
      </c>
      <c r="Q63" s="693" t="e">
        <f t="shared" si="38"/>
        <v>#REF!</v>
      </c>
      <c r="R63" s="693" t="e">
        <f t="shared" si="38"/>
        <v>#REF!</v>
      </c>
      <c r="S63" s="693" t="e">
        <f t="shared" si="38"/>
        <v>#REF!</v>
      </c>
      <c r="T63" s="693">
        <v>0.3457469318662717</v>
      </c>
      <c r="U63" s="693">
        <v>0.33334269032113184</v>
      </c>
      <c r="V63" s="693">
        <v>0.18522378390558544</v>
      </c>
      <c r="W63" s="693">
        <v>0.19358294404832987</v>
      </c>
      <c r="X63" s="693">
        <v>0.32216234026029039</v>
      </c>
      <c r="Y63" s="693" t="e">
        <f>(Y59-Y19-Y20)/Y58</f>
        <v>#REF!</v>
      </c>
      <c r="Z63" s="693">
        <f>(Z59-Z19-Z20)/Z58</f>
        <v>0.1049846556548425</v>
      </c>
      <c r="AA63" s="693">
        <f>(AA59-AA19-AA20)/AA15</f>
        <v>0.10878030053745749</v>
      </c>
      <c r="AB63" s="693">
        <f>(AB59-AB19-AB20)/AB15</f>
        <v>0.1807689995792342</v>
      </c>
      <c r="AC63" s="693">
        <f>(AC59-AC19-AC20)/AC15</f>
        <v>0.15194978984865334</v>
      </c>
      <c r="AD63" s="693">
        <v>0.1537803312755944</v>
      </c>
      <c r="AE63" s="693">
        <v>0.10480982581197477</v>
      </c>
      <c r="AF63" s="693">
        <v>0.15381132075471698</v>
      </c>
      <c r="AG63" s="693">
        <v>0.14983030545018966</v>
      </c>
      <c r="AH63" s="693">
        <f>(AH22+AH23+AH24+AH25+AH26+AH27+AH28)/AH15</f>
        <v>0.11488834738145648</v>
      </c>
      <c r="AI63" s="693">
        <f>(AI22+AI23+AI24+AI25+AI26+AI27+AI28)/AI15</f>
        <v>0.45581137748239575</v>
      </c>
      <c r="AJ63" s="693">
        <f>(AJ22+AJ23+AJ24+AJ25+AJ26+AJ27+AJ28)/AJ15</f>
        <v>0.28570819658156088</v>
      </c>
      <c r="AK63" s="693">
        <f>(AK22+AK23+AK24+AK25+AK26+AK27+AK28)/AK15</f>
        <v>0.21975430833721471</v>
      </c>
      <c r="AL63" s="693">
        <f>(AL22+AL23+AL24+AL25+AL26+AL27+AL28)/AL15</f>
        <v>0.22119959929877286</v>
      </c>
      <c r="AM63" s="690">
        <v>0.22941514650995137</v>
      </c>
      <c r="AN63" s="690">
        <v>0.30967430476810637</v>
      </c>
      <c r="AO63" s="690">
        <v>0.16900000000000004</v>
      </c>
      <c r="AP63" s="690">
        <v>0.21100000000000008</v>
      </c>
      <c r="AQ63" s="690">
        <v>0.20399999999999996</v>
      </c>
      <c r="AR63" s="690">
        <v>0.249</v>
      </c>
      <c r="AS63" s="690">
        <v>0.17899999999999994</v>
      </c>
      <c r="AT63" s="618"/>
      <c r="AU63" s="693" t="e">
        <f>(AU59-AU19-AU20)/AU58</f>
        <v>#REF!</v>
      </c>
      <c r="AV63" s="693" t="e">
        <f>(AV59-AV19-AV20)/AV58</f>
        <v>#REF!</v>
      </c>
      <c r="AW63" s="686" t="e">
        <f>(AZ63-BA63)*100</f>
        <v>#REF!</v>
      </c>
      <c r="AX63" s="725"/>
      <c r="AY63" s="618"/>
      <c r="AZ63" s="693" t="e">
        <f t="shared" ref="AZ63:BE63" si="39">(AZ59-AZ19-AZ20)/AZ58</f>
        <v>#REF!</v>
      </c>
      <c r="BA63" s="693" t="e">
        <f t="shared" si="39"/>
        <v>#REF!</v>
      </c>
      <c r="BB63" s="693" t="e">
        <f t="shared" si="39"/>
        <v>#REF!</v>
      </c>
      <c r="BC63" s="693" t="e">
        <f t="shared" si="39"/>
        <v>#REF!</v>
      </c>
      <c r="BD63" s="693" t="e">
        <f t="shared" si="39"/>
        <v>#REF!</v>
      </c>
      <c r="BE63" s="693">
        <f t="shared" si="39"/>
        <v>2.628096474284974E-2</v>
      </c>
      <c r="BF63" s="690">
        <v>0.25467643467643469</v>
      </c>
      <c r="BG63" s="690">
        <f>(BG22+BG23+BG24+BG25+BG26+BG27+BG28)/BG15</f>
        <v>0.1641504627664091</v>
      </c>
      <c r="BH63" s="690">
        <f>(BH22+BH23+BH24+BH25+BH26+BH27+BH28)/BH15</f>
        <v>0.13159381964363784</v>
      </c>
      <c r="BI63" s="688">
        <f>(BI22+BI23+BI24+BI25+BI26+BI27+BI28)/BI15</f>
        <v>0.13831328504020735</v>
      </c>
      <c r="BJ63" s="688">
        <f>(BJ22+BJ23+BJ24+BJ25+BJ26+BJ27+BJ28)/BJ15</f>
        <v>0.13580091880408962</v>
      </c>
      <c r="BK63" s="688">
        <v>0.10299999999999998</v>
      </c>
      <c r="BL63" s="575"/>
      <c r="BN63" s="575"/>
      <c r="BO63" s="575"/>
      <c r="BP63" s="575"/>
      <c r="BQ63" s="575"/>
    </row>
    <row r="64" spans="1:69" ht="12.75" customHeight="1" x14ac:dyDescent="0.2">
      <c r="A64" s="619"/>
      <c r="B64" s="688" t="s">
        <v>73</v>
      </c>
      <c r="C64" s="726" t="e">
        <f>(I64-M64)*100</f>
        <v>#REF!</v>
      </c>
      <c r="D64" s="693"/>
      <c r="E64" s="693"/>
      <c r="F64" s="693"/>
      <c r="G64" s="693"/>
      <c r="H64" s="693"/>
      <c r="I64" s="693" t="e">
        <f>I59/I58</f>
        <v>#REF!</v>
      </c>
      <c r="J64" s="693" t="e">
        <f t="shared" ref="J64:S64" si="40">J59/J58</f>
        <v>#REF!</v>
      </c>
      <c r="K64" s="693" t="e">
        <f t="shared" si="40"/>
        <v>#REF!</v>
      </c>
      <c r="L64" s="693" t="e">
        <f t="shared" si="40"/>
        <v>#REF!</v>
      </c>
      <c r="M64" s="693" t="e">
        <f t="shared" si="40"/>
        <v>#REF!</v>
      </c>
      <c r="N64" s="693" t="e">
        <f t="shared" si="40"/>
        <v>#REF!</v>
      </c>
      <c r="O64" s="693" t="e">
        <f t="shared" si="40"/>
        <v>#REF!</v>
      </c>
      <c r="P64" s="693" t="e">
        <f t="shared" si="40"/>
        <v>#REF!</v>
      </c>
      <c r="Q64" s="693" t="e">
        <f t="shared" si="40"/>
        <v>#REF!</v>
      </c>
      <c r="R64" s="693" t="e">
        <f t="shared" si="40"/>
        <v>#REF!</v>
      </c>
      <c r="S64" s="693" t="e">
        <f t="shared" si="40"/>
        <v>#REF!</v>
      </c>
      <c r="T64" s="693">
        <v>0.95776555226407112</v>
      </c>
      <c r="U64" s="693">
        <v>0.86149786660678196</v>
      </c>
      <c r="V64" s="693">
        <v>0.71898149452158977</v>
      </c>
      <c r="W64" s="693">
        <v>0.68559235713533073</v>
      </c>
      <c r="X64" s="693">
        <v>0.8171612812124921</v>
      </c>
      <c r="Y64" s="693" t="e">
        <f>Y59/Y58</f>
        <v>#REF!</v>
      </c>
      <c r="Z64" s="693">
        <f>Z59/Z58</f>
        <v>0.55669509883563495</v>
      </c>
      <c r="AA64" s="693">
        <f>AA59/AA58</f>
        <v>0.55768527658952138</v>
      </c>
      <c r="AB64" s="693">
        <f>AB59/AB58</f>
        <v>0.65298843895890524</v>
      </c>
      <c r="AC64" s="693">
        <f>AC59/AC58</f>
        <v>0.59767796897676084</v>
      </c>
      <c r="AD64" s="693">
        <v>0.69350895422040215</v>
      </c>
      <c r="AE64" s="693">
        <v>0.66254345965022621</v>
      </c>
      <c r="AF64" s="693">
        <v>0.73509433962264148</v>
      </c>
      <c r="AG64" s="693">
        <v>0.73823783855726355</v>
      </c>
      <c r="AH64" s="693">
        <f>AH59/AH58</f>
        <v>0.63048775616186636</v>
      </c>
      <c r="AI64" s="693">
        <f>AI59/AI58</f>
        <v>1.7087586043199621</v>
      </c>
      <c r="AJ64" s="693">
        <f>AJ59/AJ58</f>
        <v>0.87971527215378709</v>
      </c>
      <c r="AK64" s="693">
        <f>AK59/AK58</f>
        <v>0.80260246856078243</v>
      </c>
      <c r="AL64" s="693">
        <f>AL59/AL58</f>
        <v>0.75591660405709993</v>
      </c>
      <c r="AM64" s="690">
        <v>0.78796893678764046</v>
      </c>
      <c r="AN64" s="690">
        <v>0.81936881813384832</v>
      </c>
      <c r="AO64" s="690">
        <v>0.68600000000000005</v>
      </c>
      <c r="AP64" s="690">
        <v>0.77500000000000002</v>
      </c>
      <c r="AQ64" s="690">
        <v>0.74299999999999999</v>
      </c>
      <c r="AR64" s="690">
        <v>0.76</v>
      </c>
      <c r="AS64" s="690">
        <v>0.73199999999999998</v>
      </c>
      <c r="AT64" s="618"/>
      <c r="AU64" s="693" t="e">
        <f>AU59/AU58</f>
        <v>#REF!</v>
      </c>
      <c r="AV64" s="693" t="e">
        <f>AV59/AV58</f>
        <v>#REF!</v>
      </c>
      <c r="AW64" s="686" t="e">
        <f>(AZ64-BA64)*100</f>
        <v>#REF!</v>
      </c>
      <c r="AX64" s="725"/>
      <c r="AY64" s="618"/>
      <c r="AZ64" s="693" t="e">
        <f t="shared" ref="AZ64:BE64" si="41">AZ59/AZ58</f>
        <v>#REF!</v>
      </c>
      <c r="BA64" s="693" t="e">
        <f t="shared" si="41"/>
        <v>#REF!</v>
      </c>
      <c r="BB64" s="693" t="e">
        <f t="shared" si="41"/>
        <v>#REF!</v>
      </c>
      <c r="BC64" s="693" t="e">
        <f t="shared" si="41"/>
        <v>#REF!</v>
      </c>
      <c r="BD64" s="693" t="e">
        <f t="shared" si="41"/>
        <v>#REF!</v>
      </c>
      <c r="BE64" s="693">
        <f t="shared" si="41"/>
        <v>0.5759737809788209</v>
      </c>
      <c r="BF64" s="690">
        <v>0.83515669515669511</v>
      </c>
      <c r="BG64" s="690">
        <f>BG59/BG58</f>
        <v>0.68007132546488924</v>
      </c>
      <c r="BH64" s="690">
        <f>BH59/BH58</f>
        <v>0.66735799362344184</v>
      </c>
      <c r="BI64" s="688">
        <f>BI59/BI58</f>
        <v>0.70103675151192923</v>
      </c>
      <c r="BJ64" s="688">
        <f>BJ59/BJ58</f>
        <v>0.70568967862786336</v>
      </c>
      <c r="BK64" s="688">
        <v>0.73</v>
      </c>
      <c r="BL64" s="575"/>
      <c r="BN64" s="575"/>
      <c r="BO64" s="575"/>
      <c r="BP64" s="575"/>
      <c r="BQ64" s="575"/>
    </row>
    <row r="65" spans="1:64" ht="12.75" customHeight="1" x14ac:dyDescent="0.2">
      <c r="A65" s="619"/>
      <c r="B65" s="688" t="s">
        <v>167</v>
      </c>
      <c r="C65" s="726" t="e">
        <f>(I65-M65)*100</f>
        <v>#REF!</v>
      </c>
      <c r="D65" s="693"/>
      <c r="E65" s="693"/>
      <c r="F65" s="693"/>
      <c r="G65" s="693"/>
      <c r="H65" s="693"/>
      <c r="I65" s="693" t="e">
        <f>I60/I58</f>
        <v>#REF!</v>
      </c>
      <c r="J65" s="693" t="e">
        <f t="shared" ref="J65:S65" si="42">J60/J58</f>
        <v>#REF!</v>
      </c>
      <c r="K65" s="693" t="e">
        <f t="shared" si="42"/>
        <v>#REF!</v>
      </c>
      <c r="L65" s="693" t="e">
        <f t="shared" si="42"/>
        <v>#REF!</v>
      </c>
      <c r="M65" s="693" t="e">
        <f t="shared" si="42"/>
        <v>#REF!</v>
      </c>
      <c r="N65" s="693" t="e">
        <f t="shared" si="42"/>
        <v>#REF!</v>
      </c>
      <c r="O65" s="693" t="e">
        <f t="shared" si="42"/>
        <v>#REF!</v>
      </c>
      <c r="P65" s="693" t="e">
        <f t="shared" si="42"/>
        <v>#REF!</v>
      </c>
      <c r="Q65" s="693" t="e">
        <f t="shared" si="42"/>
        <v>#REF!</v>
      </c>
      <c r="R65" s="693" t="e">
        <f t="shared" si="42"/>
        <v>#REF!</v>
      </c>
      <c r="S65" s="693" t="e">
        <f t="shared" si="42"/>
        <v>#REF!</v>
      </c>
      <c r="T65" s="693">
        <v>4.2234447735928903E-2</v>
      </c>
      <c r="U65" s="693">
        <v>0.13850213339321807</v>
      </c>
      <c r="V65" s="693">
        <v>0.28101850547841029</v>
      </c>
      <c r="W65" s="693">
        <v>0.31440764286466932</v>
      </c>
      <c r="X65" s="693">
        <v>0.18283871878750793</v>
      </c>
      <c r="Y65" s="693" t="e">
        <f>Y60/Y58</f>
        <v>#REF!</v>
      </c>
      <c r="Z65" s="693">
        <f>Z60/Z58</f>
        <v>0.443304901164365</v>
      </c>
      <c r="AA65" s="693">
        <f>AA60/AA58</f>
        <v>0.44231472341047862</v>
      </c>
      <c r="AB65" s="693">
        <f>AB60/AB58</f>
        <v>0.34701156104109482</v>
      </c>
      <c r="AC65" s="693">
        <f>AC60/AC58</f>
        <v>0.40232203102323916</v>
      </c>
      <c r="AD65" s="693">
        <v>0.30649104577959785</v>
      </c>
      <c r="AE65" s="693">
        <v>0.33745654034977374</v>
      </c>
      <c r="AF65" s="693">
        <v>0.26490566037735847</v>
      </c>
      <c r="AG65" s="693">
        <v>0.2617621614427364</v>
      </c>
      <c r="AH65" s="693">
        <f>AH60/AH58</f>
        <v>0.36951224383813364</v>
      </c>
      <c r="AI65" s="693">
        <f>AI60/AI58</f>
        <v>-0.70875860431996207</v>
      </c>
      <c r="AJ65" s="693">
        <f>AJ60/AJ58</f>
        <v>0.12028472784621286</v>
      </c>
      <c r="AK65" s="693">
        <f>AK60/AK58</f>
        <v>0.19739753143921751</v>
      </c>
      <c r="AL65" s="693">
        <f>AL60/AL58</f>
        <v>0.24408339594290007</v>
      </c>
      <c r="AM65" s="690">
        <v>0.21203106321235959</v>
      </c>
      <c r="AN65" s="690">
        <v>0.18063118186615174</v>
      </c>
      <c r="AO65" s="690">
        <v>0.31399999999999995</v>
      </c>
      <c r="AP65" s="690">
        <v>0.22500000000000001</v>
      </c>
      <c r="AQ65" s="690">
        <v>0.25700000000000001</v>
      </c>
      <c r="AR65" s="690">
        <v>0.24</v>
      </c>
      <c r="AS65" s="690">
        <v>0.26800000000000002</v>
      </c>
      <c r="AT65" s="618"/>
      <c r="AU65" s="693" t="e">
        <f>AU60/AU58</f>
        <v>#REF!</v>
      </c>
      <c r="AV65" s="693" t="e">
        <f>AV60/AV58</f>
        <v>#REF!</v>
      </c>
      <c r="AW65" s="686" t="e">
        <f>(AZ65-BA65)*100</f>
        <v>#REF!</v>
      </c>
      <c r="AX65" s="725"/>
      <c r="AY65" s="618"/>
      <c r="AZ65" s="693" t="e">
        <f t="shared" ref="AZ65:BE65" si="43">AZ60/AZ58</f>
        <v>#REF!</v>
      </c>
      <c r="BA65" s="693" t="e">
        <f t="shared" si="43"/>
        <v>#REF!</v>
      </c>
      <c r="BB65" s="693" t="e">
        <f t="shared" si="43"/>
        <v>#REF!</v>
      </c>
      <c r="BC65" s="693" t="e">
        <f t="shared" si="43"/>
        <v>#REF!</v>
      </c>
      <c r="BD65" s="693" t="e">
        <f t="shared" si="43"/>
        <v>#REF!</v>
      </c>
      <c r="BE65" s="693">
        <f t="shared" si="43"/>
        <v>0.42402621902117904</v>
      </c>
      <c r="BF65" s="690">
        <v>0.16484330484330484</v>
      </c>
      <c r="BG65" s="690">
        <f>BG60/BG58</f>
        <v>0.31992867453511081</v>
      </c>
      <c r="BH65" s="690">
        <f>BH60/BH58</f>
        <v>0.33264200637655816</v>
      </c>
      <c r="BI65" s="688">
        <f>BI60/BI58</f>
        <v>0.29896324848807071</v>
      </c>
      <c r="BJ65" s="688">
        <f>BJ60/BJ58</f>
        <v>0.29431032137213659</v>
      </c>
      <c r="BK65" s="688">
        <v>0.27</v>
      </c>
    </row>
    <row r="66" spans="1:64" ht="12.75" customHeight="1" x14ac:dyDescent="0.2">
      <c r="A66" s="619"/>
      <c r="B66" s="688"/>
      <c r="C66" s="726"/>
      <c r="D66" s="693"/>
      <c r="E66" s="693"/>
      <c r="F66" s="693"/>
      <c r="G66" s="693"/>
      <c r="H66" s="693"/>
      <c r="I66" s="693"/>
      <c r="J66" s="693"/>
      <c r="K66" s="693"/>
      <c r="L66" s="693"/>
      <c r="M66" s="693"/>
      <c r="N66" s="693"/>
      <c r="O66" s="693"/>
      <c r="P66" s="693"/>
      <c r="Q66" s="693"/>
      <c r="R66" s="693"/>
      <c r="S66" s="693"/>
      <c r="T66" s="693"/>
      <c r="U66" s="693"/>
      <c r="V66" s="693"/>
      <c r="W66" s="693"/>
      <c r="X66" s="693"/>
      <c r="Y66" s="693"/>
      <c r="Z66" s="693"/>
      <c r="AA66" s="693"/>
      <c r="AB66" s="693"/>
      <c r="AC66" s="693"/>
      <c r="AD66" s="693"/>
      <c r="AE66" s="693"/>
      <c r="AF66" s="693"/>
      <c r="AG66" s="693"/>
      <c r="AH66" s="693"/>
      <c r="AI66" s="693"/>
      <c r="AJ66" s="693"/>
      <c r="AK66" s="693"/>
      <c r="AL66" s="693"/>
      <c r="AM66" s="690"/>
      <c r="AN66" s="690"/>
      <c r="AO66" s="690"/>
      <c r="AP66" s="690"/>
      <c r="AQ66" s="690"/>
      <c r="AR66" s="690"/>
      <c r="AS66" s="690"/>
      <c r="AT66" s="618"/>
      <c r="AU66" s="693"/>
      <c r="AV66" s="693"/>
      <c r="AW66" s="686"/>
      <c r="AX66" s="725"/>
      <c r="AY66" s="618"/>
      <c r="AZ66" s="690"/>
      <c r="BA66" s="690"/>
      <c r="BB66" s="690"/>
      <c r="BC66" s="690"/>
      <c r="BD66" s="690"/>
      <c r="BE66" s="690"/>
      <c r="BF66" s="690"/>
      <c r="BG66" s="690"/>
      <c r="BH66" s="690"/>
      <c r="BI66" s="688"/>
      <c r="BJ66" s="688"/>
      <c r="BK66" s="688"/>
    </row>
    <row r="67" spans="1:64" ht="12.75" customHeight="1" x14ac:dyDescent="0.2">
      <c r="A67" s="727" t="s">
        <v>177</v>
      </c>
      <c r="B67" s="688"/>
      <c r="C67" s="618"/>
      <c r="D67" s="618"/>
      <c r="E67" s="618"/>
      <c r="F67" s="618"/>
      <c r="G67" s="618"/>
      <c r="H67" s="618"/>
      <c r="I67" s="618"/>
      <c r="J67" s="618"/>
      <c r="K67" s="618"/>
      <c r="L67" s="618"/>
      <c r="M67" s="618"/>
      <c r="N67" s="618"/>
      <c r="O67" s="618"/>
      <c r="P67" s="618"/>
      <c r="Q67" s="618"/>
      <c r="R67" s="618"/>
      <c r="S67" s="618"/>
      <c r="T67" s="618"/>
      <c r="U67" s="618"/>
      <c r="V67" s="618"/>
      <c r="W67" s="618"/>
      <c r="X67" s="618"/>
      <c r="Y67" s="618"/>
      <c r="Z67" s="618"/>
      <c r="AA67" s="618"/>
      <c r="AB67" s="618"/>
      <c r="AC67" s="618"/>
      <c r="AD67" s="618"/>
      <c r="AE67" s="618"/>
      <c r="AF67" s="618"/>
      <c r="AG67" s="618"/>
      <c r="AH67" s="618"/>
      <c r="AI67" s="618"/>
      <c r="AJ67" s="618"/>
      <c r="AK67" s="618"/>
      <c r="AL67" s="618"/>
      <c r="AM67" s="618"/>
      <c r="AN67" s="618"/>
      <c r="AO67" s="584"/>
      <c r="AP67" s="618"/>
      <c r="AQ67" s="584"/>
      <c r="AR67" s="584"/>
      <c r="AS67" s="618"/>
      <c r="AT67" s="618"/>
      <c r="AU67" s="618"/>
      <c r="AV67" s="618"/>
      <c r="AW67" s="695"/>
      <c r="AX67" s="695"/>
      <c r="AY67" s="618"/>
      <c r="AZ67" s="618"/>
      <c r="BA67" s="618"/>
      <c r="BB67" s="618"/>
      <c r="BC67" s="618"/>
      <c r="BD67" s="618"/>
      <c r="BE67" s="618"/>
      <c r="BF67" s="618"/>
      <c r="BG67" s="618"/>
      <c r="BH67" s="618"/>
      <c r="BI67" s="653"/>
      <c r="BJ67" s="688"/>
      <c r="BK67" s="688"/>
    </row>
    <row r="68" spans="1:64" ht="12.75" customHeight="1" x14ac:dyDescent="0.2">
      <c r="C68" s="2395" t="s">
        <v>348</v>
      </c>
      <c r="D68" s="2396"/>
      <c r="E68" s="585"/>
      <c r="F68" s="588"/>
      <c r="G68" s="586"/>
      <c r="H68" s="586"/>
      <c r="I68" s="587"/>
      <c r="J68" s="588"/>
      <c r="K68" s="586"/>
      <c r="L68" s="586"/>
      <c r="M68" s="587"/>
      <c r="N68" s="588"/>
      <c r="O68" s="586"/>
      <c r="P68" s="586"/>
      <c r="Q68" s="587"/>
      <c r="R68" s="588"/>
      <c r="S68" s="586"/>
      <c r="T68" s="586"/>
      <c r="U68" s="587"/>
      <c r="V68" s="586"/>
      <c r="W68" s="586"/>
      <c r="X68" s="586"/>
      <c r="Y68" s="587"/>
      <c r="Z68" s="586"/>
      <c r="AA68" s="587"/>
      <c r="AC68" s="587"/>
      <c r="AD68" s="586"/>
      <c r="AE68" s="586"/>
      <c r="AG68" s="587"/>
      <c r="AI68" s="586"/>
      <c r="AJ68" s="586"/>
      <c r="AK68" s="587"/>
      <c r="AL68" s="586"/>
      <c r="AM68" s="586"/>
      <c r="AN68" s="586"/>
      <c r="AO68" s="586"/>
      <c r="AP68" s="588"/>
      <c r="AQ68" s="587"/>
      <c r="AR68" s="587"/>
      <c r="AS68" s="587"/>
      <c r="AT68" s="594"/>
      <c r="AU68" s="433" t="s">
        <v>281</v>
      </c>
      <c r="AV68" s="433"/>
      <c r="AW68" s="433" t="s">
        <v>338</v>
      </c>
      <c r="AX68" s="434"/>
      <c r="AY68" s="618"/>
      <c r="AZ68" s="591"/>
      <c r="BA68" s="591"/>
      <c r="BB68" s="591"/>
      <c r="BC68" s="591"/>
      <c r="BD68" s="591"/>
      <c r="BE68" s="591"/>
      <c r="BF68" s="591"/>
      <c r="BG68" s="701"/>
      <c r="BH68" s="702"/>
      <c r="BI68" s="591"/>
      <c r="BJ68" s="688"/>
      <c r="BK68" s="688"/>
      <c r="BL68" s="594"/>
    </row>
    <row r="69" spans="1:64" ht="12.75" customHeight="1" x14ac:dyDescent="0.2">
      <c r="C69" s="2397" t="s">
        <v>35</v>
      </c>
      <c r="D69" s="2398"/>
      <c r="E69" s="595"/>
      <c r="F69" s="19"/>
      <c r="G69" s="19"/>
      <c r="H69" s="19"/>
      <c r="I69" s="12" t="s">
        <v>347</v>
      </c>
      <c r="J69" s="19" t="s">
        <v>331</v>
      </c>
      <c r="K69" s="19" t="s">
        <v>332</v>
      </c>
      <c r="L69" s="19" t="s">
        <v>333</v>
      </c>
      <c r="M69" s="12" t="s">
        <v>334</v>
      </c>
      <c r="N69" s="598" t="s">
        <v>296</v>
      </c>
      <c r="O69" s="596" t="s">
        <v>295</v>
      </c>
      <c r="P69" s="596" t="s">
        <v>294</v>
      </c>
      <c r="Q69" s="597" t="s">
        <v>292</v>
      </c>
      <c r="R69" s="598" t="s">
        <v>252</v>
      </c>
      <c r="S69" s="596" t="s">
        <v>253</v>
      </c>
      <c r="T69" s="596" t="s">
        <v>254</v>
      </c>
      <c r="U69" s="597" t="s">
        <v>255</v>
      </c>
      <c r="V69" s="596" t="s">
        <v>202</v>
      </c>
      <c r="W69" s="596" t="s">
        <v>203</v>
      </c>
      <c r="X69" s="596" t="s">
        <v>204</v>
      </c>
      <c r="Y69" s="597" t="s">
        <v>201</v>
      </c>
      <c r="Z69" s="596" t="s">
        <v>173</v>
      </c>
      <c r="AA69" s="597" t="s">
        <v>174</v>
      </c>
      <c r="AB69" s="596" t="s">
        <v>175</v>
      </c>
      <c r="AC69" s="597" t="s">
        <v>176</v>
      </c>
      <c r="AD69" s="596" t="s">
        <v>109</v>
      </c>
      <c r="AE69" s="596" t="s">
        <v>108</v>
      </c>
      <c r="AF69" s="596" t="s">
        <v>107</v>
      </c>
      <c r="AG69" s="597" t="s">
        <v>106</v>
      </c>
      <c r="AH69" s="596" t="s">
        <v>78</v>
      </c>
      <c r="AI69" s="596" t="s">
        <v>79</v>
      </c>
      <c r="AJ69" s="596" t="s">
        <v>80</v>
      </c>
      <c r="AK69" s="597" t="s">
        <v>26</v>
      </c>
      <c r="AL69" s="596" t="s">
        <v>27</v>
      </c>
      <c r="AM69" s="596" t="s">
        <v>28</v>
      </c>
      <c r="AN69" s="596" t="s">
        <v>29</v>
      </c>
      <c r="AO69" s="596" t="s">
        <v>30</v>
      </c>
      <c r="AP69" s="598" t="s">
        <v>31</v>
      </c>
      <c r="AQ69" s="597" t="s">
        <v>32</v>
      </c>
      <c r="AR69" s="597" t="s">
        <v>33</v>
      </c>
      <c r="AS69" s="597" t="s">
        <v>34</v>
      </c>
      <c r="AT69" s="873"/>
      <c r="AU69" s="19" t="s">
        <v>332</v>
      </c>
      <c r="AV69" s="19" t="s">
        <v>295</v>
      </c>
      <c r="AW69" s="2399" t="s">
        <v>35</v>
      </c>
      <c r="AX69" s="2400"/>
      <c r="AY69" s="618"/>
      <c r="AZ69" s="18" t="s">
        <v>342</v>
      </c>
      <c r="BA69" s="18" t="s">
        <v>298</v>
      </c>
      <c r="BB69" s="598" t="s">
        <v>257</v>
      </c>
      <c r="BC69" s="598" t="s">
        <v>206</v>
      </c>
      <c r="BD69" s="598" t="s">
        <v>111</v>
      </c>
      <c r="BE69" s="598" t="s">
        <v>110</v>
      </c>
      <c r="BF69" s="598" t="s">
        <v>39</v>
      </c>
      <c r="BG69" s="598" t="s">
        <v>36</v>
      </c>
      <c r="BH69" s="600" t="s">
        <v>37</v>
      </c>
      <c r="BI69" s="600" t="s">
        <v>128</v>
      </c>
      <c r="BJ69" s="688"/>
      <c r="BK69" s="688"/>
      <c r="BL69" s="594"/>
    </row>
    <row r="70" spans="1:64" ht="12.75" customHeight="1" x14ac:dyDescent="0.2">
      <c r="A70" s="619"/>
      <c r="B70" s="6" t="s">
        <v>353</v>
      </c>
      <c r="C70" s="705" t="e">
        <f t="shared" ref="C70:C76" si="44">I70-M70</f>
        <v>#REF!</v>
      </c>
      <c r="D70" s="706" t="e">
        <f t="shared" ref="D70:D76" si="45">IF(OR((C70/M70)&gt;3,(C70/M70)&lt;-3),"n.m.",(C70/M70))</f>
        <v>#REF!</v>
      </c>
      <c r="E70" s="617"/>
      <c r="F70" s="707"/>
      <c r="G70" s="707"/>
      <c r="H70" s="707"/>
      <c r="I70" s="728" t="e">
        <f>'5 Capital Markets Canada'!#REF!+'6 CG - US'!#REF!</f>
        <v>#REF!</v>
      </c>
      <c r="J70" s="707" t="e">
        <f>+'5 Capital Markets Canada'!#REF!+'6 CG - US'!#REF!</f>
        <v>#REF!</v>
      </c>
      <c r="K70" s="707" t="e">
        <f>+'5 Capital Markets Canada'!#REF!+'6 CG - US'!#REF!</f>
        <v>#REF!</v>
      </c>
      <c r="L70" s="707" t="e">
        <f>+'5 Capital Markets Canada'!#REF!+'6 CG - US'!#REF!</f>
        <v>#REF!</v>
      </c>
      <c r="M70" s="728" t="e">
        <f>+'5 Capital Markets Canada'!#REF!+'6 CG - US'!#REF!</f>
        <v>#REF!</v>
      </c>
      <c r="N70" s="707" t="e">
        <f>+'5 Capital Markets Canada'!#REF!+'6 CG - US'!#REF!</f>
        <v>#REF!</v>
      </c>
      <c r="O70" s="707" t="e">
        <f>+'5 Capital Markets Canada'!#REF!+'6 CG - US'!#REF!</f>
        <v>#REF!</v>
      </c>
      <c r="P70" s="707" t="e">
        <f>+'5 Capital Markets Canada'!#REF!+'6 CG - US'!#REF!</f>
        <v>#REF!</v>
      </c>
      <c r="Q70" s="728" t="e">
        <f>+'5 Capital Markets Canada'!#REF!+'6 CG - US'!#REF!</f>
        <v>#REF!</v>
      </c>
      <c r="R70" s="707" t="e">
        <f>+'5 Capital Markets Canada'!#REF!+'6 CG - US'!#REF!</f>
        <v>#REF!</v>
      </c>
      <c r="S70" s="707" t="e">
        <f>+'5 Capital Markets Canada'!#REF!+'6 CG - US'!#REF!</f>
        <v>#REF!</v>
      </c>
      <c r="T70" s="707">
        <v>14052</v>
      </c>
      <c r="U70" s="728">
        <v>13723</v>
      </c>
      <c r="V70" s="707">
        <v>19975</v>
      </c>
      <c r="W70" s="707">
        <v>11861</v>
      </c>
      <c r="X70" s="707">
        <v>11610</v>
      </c>
      <c r="Y70" s="707" t="e">
        <f>+'4 Canaccord Genuity '!#REF!-'7 UK &amp; Dubai'!#REF!-'6 CG - US'!#REF!-#REF!</f>
        <v>#REF!</v>
      </c>
      <c r="Z70" s="729">
        <v>9533</v>
      </c>
      <c r="AA70" s="707">
        <v>17508</v>
      </c>
      <c r="AB70" s="707">
        <v>8721</v>
      </c>
      <c r="AC70" s="707">
        <v>6975</v>
      </c>
      <c r="AD70" s="729">
        <v>8215</v>
      </c>
      <c r="AE70" s="707">
        <v>9418</v>
      </c>
      <c r="AF70" s="707">
        <v>9547</v>
      </c>
      <c r="AG70" s="707">
        <v>8802</v>
      </c>
      <c r="AH70" s="730">
        <v>7648</v>
      </c>
      <c r="AI70" s="709">
        <v>7035</v>
      </c>
      <c r="AJ70" s="731">
        <v>8214</v>
      </c>
      <c r="AK70" s="728">
        <v>8390</v>
      </c>
      <c r="AL70" s="708">
        <v>29584</v>
      </c>
      <c r="AM70" s="618"/>
      <c r="AN70" s="618"/>
      <c r="AO70" s="584"/>
      <c r="AP70" s="618"/>
      <c r="AQ70" s="584"/>
      <c r="AR70" s="584"/>
      <c r="AS70" s="618"/>
      <c r="AT70" s="615"/>
      <c r="AU70" s="658" t="e">
        <f t="shared" ref="AU70:AU75" si="46">SUM(K70:M70)</f>
        <v>#REF!</v>
      </c>
      <c r="AV70" s="628" t="e">
        <f t="shared" ref="AV70:AV75" si="47">SUM(O70:Q70)</f>
        <v>#REF!</v>
      </c>
      <c r="AW70" s="732" t="e">
        <f t="shared" ref="AW70:AW76" si="48">AZ70-BA70</f>
        <v>#REF!</v>
      </c>
      <c r="AX70" s="667" t="e">
        <f t="shared" ref="AX70:AX76" si="49">IF(OR((AW70/BA70)&gt;3,(AW70/BA70)&lt;-3),"n.m.",(AW70/BA70))</f>
        <v>#REF!</v>
      </c>
      <c r="AY70" s="618"/>
      <c r="AZ70" s="711" t="e">
        <f t="shared" ref="AZ70:AZ75" si="50">+SUM(J70:M70)</f>
        <v>#REF!</v>
      </c>
      <c r="BA70" s="711" t="e">
        <f t="shared" ref="BA70:BA75" si="51">+SUM(N70:Q70)</f>
        <v>#REF!</v>
      </c>
      <c r="BB70" s="711" t="e">
        <f>+'5 Capital Markets Canada'!#REF!+'6 CG - US'!#REF!</f>
        <v>#REF!</v>
      </c>
      <c r="BC70" s="711" t="e">
        <f>+'5 Capital Markets Canada'!#REF!+'6 CG - US'!#REF!</f>
        <v>#REF!</v>
      </c>
      <c r="BD70" s="781" t="e">
        <f>+'5 Capital Markets Canada'!#REF!+'6 CG - US'!#REF!</f>
        <v>#REF!</v>
      </c>
      <c r="BE70" s="781">
        <v>51815</v>
      </c>
      <c r="BF70" s="781">
        <v>48193</v>
      </c>
      <c r="BG70" s="668">
        <v>44852</v>
      </c>
      <c r="BH70" s="712">
        <v>45773</v>
      </c>
      <c r="BI70" s="671">
        <v>41570</v>
      </c>
      <c r="BJ70" s="688"/>
      <c r="BK70" s="688"/>
      <c r="BL70" s="594"/>
    </row>
    <row r="71" spans="1:64" ht="12.75" customHeight="1" x14ac:dyDescent="0.2">
      <c r="A71" s="619"/>
      <c r="B71" s="6" t="s">
        <v>57</v>
      </c>
      <c r="C71" s="705" t="e">
        <f t="shared" si="44"/>
        <v>#REF!</v>
      </c>
      <c r="D71" s="774" t="e">
        <f t="shared" si="45"/>
        <v>#REF!</v>
      </c>
      <c r="E71" s="617"/>
      <c r="F71" s="707"/>
      <c r="G71" s="707"/>
      <c r="H71" s="707"/>
      <c r="I71" s="728" t="e">
        <f>'5 Capital Markets Canada'!#REF!+'6 CG - US'!#REF!</f>
        <v>#REF!</v>
      </c>
      <c r="J71" s="707" t="e">
        <f>+'5 Capital Markets Canada'!#REF!+'6 CG - US'!#REF!</f>
        <v>#REF!</v>
      </c>
      <c r="K71" s="707" t="e">
        <f>+'5 Capital Markets Canada'!#REF!+'6 CG - US'!#REF!</f>
        <v>#REF!</v>
      </c>
      <c r="L71" s="707" t="e">
        <f>+'5 Capital Markets Canada'!#REF!+'6 CG - US'!#REF!</f>
        <v>#REF!</v>
      </c>
      <c r="M71" s="728" t="e">
        <f>+'5 Capital Markets Canada'!#REF!+'6 CG - US'!#REF!</f>
        <v>#REF!</v>
      </c>
      <c r="N71" s="707" t="e">
        <f>+'5 Capital Markets Canada'!#REF!+'6 CG - US'!#REF!</f>
        <v>#REF!</v>
      </c>
      <c r="O71" s="707" t="e">
        <f>+'5 Capital Markets Canada'!#REF!+'6 CG - US'!#REF!</f>
        <v>#REF!</v>
      </c>
      <c r="P71" s="707" t="e">
        <f>+'5 Capital Markets Canada'!#REF!+'6 CG - US'!#REF!</f>
        <v>#REF!</v>
      </c>
      <c r="Q71" s="728" t="e">
        <f>+'5 Capital Markets Canada'!#REF!+'6 CG - US'!#REF!</f>
        <v>#REF!</v>
      </c>
      <c r="R71" s="707" t="e">
        <f>+'5 Capital Markets Canada'!#REF!+'6 CG - US'!#REF!</f>
        <v>#REF!</v>
      </c>
      <c r="S71" s="707" t="e">
        <f>+'5 Capital Markets Canada'!#REF!+'6 CG - US'!#REF!</f>
        <v>#REF!</v>
      </c>
      <c r="T71" s="707">
        <v>10698</v>
      </c>
      <c r="U71" s="728">
        <v>13191</v>
      </c>
      <c r="V71" s="707">
        <v>30213</v>
      </c>
      <c r="W71" s="707">
        <v>14404</v>
      </c>
      <c r="X71" s="707">
        <v>15551</v>
      </c>
      <c r="Y71" s="707" t="e">
        <f>+'4 Canaccord Genuity '!#REF!-'7 UK &amp; Dubai'!#REF!-'6 CG - US'!#REF!-#REF!</f>
        <v>#REF!</v>
      </c>
      <c r="Z71" s="729">
        <v>56010</v>
      </c>
      <c r="AA71" s="707">
        <v>72232</v>
      </c>
      <c r="AB71" s="707">
        <v>33469</v>
      </c>
      <c r="AC71" s="707">
        <f>31750-1</f>
        <v>31749</v>
      </c>
      <c r="AD71" s="729">
        <v>23306</v>
      </c>
      <c r="AE71" s="707">
        <v>46294</v>
      </c>
      <c r="AF71" s="707">
        <v>16811</v>
      </c>
      <c r="AG71" s="707">
        <v>19402</v>
      </c>
      <c r="AH71" s="730">
        <f>17723-2473</f>
        <v>15250</v>
      </c>
      <c r="AI71" s="707">
        <f>5784-1215</f>
        <v>4569</v>
      </c>
      <c r="AJ71" s="728">
        <v>12638</v>
      </c>
      <c r="AK71" s="728">
        <v>17564</v>
      </c>
      <c r="AL71" s="708">
        <v>0</v>
      </c>
      <c r="AM71" s="618">
        <v>0</v>
      </c>
      <c r="AN71" s="618">
        <v>0</v>
      </c>
      <c r="AO71" s="584">
        <v>0</v>
      </c>
      <c r="AP71" s="618">
        <v>0</v>
      </c>
      <c r="AQ71" s="584">
        <v>0</v>
      </c>
      <c r="AR71" s="584">
        <v>0</v>
      </c>
      <c r="AS71" s="618">
        <v>0</v>
      </c>
      <c r="AT71" s="615"/>
      <c r="AU71" s="658" t="e">
        <f t="shared" si="46"/>
        <v>#REF!</v>
      </c>
      <c r="AV71" s="628" t="e">
        <f t="shared" si="47"/>
        <v>#REF!</v>
      </c>
      <c r="AW71" s="659" t="e">
        <f t="shared" si="48"/>
        <v>#REF!</v>
      </c>
      <c r="AX71" s="623" t="e">
        <f t="shared" si="49"/>
        <v>#REF!</v>
      </c>
      <c r="AY71" s="618"/>
      <c r="AZ71" s="711" t="e">
        <f t="shared" si="50"/>
        <v>#REF!</v>
      </c>
      <c r="BA71" s="711" t="e">
        <f t="shared" si="51"/>
        <v>#REF!</v>
      </c>
      <c r="BB71" s="711" t="e">
        <f>+'5 Capital Markets Canada'!#REF!+'6 CG - US'!#REF!</f>
        <v>#REF!</v>
      </c>
      <c r="BC71" s="711" t="e">
        <f>+'5 Capital Markets Canada'!#REF!+'6 CG - US'!#REF!</f>
        <v>#REF!</v>
      </c>
      <c r="BD71" s="775" t="e">
        <f>+'5 Capital Markets Canada'!#REF!+'6 CG - US'!#REF!</f>
        <v>#REF!</v>
      </c>
      <c r="BE71" s="775">
        <v>104241</v>
      </c>
      <c r="BF71" s="775">
        <v>50046</v>
      </c>
      <c r="BG71" s="640">
        <v>121044</v>
      </c>
      <c r="BH71" s="715">
        <f>143025-1549-12713</f>
        <v>128763</v>
      </c>
      <c r="BI71" s="642">
        <f>109202-5303-4636</f>
        <v>99263</v>
      </c>
      <c r="BJ71" s="688"/>
      <c r="BK71" s="688"/>
      <c r="BL71" s="594"/>
    </row>
    <row r="72" spans="1:64" ht="12.75" customHeight="1" x14ac:dyDescent="0.2">
      <c r="A72" s="619"/>
      <c r="B72" s="6" t="s">
        <v>188</v>
      </c>
      <c r="C72" s="705" t="e">
        <f t="shared" si="44"/>
        <v>#REF!</v>
      </c>
      <c r="D72" s="706" t="e">
        <f t="shared" si="45"/>
        <v>#REF!</v>
      </c>
      <c r="E72" s="617"/>
      <c r="F72" s="707"/>
      <c r="G72" s="707"/>
      <c r="H72" s="707"/>
      <c r="I72" s="728" t="e">
        <f>'5 Capital Markets Canada'!#REF!+'6 CG - US'!#REF!</f>
        <v>#REF!</v>
      </c>
      <c r="J72" s="707" t="e">
        <f>+'5 Capital Markets Canada'!#REF!+'6 CG - US'!#REF!</f>
        <v>#REF!</v>
      </c>
      <c r="K72" s="707" t="e">
        <f>+'5 Capital Markets Canada'!#REF!+'6 CG - US'!#REF!</f>
        <v>#REF!</v>
      </c>
      <c r="L72" s="707" t="e">
        <f>+'5 Capital Markets Canada'!#REF!+'6 CG - US'!#REF!</f>
        <v>#REF!</v>
      </c>
      <c r="M72" s="728" t="e">
        <f>+'5 Capital Markets Canada'!#REF!+'6 CG - US'!#REF!</f>
        <v>#REF!</v>
      </c>
      <c r="N72" s="707" t="e">
        <f>+'5 Capital Markets Canada'!#REF!+'6 CG - US'!#REF!</f>
        <v>#REF!</v>
      </c>
      <c r="O72" s="707" t="e">
        <f>+'5 Capital Markets Canada'!#REF!+'6 CG - US'!#REF!</f>
        <v>#REF!</v>
      </c>
      <c r="P72" s="707" t="e">
        <f>+'5 Capital Markets Canada'!#REF!+'6 CG - US'!#REF!</f>
        <v>#REF!</v>
      </c>
      <c r="Q72" s="728" t="e">
        <f>+'5 Capital Markets Canada'!#REF!+'6 CG - US'!#REF!</f>
        <v>#REF!</v>
      </c>
      <c r="R72" s="707" t="e">
        <f>+'5 Capital Markets Canada'!#REF!+'6 CG - US'!#REF!</f>
        <v>#REF!</v>
      </c>
      <c r="S72" s="707" t="e">
        <f>+'5 Capital Markets Canada'!#REF!+'6 CG - US'!#REF!</f>
        <v>#REF!</v>
      </c>
      <c r="T72" s="707">
        <v>8678</v>
      </c>
      <c r="U72" s="728">
        <v>5921</v>
      </c>
      <c r="V72" s="707">
        <v>16725</v>
      </c>
      <c r="W72" s="707">
        <v>27820</v>
      </c>
      <c r="X72" s="707">
        <v>16442</v>
      </c>
      <c r="Y72" s="707" t="e">
        <f>+'4 Canaccord Genuity '!#REF!-'7 UK &amp; Dubai'!#REF!-'6 CG - US'!#REF!-#REF!</f>
        <v>#REF!</v>
      </c>
      <c r="Z72" s="729">
        <v>19979</v>
      </c>
      <c r="AA72" s="707">
        <v>19864</v>
      </c>
      <c r="AB72" s="707">
        <v>8169</v>
      </c>
      <c r="AC72" s="707">
        <v>14504</v>
      </c>
      <c r="AD72" s="729">
        <v>1297</v>
      </c>
      <c r="AE72" s="707">
        <v>1601</v>
      </c>
      <c r="AF72" s="707">
        <v>1211</v>
      </c>
      <c r="AG72" s="707">
        <v>1444</v>
      </c>
      <c r="AH72" s="730">
        <v>2473</v>
      </c>
      <c r="AI72" s="707">
        <v>1215</v>
      </c>
      <c r="AJ72" s="728">
        <v>2659</v>
      </c>
      <c r="AK72" s="728">
        <v>8562</v>
      </c>
      <c r="AL72" s="708"/>
      <c r="AM72" s="618"/>
      <c r="AN72" s="618"/>
      <c r="AO72" s="584"/>
      <c r="AP72" s="618"/>
      <c r="AQ72" s="584"/>
      <c r="AR72" s="584"/>
      <c r="AS72" s="618"/>
      <c r="AT72" s="615"/>
      <c r="AU72" s="658" t="e">
        <f t="shared" si="46"/>
        <v>#REF!</v>
      </c>
      <c r="AV72" s="628" t="e">
        <f t="shared" si="47"/>
        <v>#REF!</v>
      </c>
      <c r="AW72" s="733" t="e">
        <f t="shared" si="48"/>
        <v>#REF!</v>
      </c>
      <c r="AX72" s="623" t="e">
        <f t="shared" si="49"/>
        <v>#REF!</v>
      </c>
      <c r="AY72" s="618"/>
      <c r="AZ72" s="711" t="e">
        <f t="shared" si="50"/>
        <v>#REF!</v>
      </c>
      <c r="BA72" s="711" t="e">
        <f t="shared" si="51"/>
        <v>#REF!</v>
      </c>
      <c r="BB72" s="711" t="e">
        <f>+'5 Capital Markets Canada'!#REF!+'6 CG - US'!#REF!</f>
        <v>#REF!</v>
      </c>
      <c r="BC72" s="711" t="e">
        <f>+'5 Capital Markets Canada'!#REF!+'6 CG - US'!#REF!</f>
        <v>#REF!</v>
      </c>
      <c r="BD72" s="775" t="e">
        <f>+'5 Capital Markets Canada'!#REF!+'6 CG - US'!#REF!</f>
        <v>#REF!</v>
      </c>
      <c r="BE72" s="775">
        <v>6277</v>
      </c>
      <c r="BF72" s="775">
        <v>14909</v>
      </c>
      <c r="BG72" s="640">
        <v>17584</v>
      </c>
      <c r="BH72" s="734">
        <f>7195+5518</f>
        <v>12713</v>
      </c>
      <c r="BI72" s="642">
        <v>4636</v>
      </c>
      <c r="BJ72" s="688"/>
      <c r="BK72" s="688"/>
      <c r="BL72" s="594"/>
    </row>
    <row r="73" spans="1:64" ht="12.75" customHeight="1" x14ac:dyDescent="0.2">
      <c r="A73" s="619"/>
      <c r="B73" s="6" t="s">
        <v>58</v>
      </c>
      <c r="C73" s="705" t="e">
        <f t="shared" si="44"/>
        <v>#REF!</v>
      </c>
      <c r="D73" s="774" t="e">
        <f t="shared" si="45"/>
        <v>#REF!</v>
      </c>
      <c r="E73" s="617"/>
      <c r="F73" s="707"/>
      <c r="G73" s="707"/>
      <c r="H73" s="707"/>
      <c r="I73" s="728" t="e">
        <f>'5 Capital Markets Canada'!#REF!+'6 CG - US'!#REF!</f>
        <v>#REF!</v>
      </c>
      <c r="J73" s="707" t="e">
        <f>+'5 Capital Markets Canada'!#REF!+'6 CG - US'!#REF!</f>
        <v>#REF!</v>
      </c>
      <c r="K73" s="707" t="e">
        <f>+'5 Capital Markets Canada'!#REF!+'6 CG - US'!#REF!</f>
        <v>#REF!</v>
      </c>
      <c r="L73" s="707" t="e">
        <f>+'5 Capital Markets Canada'!#REF!+'6 CG - US'!#REF!</f>
        <v>#REF!</v>
      </c>
      <c r="M73" s="728" t="e">
        <f>+'5 Capital Markets Canada'!#REF!+'6 CG - US'!#REF!</f>
        <v>#REF!</v>
      </c>
      <c r="N73" s="707" t="e">
        <f>+'5 Capital Markets Canada'!#REF!+'6 CG - US'!#REF!</f>
        <v>#REF!</v>
      </c>
      <c r="O73" s="707" t="e">
        <f>+'5 Capital Markets Canada'!#REF!+'6 CG - US'!#REF!</f>
        <v>#REF!</v>
      </c>
      <c r="P73" s="707" t="e">
        <f>+'5 Capital Markets Canada'!#REF!+'6 CG - US'!#REF!</f>
        <v>#REF!</v>
      </c>
      <c r="Q73" s="728" t="e">
        <f>+'5 Capital Markets Canada'!#REF!+'6 CG - US'!#REF!</f>
        <v>#REF!</v>
      </c>
      <c r="R73" s="707" t="e">
        <f>+'5 Capital Markets Canada'!#REF!+'6 CG - US'!#REF!</f>
        <v>#REF!</v>
      </c>
      <c r="S73" s="707" t="e">
        <f>+'5 Capital Markets Canada'!#REF!+'6 CG - US'!#REF!</f>
        <v>#REF!</v>
      </c>
      <c r="T73" s="707">
        <v>699</v>
      </c>
      <c r="U73" s="728">
        <v>397</v>
      </c>
      <c r="V73" s="707">
        <v>1761</v>
      </c>
      <c r="W73" s="707">
        <v>807</v>
      </c>
      <c r="X73" s="280">
        <v>-2981</v>
      </c>
      <c r="Y73" s="707" t="e">
        <f>+'4 Canaccord Genuity '!#REF!-'7 UK &amp; Dubai'!#REF!-'6 CG - US'!#REF!-#REF!</f>
        <v>#REF!</v>
      </c>
      <c r="Z73" s="729">
        <v>2915</v>
      </c>
      <c r="AA73" s="707">
        <v>-373</v>
      </c>
      <c r="AB73" s="707">
        <v>-659</v>
      </c>
      <c r="AC73" s="707">
        <v>-262</v>
      </c>
      <c r="AD73" s="729">
        <v>-115</v>
      </c>
      <c r="AE73" s="707">
        <v>-132</v>
      </c>
      <c r="AF73" s="707">
        <v>-255</v>
      </c>
      <c r="AG73" s="707">
        <v>-45</v>
      </c>
      <c r="AH73" s="730">
        <v>-388</v>
      </c>
      <c r="AI73" s="707">
        <v>-274</v>
      </c>
      <c r="AJ73" s="728">
        <v>-218</v>
      </c>
      <c r="AK73" s="728">
        <v>-343</v>
      </c>
      <c r="AL73" s="708">
        <v>5363</v>
      </c>
      <c r="AM73" s="618"/>
      <c r="AN73" s="618"/>
      <c r="AO73" s="584"/>
      <c r="AP73" s="618"/>
      <c r="AQ73" s="584"/>
      <c r="AR73" s="584"/>
      <c r="AS73" s="618"/>
      <c r="AT73" s="615"/>
      <c r="AU73" s="658" t="e">
        <f t="shared" si="46"/>
        <v>#REF!</v>
      </c>
      <c r="AV73" s="628" t="e">
        <f t="shared" si="47"/>
        <v>#REF!</v>
      </c>
      <c r="AW73" s="733" t="e">
        <f t="shared" si="48"/>
        <v>#REF!</v>
      </c>
      <c r="AX73" s="623" t="e">
        <f t="shared" si="49"/>
        <v>#REF!</v>
      </c>
      <c r="AY73" s="618"/>
      <c r="AZ73" s="711" t="e">
        <f t="shared" si="50"/>
        <v>#REF!</v>
      </c>
      <c r="BA73" s="711" t="e">
        <f t="shared" si="51"/>
        <v>#REF!</v>
      </c>
      <c r="BB73" s="505" t="e">
        <f>+'5 Capital Markets Canada'!#REF!+'6 CG - US'!#REF!</f>
        <v>#REF!</v>
      </c>
      <c r="BC73" s="505" t="e">
        <f>+'5 Capital Markets Canada'!#REF!+'6 CG - US'!#REF!</f>
        <v>#REF!</v>
      </c>
      <c r="BD73" s="775" t="e">
        <f>+'5 Capital Markets Canada'!#REF!+'6 CG - US'!#REF!</f>
        <v>#REF!</v>
      </c>
      <c r="BE73" s="775">
        <v>12778</v>
      </c>
      <c r="BF73" s="775">
        <v>8388</v>
      </c>
      <c r="BG73" s="640">
        <v>-8100</v>
      </c>
      <c r="BH73" s="715">
        <v>-524</v>
      </c>
      <c r="BI73" s="642">
        <v>4647</v>
      </c>
      <c r="BJ73" s="688"/>
      <c r="BK73" s="688"/>
      <c r="BL73" s="594"/>
    </row>
    <row r="74" spans="1:64" ht="12.75" customHeight="1" x14ac:dyDescent="0.2">
      <c r="A74" s="619"/>
      <c r="B74" s="6" t="s">
        <v>59</v>
      </c>
      <c r="C74" s="705" t="e">
        <f t="shared" si="44"/>
        <v>#REF!</v>
      </c>
      <c r="D74" s="774" t="e">
        <f t="shared" si="45"/>
        <v>#REF!</v>
      </c>
      <c r="E74" s="617"/>
      <c r="F74" s="707"/>
      <c r="G74" s="707"/>
      <c r="H74" s="639"/>
      <c r="I74" s="728" t="e">
        <f>'5 Capital Markets Canada'!#REF!+'6 CG - US'!#REF!</f>
        <v>#REF!</v>
      </c>
      <c r="J74" s="707" t="e">
        <f>+'5 Capital Markets Canada'!#REF!+'6 CG - US'!#REF!</f>
        <v>#REF!</v>
      </c>
      <c r="K74" s="707" t="e">
        <f>+'5 Capital Markets Canada'!#REF!+'6 CG - US'!#REF!</f>
        <v>#REF!</v>
      </c>
      <c r="L74" s="639" t="e">
        <f>+'5 Capital Markets Canada'!#REF!+'6 CG - US'!#REF!</f>
        <v>#REF!</v>
      </c>
      <c r="M74" s="728" t="e">
        <f>+'5 Capital Markets Canada'!#REF!+'6 CG - US'!#REF!</f>
        <v>#REF!</v>
      </c>
      <c r="N74" s="707" t="e">
        <f>+'5 Capital Markets Canada'!#REF!+'6 CG - US'!#REF!</f>
        <v>#REF!</v>
      </c>
      <c r="O74" s="735" t="e">
        <f>+'5 Capital Markets Canada'!#REF!+'6 CG - US'!#REF!</f>
        <v>#REF!</v>
      </c>
      <c r="P74" s="639" t="e">
        <f>+'5 Capital Markets Canada'!#REF!+'6 CG - US'!#REF!</f>
        <v>#REF!</v>
      </c>
      <c r="Q74" s="728" t="e">
        <f>+'5 Capital Markets Canada'!#REF!+'6 CG - US'!#REF!</f>
        <v>#REF!</v>
      </c>
      <c r="R74" s="707" t="e">
        <f>+'5 Capital Markets Canada'!#REF!+'6 CG - US'!#REF!</f>
        <v>#REF!</v>
      </c>
      <c r="S74" s="707" t="e">
        <f>+'5 Capital Markets Canada'!#REF!+'6 CG - US'!#REF!</f>
        <v>#REF!</v>
      </c>
      <c r="T74" s="707">
        <v>1284</v>
      </c>
      <c r="U74" s="728">
        <v>2356</v>
      </c>
      <c r="V74" s="707">
        <v>2272</v>
      </c>
      <c r="W74" s="707">
        <v>2019</v>
      </c>
      <c r="X74" s="707">
        <v>1807</v>
      </c>
      <c r="Y74" s="707" t="e">
        <f>+'4 Canaccord Genuity '!#REF!-'7 UK &amp; Dubai'!#REF!-'6 CG - US'!#REF!-#REF!</f>
        <v>#REF!</v>
      </c>
      <c r="Z74" s="729">
        <v>143</v>
      </c>
      <c r="AA74" s="735">
        <v>99</v>
      </c>
      <c r="AB74" s="735">
        <v>137</v>
      </c>
      <c r="AC74" s="707">
        <v>46</v>
      </c>
      <c r="AD74" s="729">
        <v>102</v>
      </c>
      <c r="AE74" s="736">
        <v>0</v>
      </c>
      <c r="AF74" s="736">
        <v>0</v>
      </c>
      <c r="AG74" s="707">
        <v>37</v>
      </c>
      <c r="AH74" s="730">
        <v>50</v>
      </c>
      <c r="AI74" s="707">
        <v>93</v>
      </c>
      <c r="AJ74" s="728">
        <v>168</v>
      </c>
      <c r="AK74" s="728">
        <v>178</v>
      </c>
      <c r="AL74" s="708">
        <v>-3063</v>
      </c>
      <c r="AM74" s="618">
        <v>42952</v>
      </c>
      <c r="AN74" s="618">
        <v>39210</v>
      </c>
      <c r="AO74" s="584">
        <v>62549</v>
      </c>
      <c r="AP74" s="618">
        <v>57382</v>
      </c>
      <c r="AQ74" s="584">
        <v>48897</v>
      </c>
      <c r="AR74" s="584">
        <v>38533</v>
      </c>
      <c r="AS74" s="618">
        <v>42750</v>
      </c>
      <c r="AT74" s="615"/>
      <c r="AU74" s="658" t="e">
        <f t="shared" si="46"/>
        <v>#REF!</v>
      </c>
      <c r="AV74" s="628" t="e">
        <f t="shared" si="47"/>
        <v>#REF!</v>
      </c>
      <c r="AW74" s="733" t="e">
        <f t="shared" si="48"/>
        <v>#REF!</v>
      </c>
      <c r="AX74" s="623" t="e">
        <f t="shared" si="49"/>
        <v>#REF!</v>
      </c>
      <c r="AY74" s="618"/>
      <c r="AZ74" s="711" t="e">
        <f t="shared" si="50"/>
        <v>#REF!</v>
      </c>
      <c r="BA74" s="711" t="e">
        <f t="shared" si="51"/>
        <v>#REF!</v>
      </c>
      <c r="BB74" s="711" t="e">
        <f>+'5 Capital Markets Canada'!#REF!+'6 CG - US'!#REF!</f>
        <v>#REF!</v>
      </c>
      <c r="BC74" s="711" t="e">
        <f>+'5 Capital Markets Canada'!#REF!+'6 CG - US'!#REF!</f>
        <v>#REF!</v>
      </c>
      <c r="BD74" s="775" t="e">
        <f>+'5 Capital Markets Canada'!#REF!+'6 CG - US'!#REF!</f>
        <v>#REF!</v>
      </c>
      <c r="BE74" s="775">
        <v>2053</v>
      </c>
      <c r="BF74" s="775">
        <v>1310</v>
      </c>
      <c r="BG74" s="640">
        <v>942</v>
      </c>
      <c r="BH74" s="715">
        <v>543</v>
      </c>
      <c r="BI74" s="642">
        <v>236</v>
      </c>
      <c r="BJ74" s="688"/>
      <c r="BK74" s="688"/>
      <c r="BL74" s="594"/>
    </row>
    <row r="75" spans="1:64" ht="12.75" customHeight="1" x14ac:dyDescent="0.2">
      <c r="A75" s="699"/>
      <c r="B75" s="6" t="s">
        <v>60</v>
      </c>
      <c r="C75" s="705" t="e">
        <f t="shared" si="44"/>
        <v>#REF!</v>
      </c>
      <c r="D75" s="706" t="e">
        <f t="shared" si="45"/>
        <v>#REF!</v>
      </c>
      <c r="E75" s="737"/>
      <c r="F75" s="707"/>
      <c r="G75" s="707"/>
      <c r="H75" s="625"/>
      <c r="I75" s="728" t="e">
        <f>'5 Capital Markets Canada'!#REF!+'6 CG - US'!#REF!</f>
        <v>#REF!</v>
      </c>
      <c r="J75" s="707" t="e">
        <f>+'5 Capital Markets Canada'!#REF!+'6 CG - US'!#REF!</f>
        <v>#REF!</v>
      </c>
      <c r="K75" s="707" t="e">
        <f>+'5 Capital Markets Canada'!#REF!+'6 CG - US'!#REF!</f>
        <v>#REF!</v>
      </c>
      <c r="L75" s="625" t="e">
        <f>+'5 Capital Markets Canada'!#REF!+'6 CG - US'!#REF!</f>
        <v>#REF!</v>
      </c>
      <c r="M75" s="728" t="e">
        <f>+'5 Capital Markets Canada'!#REF!+'6 CG - US'!#REF!</f>
        <v>#REF!</v>
      </c>
      <c r="N75" s="707" t="e">
        <f>+'5 Capital Markets Canada'!#REF!+'6 CG - US'!#REF!</f>
        <v>#REF!</v>
      </c>
      <c r="O75" s="735" t="e">
        <f>+'5 Capital Markets Canada'!#REF!+'6 CG - US'!#REF!</f>
        <v>#REF!</v>
      </c>
      <c r="P75" s="625" t="e">
        <f>+'5 Capital Markets Canada'!#REF!+'6 CG - US'!#REF!</f>
        <v>#REF!</v>
      </c>
      <c r="Q75" s="728" t="e">
        <f>+'5 Capital Markets Canada'!#REF!+'6 CG - US'!#REF!</f>
        <v>#REF!</v>
      </c>
      <c r="R75" s="707" t="e">
        <f>+'5 Capital Markets Canada'!#REF!+'6 CG - US'!#REF!</f>
        <v>#REF!</v>
      </c>
      <c r="S75" s="707" t="e">
        <f>+'5 Capital Markets Canada'!#REF!+'6 CG - US'!#REF!</f>
        <v>#REF!</v>
      </c>
      <c r="T75" s="707">
        <v>34</v>
      </c>
      <c r="U75" s="728">
        <v>36</v>
      </c>
      <c r="V75" s="707">
        <v>60</v>
      </c>
      <c r="W75" s="707">
        <v>31</v>
      </c>
      <c r="X75" s="707">
        <v>62</v>
      </c>
      <c r="Y75" s="707" t="e">
        <f>+'4 Canaccord Genuity '!#REF!-'7 UK &amp; Dubai'!#REF!-'6 CG - US'!#REF!-#REF!</f>
        <v>#REF!</v>
      </c>
      <c r="Z75" s="729">
        <v>52</v>
      </c>
      <c r="AA75" s="735">
        <v>74</v>
      </c>
      <c r="AB75" s="739">
        <v>72</v>
      </c>
      <c r="AC75" s="627">
        <v>45</v>
      </c>
      <c r="AD75" s="729">
        <v>1</v>
      </c>
      <c r="AE75" s="736">
        <v>0</v>
      </c>
      <c r="AF75" s="740">
        <v>0</v>
      </c>
      <c r="AG75" s="627">
        <v>414</v>
      </c>
      <c r="AH75" s="657">
        <v>0</v>
      </c>
      <c r="AI75" s="627">
        <v>1</v>
      </c>
      <c r="AJ75" s="741">
        <v>0</v>
      </c>
      <c r="AK75" s="738">
        <v>1</v>
      </c>
      <c r="AL75" s="721">
        <v>60</v>
      </c>
      <c r="AM75" s="590"/>
      <c r="AN75" s="590"/>
      <c r="AO75" s="590"/>
      <c r="AP75" s="590"/>
      <c r="AQ75" s="590"/>
      <c r="AR75" s="590"/>
      <c r="AS75" s="590"/>
      <c r="AT75" s="615"/>
      <c r="AU75" s="658" t="e">
        <f t="shared" si="46"/>
        <v>#REF!</v>
      </c>
      <c r="AV75" s="628" t="e">
        <f t="shared" si="47"/>
        <v>#REF!</v>
      </c>
      <c r="AW75" s="733" t="e">
        <f t="shared" si="48"/>
        <v>#REF!</v>
      </c>
      <c r="AX75" s="714" t="e">
        <f t="shared" si="49"/>
        <v>#REF!</v>
      </c>
      <c r="AY75" s="619"/>
      <c r="AZ75" s="711" t="e">
        <f t="shared" si="50"/>
        <v>#REF!</v>
      </c>
      <c r="BA75" s="711" t="e">
        <f t="shared" si="51"/>
        <v>#REF!</v>
      </c>
      <c r="BB75" s="711" t="e">
        <f>+'5 Capital Markets Canada'!#REF!+'6 CG - US'!#REF!</f>
        <v>#REF!</v>
      </c>
      <c r="BC75" s="711" t="e">
        <f>+'5 Capital Markets Canada'!#REF!+'6 CG - US'!#REF!</f>
        <v>#REF!</v>
      </c>
      <c r="BD75" s="776" t="e">
        <f>+'5 Capital Markets Canada'!#REF!+'6 CG - US'!#REF!</f>
        <v>#REF!</v>
      </c>
      <c r="BE75" s="776">
        <v>417</v>
      </c>
      <c r="BF75" s="776">
        <v>4</v>
      </c>
      <c r="BG75" s="716">
        <v>333</v>
      </c>
      <c r="BH75" s="717">
        <v>294</v>
      </c>
      <c r="BI75" s="718">
        <v>118</v>
      </c>
      <c r="BJ75" s="688"/>
      <c r="BK75" s="688"/>
      <c r="BL75" s="594"/>
    </row>
    <row r="76" spans="1:64" ht="12.75" customHeight="1" x14ac:dyDescent="0.2">
      <c r="A76" s="699"/>
      <c r="B76" s="6"/>
      <c r="C76" s="742" t="e">
        <f t="shared" si="44"/>
        <v>#REF!</v>
      </c>
      <c r="D76" s="743" t="e">
        <f t="shared" si="45"/>
        <v>#REF!</v>
      </c>
      <c r="E76" s="589"/>
      <c r="F76" s="744"/>
      <c r="G76" s="744"/>
      <c r="H76" s="744"/>
      <c r="I76" s="745" t="e">
        <f>SUM(I70:I75)</f>
        <v>#REF!</v>
      </c>
      <c r="J76" s="744" t="e">
        <f t="shared" ref="J76:S76" si="52">SUM(J70:J75)</f>
        <v>#REF!</v>
      </c>
      <c r="K76" s="744" t="e">
        <f t="shared" si="52"/>
        <v>#REF!</v>
      </c>
      <c r="L76" s="744" t="e">
        <f t="shared" si="52"/>
        <v>#REF!</v>
      </c>
      <c r="M76" s="745" t="e">
        <f t="shared" si="52"/>
        <v>#REF!</v>
      </c>
      <c r="N76" s="744" t="e">
        <f t="shared" si="52"/>
        <v>#REF!</v>
      </c>
      <c r="O76" s="744" t="e">
        <f t="shared" si="52"/>
        <v>#REF!</v>
      </c>
      <c r="P76" s="744" t="e">
        <f t="shared" si="52"/>
        <v>#REF!</v>
      </c>
      <c r="Q76" s="745" t="e">
        <f t="shared" si="52"/>
        <v>#REF!</v>
      </c>
      <c r="R76" s="744" t="e">
        <f t="shared" si="52"/>
        <v>#REF!</v>
      </c>
      <c r="S76" s="744" t="e">
        <f t="shared" si="52"/>
        <v>#REF!</v>
      </c>
      <c r="T76" s="744">
        <v>35445</v>
      </c>
      <c r="U76" s="745">
        <v>35624</v>
      </c>
      <c r="V76" s="744">
        <v>71006</v>
      </c>
      <c r="W76" s="744">
        <v>56942</v>
      </c>
      <c r="X76" s="744">
        <v>42491</v>
      </c>
      <c r="Y76" s="744" t="e">
        <f>SUM(Y70:Y75)</f>
        <v>#REF!</v>
      </c>
      <c r="Z76" s="746">
        <f t="shared" ref="Z76:AL76" si="53">SUM(Z70:Z75)</f>
        <v>88632</v>
      </c>
      <c r="AA76" s="744">
        <f t="shared" si="53"/>
        <v>109404</v>
      </c>
      <c r="AB76" s="744">
        <f t="shared" si="53"/>
        <v>49909</v>
      </c>
      <c r="AC76" s="744">
        <f t="shared" si="53"/>
        <v>53057</v>
      </c>
      <c r="AD76" s="746">
        <f t="shared" si="53"/>
        <v>32806</v>
      </c>
      <c r="AE76" s="744">
        <f t="shared" si="53"/>
        <v>57181</v>
      </c>
      <c r="AF76" s="744">
        <f t="shared" si="53"/>
        <v>27314</v>
      </c>
      <c r="AG76" s="744">
        <f t="shared" si="53"/>
        <v>30054</v>
      </c>
      <c r="AH76" s="746">
        <f t="shared" si="53"/>
        <v>25033</v>
      </c>
      <c r="AI76" s="744">
        <f t="shared" si="53"/>
        <v>12639</v>
      </c>
      <c r="AJ76" s="745">
        <f t="shared" si="53"/>
        <v>23461</v>
      </c>
      <c r="AK76" s="745">
        <f t="shared" si="53"/>
        <v>34352</v>
      </c>
      <c r="AL76" s="745">
        <f t="shared" si="53"/>
        <v>31944</v>
      </c>
      <c r="AM76" s="580"/>
      <c r="AN76" s="580"/>
      <c r="AO76" s="580"/>
      <c r="AP76" s="580"/>
      <c r="AQ76" s="580"/>
      <c r="AR76" s="580"/>
      <c r="AS76" s="580"/>
      <c r="AT76" s="594"/>
      <c r="AU76" s="744" t="e">
        <f>SUM(AU70:AU75)</f>
        <v>#REF!</v>
      </c>
      <c r="AV76" s="744" t="e">
        <f>SUM(AV70:AV75)</f>
        <v>#REF!</v>
      </c>
      <c r="AW76" s="747" t="e">
        <f t="shared" si="48"/>
        <v>#REF!</v>
      </c>
      <c r="AX76" s="748" t="e">
        <f t="shared" si="49"/>
        <v>#REF!</v>
      </c>
      <c r="AZ76" s="749" t="e">
        <f>SUM(AZ70:AZ75)</f>
        <v>#REF!</v>
      </c>
      <c r="BA76" s="749" t="e">
        <f>SUM(BA70:BA75)</f>
        <v>#REF!</v>
      </c>
      <c r="BB76" s="749" t="e">
        <f>SUM(BB70:BB75)</f>
        <v>#REF!</v>
      </c>
      <c r="BC76" s="749" t="e">
        <f>SUM(BC70:BC75)</f>
        <v>#REF!</v>
      </c>
      <c r="BD76" s="749" t="e">
        <f>SUM(BD70:BD75)</f>
        <v>#REF!</v>
      </c>
      <c r="BE76" s="749">
        <v>177581</v>
      </c>
      <c r="BF76" s="750">
        <v>122850</v>
      </c>
      <c r="BG76" s="750">
        <f>SUM(BG70:BG75)</f>
        <v>176655</v>
      </c>
      <c r="BH76" s="750">
        <f>SUM(BH70:BH75)</f>
        <v>187562</v>
      </c>
      <c r="BI76" s="750">
        <f>SUM(BI70:BI75)</f>
        <v>150470</v>
      </c>
      <c r="BJ76" s="688"/>
      <c r="BK76" s="688"/>
    </row>
    <row r="77" spans="1:64" ht="12.75" customHeight="1" x14ac:dyDescent="0.2">
      <c r="A77" s="699"/>
      <c r="B77" s="6"/>
      <c r="C77" s="719"/>
      <c r="D77" s="751"/>
      <c r="E77" s="589"/>
      <c r="F77" s="752"/>
      <c r="G77" s="753"/>
      <c r="H77" s="753"/>
      <c r="I77" s="721"/>
      <c r="J77" s="752"/>
      <c r="K77" s="753"/>
      <c r="L77" s="753"/>
      <c r="M77" s="721"/>
      <c r="N77" s="752"/>
      <c r="O77" s="753"/>
      <c r="P77" s="753"/>
      <c r="Q77" s="721"/>
      <c r="R77" s="752"/>
      <c r="S77" s="753"/>
      <c r="T77" s="753"/>
      <c r="U77" s="721"/>
      <c r="V77" s="752"/>
      <c r="W77" s="744"/>
      <c r="X77" s="753"/>
      <c r="Y77" s="753"/>
      <c r="Z77" s="754"/>
      <c r="AA77" s="753"/>
      <c r="AB77" s="753"/>
      <c r="AC77" s="753"/>
      <c r="AD77" s="754"/>
      <c r="AE77" s="753"/>
      <c r="AF77" s="753"/>
      <c r="AG77" s="753"/>
      <c r="AH77" s="752"/>
      <c r="AI77" s="752"/>
      <c r="AJ77" s="752"/>
      <c r="AK77" s="752"/>
      <c r="AL77" s="752"/>
      <c r="AM77" s="580"/>
      <c r="AN77" s="580"/>
      <c r="AO77" s="580"/>
      <c r="AP77" s="580"/>
      <c r="AQ77" s="580"/>
      <c r="AR77" s="580"/>
      <c r="AS77" s="580"/>
      <c r="AT77" s="594"/>
      <c r="AU77" s="753"/>
      <c r="AV77" s="753"/>
      <c r="AW77" s="755"/>
      <c r="AX77" s="756"/>
      <c r="AZ77" s="757"/>
      <c r="BA77" s="757"/>
      <c r="BB77" s="757"/>
      <c r="BC77" s="757"/>
      <c r="BD77" s="757"/>
      <c r="BE77" s="757"/>
      <c r="BF77" s="758"/>
      <c r="BG77" s="758"/>
      <c r="BH77" s="758"/>
      <c r="BI77" s="629"/>
      <c r="BJ77" s="688"/>
      <c r="BK77" s="688"/>
    </row>
    <row r="78" spans="1:64" ht="12.75" customHeight="1" x14ac:dyDescent="0.2">
      <c r="A78" s="584"/>
      <c r="B78" s="6" t="s">
        <v>352</v>
      </c>
      <c r="C78" s="854" t="e">
        <f>I78-M78</f>
        <v>#REF!</v>
      </c>
      <c r="D78" s="855" t="e">
        <f>-IF(OR((C78/M78)&gt;3,(C78/M78)&lt;-3),"n.m.",(C78/M78))</f>
        <v>#REF!</v>
      </c>
      <c r="E78" s="856"/>
      <c r="F78" s="857"/>
      <c r="G78" s="857"/>
      <c r="H78" s="857"/>
      <c r="I78" s="266" t="e">
        <f>'5 Capital Markets Canada'!#REF!+'6 CG - US'!#REF!</f>
        <v>#REF!</v>
      </c>
      <c r="J78" s="857" t="e">
        <f>+'5 Capital Markets Canada'!#REF!+'6 CG - US'!#REF!</f>
        <v>#REF!</v>
      </c>
      <c r="K78" s="857" t="e">
        <f>+'5 Capital Markets Canada'!#REF!+'6 CG - US'!#REF!</f>
        <v>#REF!</v>
      </c>
      <c r="L78" s="857" t="e">
        <f>+'5 Capital Markets Canada'!#REF!+'6 CG - US'!#REF!</f>
        <v>#REF!</v>
      </c>
      <c r="M78" s="266" t="e">
        <f>+'5 Capital Markets Canada'!#REF!+'6 CG - US'!#REF!</f>
        <v>#REF!</v>
      </c>
      <c r="N78" s="857" t="e">
        <f>+'5 Capital Markets Canada'!#REF!+'6 CG - US'!#REF!</f>
        <v>#REF!</v>
      </c>
      <c r="O78" s="857" t="e">
        <f>+'5 Capital Markets Canada'!#REF!+'6 CG - US'!#REF!</f>
        <v>#REF!</v>
      </c>
      <c r="P78" s="857" t="e">
        <f>+'5 Capital Markets Canada'!#REF!+'6 CG - US'!#REF!</f>
        <v>#REF!</v>
      </c>
      <c r="Q78" s="266" t="e">
        <f>+'5 Capital Markets Canada'!#REF!+'6 CG - US'!#REF!</f>
        <v>#REF!</v>
      </c>
      <c r="R78" s="857" t="e">
        <f>+'5 Capital Markets Canada'!#REF!+'6 CG - US'!#REF!</f>
        <v>#REF!</v>
      </c>
      <c r="S78" s="857" t="e">
        <f>+'5 Capital Markets Canada'!#REF!+'6 CG - US'!#REF!</f>
        <v>#REF!</v>
      </c>
      <c r="T78" s="857">
        <v>-1301</v>
      </c>
      <c r="U78" s="858">
        <v>-3367</v>
      </c>
      <c r="V78" s="857">
        <v>-218</v>
      </c>
      <c r="W78" s="857">
        <v>-4844</v>
      </c>
      <c r="X78" s="857">
        <v>-6322</v>
      </c>
      <c r="Y78" s="858">
        <v>-10795</v>
      </c>
      <c r="Z78" s="859">
        <v>-9261</v>
      </c>
      <c r="AA78" s="860">
        <v>-1134</v>
      </c>
      <c r="AB78" s="860">
        <v>-5070</v>
      </c>
      <c r="AC78" s="861">
        <v>-6918</v>
      </c>
      <c r="AD78" s="862" t="s">
        <v>166</v>
      </c>
      <c r="AE78" s="863" t="s">
        <v>166</v>
      </c>
      <c r="AF78" s="864" t="s">
        <v>166</v>
      </c>
      <c r="AG78" s="864" t="s">
        <v>166</v>
      </c>
      <c r="AH78" s="865"/>
      <c r="AI78" s="865"/>
      <c r="AJ78" s="865"/>
      <c r="AK78" s="865"/>
      <c r="AL78" s="865"/>
      <c r="AM78" s="866"/>
      <c r="AN78" s="866"/>
      <c r="AO78" s="866"/>
      <c r="AP78" s="866"/>
      <c r="AQ78" s="866"/>
      <c r="AR78" s="866"/>
      <c r="AS78" s="866"/>
      <c r="AT78" s="875"/>
      <c r="AU78" s="360" t="e">
        <f>SUM(K78:M78)</f>
        <v>#REF!</v>
      </c>
      <c r="AV78" s="360" t="e">
        <f>SUM(O78:Q78)</f>
        <v>#REF!</v>
      </c>
      <c r="AW78" s="360" t="e">
        <f>AZ78-BA78</f>
        <v>#REF!</v>
      </c>
      <c r="AX78" s="867" t="e">
        <f>-IF(OR((AW78/BA78)&gt;3,(AW78/BA78)&lt;-3),"n.m.",(AW78/BA78))</f>
        <v>#REF!</v>
      </c>
      <c r="AY78" s="868"/>
      <c r="AZ78" s="430" t="e">
        <f>+SUM(J78:M78)</f>
        <v>#REF!</v>
      </c>
      <c r="BA78" s="430" t="e">
        <f>+SUM(N78:Q78)</f>
        <v>#REF!</v>
      </c>
      <c r="BB78" s="430" t="e">
        <f>+'5 Capital Markets Canada'!#REF!+'6 CG - US'!#REF!</f>
        <v>#REF!</v>
      </c>
      <c r="BC78" s="430" t="e">
        <f>+'5 Capital Markets Canada'!#REF!+'6 CG - US'!#REF!</f>
        <v>#REF!</v>
      </c>
      <c r="BD78" s="430" t="e">
        <f>+'5 Capital Markets Canada'!#REF!+'6 CG - US'!#REF!</f>
        <v>#REF!</v>
      </c>
      <c r="BE78" s="430" t="s">
        <v>166</v>
      </c>
      <c r="BF78" s="869" t="s">
        <v>166</v>
      </c>
      <c r="BG78" s="430" t="s">
        <v>166</v>
      </c>
      <c r="BH78" s="430" t="s">
        <v>166</v>
      </c>
      <c r="BI78" s="870"/>
      <c r="BJ78" s="871"/>
      <c r="BK78" s="871"/>
      <c r="BL78" s="872"/>
    </row>
    <row r="79" spans="1:64" x14ac:dyDescent="0.2">
      <c r="G79" s="759"/>
      <c r="H79" s="759"/>
      <c r="I79" s="653"/>
      <c r="K79" s="759"/>
      <c r="L79" s="759"/>
      <c r="M79" s="653"/>
      <c r="O79" s="759"/>
      <c r="P79" s="759"/>
      <c r="Q79" s="653"/>
      <c r="S79" s="759"/>
      <c r="T79" s="759"/>
      <c r="U79" s="653"/>
      <c r="X79" s="759"/>
      <c r="Y79" s="653"/>
      <c r="AC79" s="653"/>
      <c r="AG79" s="653"/>
      <c r="AK79" s="653"/>
      <c r="AS79" s="653"/>
      <c r="AU79" s="575"/>
      <c r="AV79" s="575"/>
      <c r="BG79" s="653"/>
      <c r="BH79" s="653"/>
    </row>
    <row r="80" spans="1:64" x14ac:dyDescent="0.2">
      <c r="A80" s="6" t="s">
        <v>339</v>
      </c>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c r="AK80" s="653"/>
      <c r="AL80" s="653"/>
      <c r="AM80" s="653"/>
      <c r="AN80" s="653"/>
      <c r="AO80" s="653"/>
      <c r="AP80" s="653"/>
      <c r="AQ80" s="653"/>
      <c r="AR80" s="653"/>
      <c r="AS80" s="653"/>
      <c r="AT80" s="653"/>
      <c r="AU80" s="653"/>
      <c r="AV80" s="653"/>
      <c r="AW80" s="631"/>
      <c r="AX80" s="631"/>
      <c r="AY80" s="653"/>
      <c r="AZ80" s="653"/>
      <c r="BA80" s="653"/>
      <c r="BB80" s="653"/>
      <c r="BC80" s="653"/>
      <c r="BD80" s="653"/>
      <c r="BE80" s="653"/>
      <c r="BF80" s="653"/>
      <c r="BG80" s="653"/>
      <c r="BH80" s="653"/>
      <c r="BI80" s="653"/>
    </row>
    <row r="81" spans="1:64" x14ac:dyDescent="0.2">
      <c r="A81" s="6" t="s">
        <v>25</v>
      </c>
      <c r="F81" s="576"/>
      <c r="G81" s="576"/>
      <c r="H81" s="576"/>
      <c r="I81" s="576"/>
      <c r="J81" s="576"/>
      <c r="K81" s="576"/>
      <c r="L81" s="576"/>
      <c r="M81" s="576"/>
      <c r="N81" s="576"/>
      <c r="O81" s="576"/>
      <c r="P81" s="576"/>
      <c r="Q81" s="576"/>
      <c r="R81" s="576"/>
      <c r="S81" s="576"/>
      <c r="T81" s="576"/>
      <c r="U81" s="576"/>
      <c r="V81" s="576"/>
      <c r="W81" s="576"/>
      <c r="X81" s="576"/>
      <c r="Y81" s="576"/>
      <c r="Z81" s="576"/>
      <c r="AA81" s="576"/>
      <c r="AB81" s="576"/>
      <c r="AC81" s="576"/>
      <c r="AD81" s="576"/>
      <c r="AE81" s="576"/>
      <c r="AF81" s="576"/>
      <c r="AG81" s="576"/>
      <c r="AH81" s="576"/>
      <c r="AI81" s="576"/>
      <c r="AJ81" s="576"/>
      <c r="AK81" s="576"/>
      <c r="AL81" s="576"/>
      <c r="AM81" s="576"/>
      <c r="AN81" s="576"/>
      <c r="AO81" s="576"/>
      <c r="AP81" s="576"/>
      <c r="AQ81" s="576"/>
      <c r="AR81" s="576"/>
      <c r="AS81" s="576"/>
      <c r="AT81" s="576"/>
      <c r="AU81" s="576"/>
      <c r="AV81" s="576"/>
      <c r="AW81" s="576"/>
      <c r="AX81" s="576"/>
      <c r="AY81" s="576"/>
      <c r="AZ81" s="576"/>
      <c r="BA81" s="576"/>
      <c r="BB81" s="576"/>
      <c r="BC81" s="576"/>
      <c r="BD81" s="576"/>
      <c r="BE81" s="576"/>
      <c r="BF81" s="576"/>
      <c r="BG81" s="576"/>
      <c r="BH81" s="576"/>
      <c r="BI81" s="576"/>
      <c r="BJ81" s="576"/>
      <c r="BK81" s="576"/>
      <c r="BL81" s="576">
        <f>BL80-BL76</f>
        <v>0</v>
      </c>
    </row>
    <row r="82" spans="1:64" x14ac:dyDescent="0.2">
      <c r="A82" s="2"/>
      <c r="G82" s="576"/>
      <c r="H82" s="576"/>
      <c r="I82" s="576"/>
      <c r="K82" s="576"/>
      <c r="L82" s="576"/>
      <c r="M82" s="576"/>
      <c r="O82" s="576"/>
      <c r="P82" s="576"/>
      <c r="Q82" s="576"/>
      <c r="S82" s="576"/>
      <c r="T82" s="576"/>
      <c r="U82" s="576"/>
      <c r="X82" s="576"/>
      <c r="Y82" s="576"/>
      <c r="AC82" s="576"/>
      <c r="AG82" s="576"/>
      <c r="AH82" s="576"/>
      <c r="AI82" s="576"/>
      <c r="AJ82" s="576"/>
      <c r="AK82" s="576"/>
      <c r="AL82" s="576"/>
      <c r="AM82" s="576"/>
      <c r="AN82" s="576"/>
      <c r="AO82" s="576"/>
      <c r="AP82" s="576"/>
      <c r="AQ82" s="576"/>
      <c r="AR82" s="576"/>
      <c r="AS82" s="576"/>
      <c r="AT82" s="576"/>
      <c r="AU82" s="576"/>
      <c r="AV82" s="576"/>
      <c r="AW82" s="760"/>
      <c r="AX82" s="760"/>
      <c r="AY82" s="576"/>
      <c r="AZ82" s="576"/>
      <c r="BA82" s="576"/>
      <c r="BB82" s="576"/>
      <c r="BC82" s="576"/>
      <c r="BD82" s="576"/>
      <c r="BE82" s="576"/>
      <c r="BF82" s="576"/>
      <c r="BG82" s="576"/>
      <c r="BH82" s="761"/>
      <c r="BI82" s="761"/>
    </row>
    <row r="83" spans="1:64" x14ac:dyDescent="0.2">
      <c r="A83" s="6" t="s">
        <v>280</v>
      </c>
      <c r="F83" s="576"/>
      <c r="G83" s="576"/>
      <c r="H83" s="576"/>
      <c r="I83" s="576"/>
      <c r="J83" s="576"/>
      <c r="K83" s="576"/>
      <c r="L83" s="576"/>
      <c r="M83" s="576"/>
      <c r="N83" s="576"/>
      <c r="O83" s="576"/>
      <c r="P83" s="576"/>
      <c r="Q83" s="576"/>
      <c r="R83" s="576"/>
      <c r="S83" s="576"/>
      <c r="T83" s="576"/>
      <c r="U83" s="576"/>
      <c r="V83" s="576"/>
      <c r="W83" s="576"/>
      <c r="X83" s="576"/>
      <c r="Y83" s="576"/>
      <c r="Z83" s="576"/>
      <c r="AA83" s="576"/>
      <c r="AB83" s="576"/>
      <c r="AC83" s="576"/>
      <c r="AD83" s="576"/>
      <c r="AE83" s="576"/>
      <c r="AF83" s="576"/>
      <c r="AG83" s="576"/>
      <c r="AH83" s="576"/>
      <c r="AI83" s="576"/>
      <c r="AJ83" s="576"/>
      <c r="AK83" s="576"/>
      <c r="AL83" s="576"/>
      <c r="AM83" s="576"/>
      <c r="AN83" s="576"/>
      <c r="AO83" s="576"/>
      <c r="AP83" s="576"/>
      <c r="AQ83" s="576"/>
      <c r="AR83" s="576"/>
      <c r="AS83" s="576"/>
      <c r="AT83" s="576"/>
      <c r="AU83" s="576"/>
      <c r="AV83" s="576"/>
      <c r="AW83" s="760"/>
      <c r="AX83" s="760"/>
      <c r="AY83" s="576"/>
      <c r="AZ83" s="576"/>
      <c r="BA83" s="576"/>
      <c r="BB83" s="576"/>
      <c r="BC83" s="576"/>
      <c r="BD83" s="576"/>
      <c r="BE83" s="576"/>
      <c r="BF83" s="576"/>
      <c r="BG83" s="576"/>
      <c r="BH83" s="576"/>
      <c r="BI83" s="576"/>
    </row>
    <row r="84" spans="1:64" x14ac:dyDescent="0.2">
      <c r="F84" s="576"/>
      <c r="G84" s="576"/>
      <c r="H84" s="576"/>
      <c r="I84" s="576"/>
      <c r="J84" s="576"/>
      <c r="K84" s="576"/>
      <c r="L84" s="576"/>
      <c r="M84" s="576"/>
      <c r="N84" s="576"/>
      <c r="O84" s="576"/>
      <c r="P84" s="576"/>
      <c r="Q84" s="576"/>
      <c r="R84" s="576"/>
      <c r="S84" s="576"/>
      <c r="T84" s="576"/>
      <c r="U84" s="576"/>
      <c r="V84" s="576"/>
      <c r="W84" s="576"/>
      <c r="X84" s="576"/>
      <c r="Y84" s="576"/>
      <c r="Z84" s="576"/>
      <c r="AA84" s="576"/>
      <c r="AB84" s="576"/>
      <c r="AC84" s="576"/>
      <c r="AD84" s="576"/>
      <c r="AE84" s="576"/>
      <c r="AF84" s="576"/>
      <c r="AG84" s="576"/>
      <c r="AH84" s="576"/>
      <c r="AI84" s="576"/>
      <c r="AJ84" s="576"/>
      <c r="AK84" s="576"/>
      <c r="AL84" s="576"/>
      <c r="AM84" s="576"/>
      <c r="AN84" s="576"/>
      <c r="AO84" s="576"/>
      <c r="AP84" s="576"/>
      <c r="AQ84" s="576"/>
      <c r="AR84" s="576"/>
      <c r="AS84" s="576"/>
      <c r="AT84" s="576"/>
      <c r="AU84" s="576"/>
      <c r="AV84" s="576"/>
      <c r="AW84" s="760"/>
      <c r="AX84" s="760"/>
      <c r="AY84" s="576"/>
      <c r="AZ84" s="576"/>
      <c r="BA84" s="576"/>
      <c r="BB84" s="576"/>
      <c r="BC84" s="576"/>
      <c r="BD84" s="576"/>
      <c r="BE84" s="576"/>
      <c r="BF84" s="576"/>
      <c r="BG84" s="576"/>
      <c r="BH84" s="576"/>
      <c r="BI84" s="576"/>
    </row>
    <row r="85" spans="1:64" x14ac:dyDescent="0.2">
      <c r="A85" s="575"/>
      <c r="B85" s="575"/>
      <c r="C85" s="575"/>
      <c r="D85" s="575"/>
      <c r="F85" s="630"/>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630"/>
      <c r="AK85" s="630"/>
      <c r="AL85" s="630"/>
      <c r="AM85" s="630"/>
      <c r="AN85" s="630"/>
      <c r="AO85" s="630"/>
      <c r="AP85" s="630"/>
      <c r="AQ85" s="630"/>
      <c r="AR85" s="630"/>
      <c r="AS85" s="630"/>
      <c r="AT85" s="629"/>
      <c r="AU85" s="630"/>
      <c r="AV85" s="630"/>
      <c r="AW85" s="762"/>
      <c r="AX85" s="762"/>
      <c r="AY85" s="630"/>
      <c r="AZ85" s="630"/>
      <c r="BA85" s="630"/>
      <c r="BB85" s="630"/>
      <c r="BC85" s="630"/>
      <c r="BD85" s="630"/>
      <c r="BE85" s="630"/>
      <c r="BF85" s="630"/>
      <c r="BG85" s="630"/>
      <c r="BH85" s="630"/>
      <c r="BI85" s="630"/>
    </row>
    <row r="86" spans="1:64" x14ac:dyDescent="0.2">
      <c r="AK86" s="575"/>
      <c r="AL86" s="575"/>
      <c r="AM86" s="575"/>
      <c r="AN86" s="575"/>
      <c r="AO86" s="575"/>
      <c r="AP86" s="575"/>
      <c r="AQ86" s="575"/>
      <c r="AR86" s="575"/>
      <c r="AS86" s="575"/>
      <c r="AU86" s="575"/>
      <c r="AV86" s="575"/>
      <c r="AW86" s="582"/>
      <c r="AX86" s="582"/>
      <c r="AY86" s="575"/>
      <c r="AZ86" s="575"/>
      <c r="BA86" s="575"/>
      <c r="BB86" s="575"/>
      <c r="BC86" s="575"/>
      <c r="BD86" s="575"/>
      <c r="BE86" s="575"/>
      <c r="BF86" s="575"/>
      <c r="BG86" s="575"/>
      <c r="BH86" s="575"/>
      <c r="BI86" s="575"/>
    </row>
    <row r="87" spans="1:64" x14ac:dyDescent="0.2">
      <c r="F87" s="576"/>
      <c r="G87" s="576"/>
      <c r="H87" s="576"/>
      <c r="I87" s="576"/>
      <c r="J87" s="576"/>
      <c r="K87" s="576"/>
      <c r="L87" s="576"/>
      <c r="M87" s="576"/>
      <c r="N87" s="576"/>
      <c r="O87" s="576"/>
      <c r="P87" s="576"/>
      <c r="Q87" s="576"/>
      <c r="R87" s="576"/>
      <c r="S87" s="576"/>
      <c r="T87" s="576"/>
      <c r="U87" s="576"/>
      <c r="V87" s="576"/>
      <c r="W87" s="576"/>
      <c r="X87" s="576"/>
      <c r="Y87" s="576"/>
      <c r="Z87" s="576"/>
      <c r="AA87" s="576"/>
      <c r="AB87" s="576"/>
      <c r="AC87" s="576"/>
      <c r="AD87" s="576"/>
      <c r="AE87" s="576"/>
      <c r="AF87" s="576"/>
      <c r="AG87" s="576"/>
      <c r="AH87" s="576"/>
      <c r="AI87" s="576"/>
      <c r="AJ87" s="576"/>
      <c r="AK87" s="576"/>
      <c r="AL87" s="576"/>
      <c r="AM87" s="576"/>
      <c r="AN87" s="576"/>
      <c r="AO87" s="576"/>
      <c r="AP87" s="576"/>
      <c r="AQ87" s="576"/>
      <c r="AR87" s="576"/>
      <c r="AS87" s="576"/>
      <c r="AT87" s="576"/>
      <c r="AU87" s="576"/>
      <c r="AV87" s="576"/>
      <c r="AW87" s="760"/>
      <c r="AX87" s="760"/>
      <c r="AY87" s="576"/>
      <c r="AZ87" s="576"/>
      <c r="BA87" s="576"/>
      <c r="BB87" s="576"/>
      <c r="BC87" s="576"/>
      <c r="BD87" s="576"/>
      <c r="BE87" s="576"/>
      <c r="BF87" s="576"/>
      <c r="BG87" s="576"/>
      <c r="BH87" s="576"/>
      <c r="BI87" s="576"/>
    </row>
    <row r="88" spans="1:64" x14ac:dyDescent="0.2">
      <c r="AK88" s="763"/>
      <c r="AS88" s="763"/>
      <c r="AU88" s="575"/>
      <c r="AV88" s="575"/>
      <c r="BG88" s="580"/>
      <c r="BH88" s="580"/>
    </row>
    <row r="89" spans="1:64" x14ac:dyDescent="0.2">
      <c r="AK89" s="580"/>
      <c r="AS89" s="764"/>
      <c r="AU89" s="575"/>
      <c r="AV89" s="575"/>
      <c r="BG89" s="580"/>
      <c r="BH89" s="580"/>
    </row>
    <row r="90" spans="1:64" x14ac:dyDescent="0.2">
      <c r="F90" s="576"/>
      <c r="G90" s="576"/>
      <c r="H90" s="576"/>
      <c r="I90" s="576"/>
      <c r="J90" s="576"/>
      <c r="K90" s="576"/>
      <c r="L90" s="576"/>
      <c r="M90" s="576"/>
      <c r="N90" s="576"/>
      <c r="O90" s="576"/>
      <c r="P90" s="576"/>
      <c r="Q90" s="576"/>
      <c r="S90" s="765"/>
      <c r="AK90" s="580"/>
      <c r="AL90" s="580"/>
      <c r="AO90" s="580"/>
      <c r="AQ90" s="580"/>
      <c r="AR90" s="580"/>
      <c r="AS90" s="580"/>
      <c r="AU90" s="575"/>
      <c r="AV90" s="575"/>
      <c r="AZ90" s="843"/>
      <c r="BA90" s="843"/>
      <c r="BG90" s="766"/>
      <c r="BH90" s="766"/>
    </row>
    <row r="91" spans="1:64" x14ac:dyDescent="0.2">
      <c r="G91" s="765"/>
      <c r="K91" s="765"/>
      <c r="O91" s="765"/>
      <c r="S91" s="765"/>
      <c r="AK91" s="766"/>
      <c r="AL91" s="767"/>
      <c r="AM91" s="766"/>
      <c r="AN91" s="766"/>
      <c r="AO91" s="766"/>
      <c r="AP91" s="768"/>
      <c r="AQ91" s="768"/>
      <c r="AR91" s="769"/>
      <c r="AS91" s="584"/>
      <c r="AU91" s="575"/>
      <c r="AV91" s="575"/>
      <c r="BG91" s="766"/>
      <c r="BH91" s="766"/>
    </row>
    <row r="92" spans="1:64" x14ac:dyDescent="0.2">
      <c r="AK92" s="766"/>
      <c r="AL92" s="766"/>
      <c r="AM92" s="766"/>
      <c r="AN92" s="766"/>
      <c r="AO92" s="766"/>
      <c r="AP92" s="770"/>
      <c r="AQ92" s="766"/>
      <c r="AR92" s="766"/>
      <c r="AS92" s="766"/>
      <c r="AU92" s="575"/>
      <c r="AV92" s="575"/>
      <c r="BG92" s="693"/>
      <c r="BH92" s="693"/>
    </row>
    <row r="93" spans="1:64" x14ac:dyDescent="0.2">
      <c r="AK93" s="693"/>
      <c r="AL93" s="771"/>
      <c r="AM93" s="690"/>
      <c r="AN93" s="690"/>
      <c r="AO93" s="690"/>
      <c r="AP93" s="771"/>
      <c r="AQ93" s="690"/>
      <c r="AR93" s="690"/>
      <c r="AS93" s="683"/>
      <c r="AU93" s="575"/>
      <c r="AV93" s="575"/>
      <c r="BG93" s="690"/>
      <c r="BH93" s="690"/>
    </row>
    <row r="94" spans="1:64" x14ac:dyDescent="0.2">
      <c r="AK94" s="693"/>
      <c r="AL94" s="690"/>
      <c r="AM94" s="690"/>
      <c r="AN94" s="690"/>
      <c r="AO94" s="690"/>
      <c r="AP94" s="690"/>
      <c r="AQ94" s="690"/>
      <c r="AR94" s="690"/>
      <c r="AS94" s="683"/>
      <c r="AU94" s="575"/>
      <c r="AV94" s="575"/>
      <c r="BG94" s="690"/>
      <c r="BH94" s="690"/>
    </row>
    <row r="95" spans="1:64" x14ac:dyDescent="0.2">
      <c r="AK95" s="693"/>
      <c r="AL95" s="690"/>
      <c r="AM95" s="690"/>
      <c r="AN95" s="690"/>
      <c r="AO95" s="690"/>
      <c r="AP95" s="690"/>
      <c r="AQ95" s="690"/>
      <c r="AR95" s="690"/>
      <c r="AS95" s="683"/>
      <c r="AU95" s="575"/>
      <c r="AV95" s="575"/>
      <c r="BG95" s="690"/>
      <c r="BH95" s="690"/>
    </row>
    <row r="96" spans="1:64" x14ac:dyDescent="0.2">
      <c r="AK96" s="690"/>
      <c r="AL96" s="690"/>
      <c r="AM96" s="690"/>
      <c r="AN96" s="690"/>
      <c r="AO96" s="690"/>
      <c r="AP96" s="690"/>
      <c r="AQ96" s="690"/>
      <c r="AR96" s="690"/>
      <c r="AS96" s="690"/>
      <c r="AU96" s="575"/>
      <c r="AV96" s="575"/>
      <c r="BG96" s="772"/>
      <c r="BH96" s="772"/>
    </row>
    <row r="97" spans="37:60" x14ac:dyDescent="0.2">
      <c r="AK97" s="772"/>
      <c r="AL97" s="772"/>
      <c r="AM97" s="772"/>
      <c r="AN97" s="772"/>
      <c r="AO97" s="772"/>
      <c r="AP97" s="772"/>
      <c r="AQ97" s="772"/>
      <c r="AR97" s="772"/>
      <c r="AS97" s="772"/>
      <c r="AU97" s="575"/>
      <c r="AV97" s="575"/>
      <c r="BG97" s="772"/>
      <c r="BH97" s="772"/>
    </row>
    <row r="98" spans="37:60" x14ac:dyDescent="0.2">
      <c r="AK98" s="772"/>
      <c r="AL98" s="772"/>
      <c r="AM98" s="772"/>
      <c r="AN98" s="772"/>
      <c r="AO98" s="772"/>
      <c r="AP98" s="772"/>
      <c r="AQ98" s="772"/>
      <c r="AR98" s="772"/>
      <c r="AS98" s="772"/>
      <c r="AU98" s="575"/>
      <c r="AV98" s="575"/>
      <c r="BG98" s="575"/>
      <c r="BH98" s="575"/>
    </row>
    <row r="99" spans="37:60" x14ac:dyDescent="0.2">
      <c r="AK99" s="575"/>
      <c r="AL99" s="575"/>
      <c r="AM99" s="575"/>
      <c r="AN99" s="575"/>
      <c r="AO99" s="575"/>
      <c r="AP99" s="575"/>
      <c r="AQ99" s="575"/>
      <c r="AR99" s="575"/>
      <c r="AS99" s="575"/>
      <c r="AU99" s="575"/>
      <c r="AV99" s="575"/>
      <c r="BG99" s="575"/>
      <c r="BH99" s="575"/>
    </row>
    <row r="100" spans="37:60" x14ac:dyDescent="0.2">
      <c r="AK100" s="575"/>
      <c r="AL100" s="575"/>
      <c r="AM100" s="575"/>
      <c r="AN100" s="575"/>
      <c r="AO100" s="575"/>
      <c r="AP100" s="575"/>
      <c r="AQ100" s="575"/>
      <c r="AR100" s="575"/>
      <c r="AS100" s="575"/>
      <c r="AU100" s="575"/>
      <c r="AV100" s="575"/>
      <c r="BG100" s="575"/>
      <c r="BH100" s="575"/>
    </row>
    <row r="101" spans="37:60" x14ac:dyDescent="0.2">
      <c r="AK101" s="575"/>
      <c r="AL101" s="575"/>
      <c r="AM101" s="575"/>
      <c r="AN101" s="575"/>
      <c r="AO101" s="575"/>
      <c r="AP101" s="575"/>
      <c r="AQ101" s="575"/>
      <c r="AR101" s="575"/>
      <c r="AS101" s="575"/>
      <c r="AU101" s="575"/>
      <c r="AV101" s="575"/>
      <c r="BG101" s="575"/>
      <c r="BH101" s="575"/>
    </row>
    <row r="102" spans="37:60" x14ac:dyDescent="0.2">
      <c r="AK102" s="575"/>
      <c r="AL102" s="575"/>
      <c r="AM102" s="575"/>
      <c r="AN102" s="575"/>
      <c r="AO102" s="575"/>
      <c r="AP102" s="575"/>
      <c r="AQ102" s="575"/>
      <c r="AR102" s="575"/>
      <c r="AS102" s="575"/>
      <c r="AU102" s="575"/>
      <c r="AV102" s="575"/>
      <c r="BG102" s="575"/>
      <c r="BH102" s="575"/>
    </row>
    <row r="103" spans="37:60" x14ac:dyDescent="0.2">
      <c r="AK103" s="575"/>
      <c r="AL103" s="575"/>
      <c r="AM103" s="575"/>
      <c r="AN103" s="575"/>
      <c r="AO103" s="575"/>
      <c r="AP103" s="575"/>
      <c r="AQ103" s="575"/>
      <c r="AR103" s="575"/>
      <c r="AS103" s="575"/>
      <c r="AU103" s="575"/>
      <c r="AV103" s="575"/>
    </row>
  </sheetData>
  <mergeCells count="11">
    <mergeCell ref="C57:D57"/>
    <mergeCell ref="AW57:AX57"/>
    <mergeCell ref="C68:D68"/>
    <mergeCell ref="C69:D69"/>
    <mergeCell ref="AW69:AX69"/>
    <mergeCell ref="C56:D56"/>
    <mergeCell ref="C10:D10"/>
    <mergeCell ref="C11:D11"/>
    <mergeCell ref="AW11:AX11"/>
    <mergeCell ref="A35:B35"/>
    <mergeCell ref="A41:B41"/>
  </mergeCells>
  <conditionalFormatting sqref="A54:A55 AM63:AS66 A75:A77 A67 A42:B46 AO45:AS50 AM45:AN49 BF45:BH50 BD66:BH66 BF63:BH65">
    <cfRule type="cellIs" dxfId="120" priority="5" stopIfTrue="1" operator="equal">
      <formula>0</formula>
    </cfRule>
  </conditionalFormatting>
  <conditionalFormatting sqref="BB66:BC66">
    <cfRule type="cellIs" dxfId="119" priority="4" stopIfTrue="1" operator="equal">
      <formula>0</formula>
    </cfRule>
  </conditionalFormatting>
  <conditionalFormatting sqref="BB66">
    <cfRule type="cellIs" dxfId="118" priority="3" stopIfTrue="1" operator="equal">
      <formula>0</formula>
    </cfRule>
  </conditionalFormatting>
  <conditionalFormatting sqref="BA66">
    <cfRule type="cellIs" dxfId="117" priority="2" stopIfTrue="1" operator="equal">
      <formula>0</formula>
    </cfRule>
  </conditionalFormatting>
  <conditionalFormatting sqref="AZ66">
    <cfRule type="cellIs" dxfId="116" priority="1" stopIfTrue="1" operator="equal">
      <formula>0</formula>
    </cfRule>
  </conditionalFormatting>
  <printOptions horizontalCentered="1"/>
  <pageMargins left="0.3" right="0.3" top="0.4" bottom="0.6" header="0" footer="0.3"/>
  <pageSetup scale="54" orientation="landscape" r:id="rId1"/>
  <headerFooter alignWithMargins="0">
    <oddFooter>&amp;L&amp;F&amp;CPage 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D74"/>
  <sheetViews>
    <sheetView zoomScale="85" zoomScaleNormal="85" zoomScaleSheetLayoutView="70" workbookViewId="0">
      <selection activeCell="M45" sqref="M45"/>
    </sheetView>
  </sheetViews>
  <sheetFormatPr defaultColWidth="9.140625" defaultRowHeight="12.75" x14ac:dyDescent="0.2"/>
  <cols>
    <col min="1" max="1" width="2.7109375" style="1108" customWidth="1"/>
    <col min="2" max="2" width="38.7109375" style="1108" customWidth="1"/>
    <col min="3" max="3" width="5.85546875" style="1075" customWidth="1"/>
    <col min="4" max="9" width="11.28515625" style="1109" customWidth="1"/>
    <col min="10" max="13" width="13.7109375" style="1109" customWidth="1"/>
    <col min="14" max="14" width="12" style="1109" bestFit="1" customWidth="1"/>
    <col min="15" max="15" width="4" style="1109" customWidth="1"/>
    <col min="16" max="21" width="11" style="1109" customWidth="1"/>
    <col min="22" max="24" width="10.85546875" style="1109" customWidth="1"/>
    <col min="25" max="25" width="12.5703125" style="1109" bestFit="1" customWidth="1"/>
    <col min="26" max="26" width="12.42578125" style="1108" customWidth="1"/>
    <col min="27" max="27" width="9.140625" style="1104" customWidth="1"/>
    <col min="28" max="28" width="12.140625" style="1104" customWidth="1"/>
    <col min="29" max="29" width="14.140625" style="1104" customWidth="1"/>
    <col min="30" max="30" width="12.5703125" style="1104" customWidth="1"/>
    <col min="31" max="16384" width="9.140625" style="1104"/>
  </cols>
  <sheetData>
    <row r="1" spans="1:30" ht="12" customHeight="1" x14ac:dyDescent="0.2">
      <c r="M1" s="1138"/>
      <c r="N1" s="1138"/>
      <c r="O1" s="1138"/>
      <c r="Y1" s="1138"/>
    </row>
    <row r="2" spans="1:30" x14ac:dyDescent="0.2">
      <c r="M2" s="1138"/>
      <c r="N2" s="1138"/>
      <c r="O2" s="1138"/>
      <c r="Y2" s="1138"/>
    </row>
    <row r="3" spans="1:30" x14ac:dyDescent="0.2">
      <c r="M3" s="1138"/>
      <c r="N3" s="1138"/>
      <c r="O3" s="1138"/>
      <c r="Y3" s="1138"/>
    </row>
    <row r="4" spans="1:30" x14ac:dyDescent="0.2">
      <c r="M4" s="1138"/>
      <c r="N4" s="1138"/>
      <c r="O4" s="1138"/>
      <c r="Y4" s="1138"/>
    </row>
    <row r="5" spans="1:30" ht="20.25" customHeight="1" x14ac:dyDescent="0.2">
      <c r="A5" s="1109"/>
      <c r="B5" s="1109"/>
      <c r="M5" s="1139"/>
      <c r="N5" s="1139"/>
      <c r="O5" s="1139"/>
      <c r="Y5" s="1139"/>
    </row>
    <row r="6" spans="1:30" ht="18" customHeight="1" x14ac:dyDescent="0.2">
      <c r="A6" s="1110" t="s">
        <v>345</v>
      </c>
      <c r="B6" s="1109"/>
      <c r="E6" s="1854"/>
      <c r="K6" s="1854"/>
      <c r="L6" s="1854"/>
      <c r="M6" s="1139"/>
      <c r="N6" s="1139"/>
      <c r="O6" s="1139"/>
      <c r="Q6" s="1854"/>
      <c r="W6" s="1854"/>
      <c r="X6" s="1854"/>
      <c r="Y6" s="1139"/>
    </row>
    <row r="7" spans="1:30" ht="18" customHeight="1" x14ac:dyDescent="0.2">
      <c r="A7" s="1977" t="s">
        <v>554</v>
      </c>
      <c r="B7" s="942"/>
      <c r="C7" s="898"/>
      <c r="D7" s="942"/>
      <c r="E7" s="942"/>
      <c r="F7" s="942"/>
      <c r="G7" s="942"/>
      <c r="H7" s="973"/>
      <c r="I7" s="973"/>
      <c r="J7" s="942"/>
      <c r="K7" s="942"/>
      <c r="L7" s="942"/>
      <c r="M7" s="1141"/>
      <c r="N7" s="1141"/>
      <c r="O7" s="1139"/>
      <c r="P7" s="942"/>
      <c r="Q7" s="942"/>
      <c r="R7" s="942"/>
      <c r="S7" s="942"/>
      <c r="T7" s="973"/>
      <c r="U7" s="973"/>
      <c r="V7" s="942"/>
      <c r="W7" s="942"/>
      <c r="X7" s="942"/>
      <c r="Y7" s="1141"/>
    </row>
    <row r="8" spans="1:30" ht="15" customHeight="1" x14ac:dyDescent="0.2">
      <c r="A8" s="943" t="s">
        <v>561</v>
      </c>
      <c r="B8" s="942"/>
      <c r="C8" s="898"/>
      <c r="D8" s="942"/>
      <c r="E8" s="942"/>
      <c r="F8" s="942"/>
      <c r="G8" s="942"/>
      <c r="H8" s="942"/>
      <c r="I8" s="942"/>
      <c r="J8" s="942"/>
      <c r="K8" s="942"/>
      <c r="L8" s="942"/>
      <c r="M8" s="1138"/>
      <c r="N8" s="1138"/>
      <c r="O8" s="1138"/>
      <c r="P8" s="942"/>
      <c r="Q8" s="942"/>
      <c r="R8" s="942"/>
      <c r="S8" s="942"/>
      <c r="T8" s="942"/>
      <c r="U8" s="942"/>
      <c r="V8" s="942"/>
      <c r="W8" s="942"/>
      <c r="X8" s="942"/>
      <c r="Y8" s="1138"/>
    </row>
    <row r="9" spans="1:30" ht="15" customHeight="1" x14ac:dyDescent="0.2">
      <c r="A9" s="943"/>
      <c r="B9" s="942"/>
      <c r="C9" s="898"/>
      <c r="D9" s="942"/>
      <c r="E9" s="942"/>
      <c r="F9" s="942"/>
      <c r="G9" s="942"/>
      <c r="H9" s="942"/>
      <c r="I9" s="942"/>
      <c r="J9" s="942"/>
      <c r="K9" s="942"/>
      <c r="L9" s="942"/>
      <c r="M9" s="1138"/>
      <c r="N9" s="1138"/>
      <c r="O9" s="1138"/>
      <c r="P9" s="942"/>
      <c r="Q9" s="942"/>
      <c r="R9" s="942"/>
      <c r="S9" s="942"/>
      <c r="T9" s="942"/>
      <c r="U9" s="942"/>
      <c r="V9" s="942"/>
      <c r="W9" s="942"/>
      <c r="X9" s="942"/>
      <c r="Y9" s="1138"/>
    </row>
    <row r="10" spans="1:30" ht="15" customHeight="1" x14ac:dyDescent="0.2">
      <c r="A10" s="943"/>
      <c r="B10" s="942"/>
      <c r="C10" s="898"/>
      <c r="D10" s="942"/>
      <c r="E10" s="942"/>
      <c r="F10" s="942"/>
      <c r="G10" s="942"/>
      <c r="H10" s="942"/>
      <c r="I10" s="942"/>
      <c r="J10" s="942"/>
      <c r="K10" s="942"/>
      <c r="L10" s="942"/>
      <c r="M10" s="1138"/>
      <c r="N10" s="1138"/>
      <c r="O10" s="1138"/>
      <c r="P10" s="942"/>
      <c r="Q10" s="942"/>
      <c r="R10" s="942"/>
      <c r="S10" s="942"/>
      <c r="T10" s="942"/>
      <c r="U10" s="942"/>
      <c r="V10" s="942"/>
      <c r="W10" s="942"/>
      <c r="X10" s="942"/>
      <c r="Y10" s="1138"/>
    </row>
    <row r="11" spans="1:30" ht="12.75" customHeight="1" x14ac:dyDescent="0.2">
      <c r="C11" s="896"/>
      <c r="D11" s="2387" t="s">
        <v>663</v>
      </c>
      <c r="E11" s="2388"/>
      <c r="F11" s="2388"/>
      <c r="G11" s="2388"/>
      <c r="H11" s="2388"/>
      <c r="I11" s="2388"/>
      <c r="J11" s="2388"/>
      <c r="K11" s="2388"/>
      <c r="L11" s="2388"/>
      <c r="M11" s="2388"/>
      <c r="N11" s="2389"/>
      <c r="P11" s="2387" t="s">
        <v>664</v>
      </c>
      <c r="Q11" s="2388"/>
      <c r="R11" s="2388"/>
      <c r="S11" s="2388"/>
      <c r="T11" s="2388"/>
      <c r="U11" s="2388"/>
      <c r="V11" s="2388"/>
      <c r="W11" s="2388"/>
      <c r="X11" s="2388"/>
      <c r="Y11" s="2388"/>
      <c r="Z11" s="2389"/>
      <c r="AB11" s="1626" t="s">
        <v>542</v>
      </c>
    </row>
    <row r="12" spans="1:30" ht="40.5" customHeight="1" x14ac:dyDescent="0.2">
      <c r="A12" s="944" t="s">
        <v>1</v>
      </c>
      <c r="B12" s="945"/>
      <c r="C12" s="1965"/>
      <c r="D12" s="2387" t="s">
        <v>82</v>
      </c>
      <c r="E12" s="2388"/>
      <c r="F12" s="2388"/>
      <c r="G12" s="2388"/>
      <c r="H12" s="2388"/>
      <c r="I12" s="2389"/>
      <c r="J12" s="2384" t="s">
        <v>541</v>
      </c>
      <c r="K12" s="2385"/>
      <c r="L12" s="2386"/>
      <c r="M12" s="1974" t="s">
        <v>545</v>
      </c>
      <c r="N12" s="2390" t="s">
        <v>55</v>
      </c>
      <c r="O12" s="979"/>
      <c r="P12" s="2387" t="s">
        <v>82</v>
      </c>
      <c r="Q12" s="2388"/>
      <c r="R12" s="2388"/>
      <c r="S12" s="2388"/>
      <c r="T12" s="2388"/>
      <c r="U12" s="2389"/>
      <c r="V12" s="2384" t="s">
        <v>541</v>
      </c>
      <c r="W12" s="2385"/>
      <c r="X12" s="2386"/>
      <c r="Y12" s="1974" t="s">
        <v>545</v>
      </c>
      <c r="Z12" s="2390" t="s">
        <v>55</v>
      </c>
    </row>
    <row r="13" spans="1:30" ht="54" customHeight="1" x14ac:dyDescent="0.2">
      <c r="A13" s="944" t="s">
        <v>2</v>
      </c>
      <c r="B13" s="945"/>
      <c r="C13" s="2231"/>
      <c r="D13" s="985" t="s">
        <v>81</v>
      </c>
      <c r="E13" s="985" t="s">
        <v>90</v>
      </c>
      <c r="F13" s="1978" t="s">
        <v>538</v>
      </c>
      <c r="G13" s="985" t="s">
        <v>265</v>
      </c>
      <c r="H13" s="1971" t="s">
        <v>458</v>
      </c>
      <c r="I13" s="1979" t="s">
        <v>55</v>
      </c>
      <c r="J13" s="985" t="s">
        <v>81</v>
      </c>
      <c r="K13" s="1978" t="s">
        <v>539</v>
      </c>
      <c r="L13" s="2204" t="s">
        <v>55</v>
      </c>
      <c r="M13" s="986" t="s">
        <v>81</v>
      </c>
      <c r="N13" s="2391"/>
      <c r="O13" s="989"/>
      <c r="P13" s="985" t="s">
        <v>81</v>
      </c>
      <c r="Q13" s="985" t="s">
        <v>90</v>
      </c>
      <c r="R13" s="1978" t="s">
        <v>538</v>
      </c>
      <c r="S13" s="985" t="s">
        <v>265</v>
      </c>
      <c r="T13" s="1971" t="s">
        <v>458</v>
      </c>
      <c r="U13" s="1979" t="s">
        <v>55</v>
      </c>
      <c r="V13" s="985" t="s">
        <v>81</v>
      </c>
      <c r="W13" s="1978" t="s">
        <v>539</v>
      </c>
      <c r="X13" s="2204" t="s">
        <v>55</v>
      </c>
      <c r="Y13" s="986" t="s">
        <v>81</v>
      </c>
      <c r="Z13" s="2391"/>
      <c r="AA13" s="1221"/>
      <c r="AB13" s="1626" t="s">
        <v>543</v>
      </c>
      <c r="AC13" s="1626" t="s">
        <v>544</v>
      </c>
      <c r="AD13" s="1626" t="s">
        <v>540</v>
      </c>
    </row>
    <row r="14" spans="1:30" s="1221" customFormat="1" x14ac:dyDescent="0.2">
      <c r="A14" s="944"/>
      <c r="B14" s="945"/>
      <c r="C14" s="2231"/>
      <c r="D14" s="1148"/>
      <c r="E14" s="1148"/>
      <c r="F14" s="1148"/>
      <c r="G14" s="1148"/>
      <c r="H14" s="1149"/>
      <c r="I14" s="1149"/>
      <c r="J14" s="1148"/>
      <c r="K14" s="1148"/>
      <c r="L14" s="1151"/>
      <c r="M14" s="1149"/>
      <c r="N14" s="1151"/>
      <c r="O14" s="989"/>
      <c r="P14" s="1148"/>
      <c r="Q14" s="1148"/>
      <c r="R14" s="1148"/>
      <c r="S14" s="1148"/>
      <c r="T14" s="1149"/>
      <c r="U14" s="1151"/>
      <c r="V14" s="1148"/>
      <c r="W14" s="1148"/>
      <c r="X14" s="1151"/>
      <c r="Y14" s="1149"/>
      <c r="Z14" s="1151"/>
    </row>
    <row r="15" spans="1:30" ht="12.75" customHeight="1" x14ac:dyDescent="0.2">
      <c r="A15" s="946" t="s">
        <v>56</v>
      </c>
      <c r="B15" s="947"/>
      <c r="C15" s="1076"/>
      <c r="D15" s="1133"/>
      <c r="E15" s="945"/>
      <c r="F15" s="1133"/>
      <c r="G15" s="1133"/>
      <c r="H15" s="1111"/>
      <c r="I15" s="1111"/>
      <c r="J15" s="1133"/>
      <c r="K15" s="1133"/>
      <c r="L15" s="1152"/>
      <c r="M15" s="1111"/>
      <c r="N15" s="1152"/>
      <c r="O15" s="1152"/>
      <c r="P15" s="1133"/>
      <c r="Q15" s="945"/>
      <c r="R15" s="1133"/>
      <c r="S15" s="1133"/>
      <c r="T15" s="1111"/>
      <c r="U15" s="1152"/>
      <c r="V15" s="1133"/>
      <c r="W15" s="1133"/>
      <c r="X15" s="1152"/>
      <c r="Y15" s="1111"/>
      <c r="Z15" s="1152"/>
    </row>
    <row r="16" spans="1:30" ht="12.75" customHeight="1" x14ac:dyDescent="0.2">
      <c r="A16" s="945"/>
      <c r="B16" s="945" t="s">
        <v>282</v>
      </c>
      <c r="C16" s="919"/>
      <c r="D16" s="1130">
        <f>'5 Capital Markets Canada'!J59</f>
        <v>10932</v>
      </c>
      <c r="E16" s="1130">
        <f>'6 CG - US'!J62</f>
        <v>16931</v>
      </c>
      <c r="F16" s="1130">
        <f>'7 UK &amp; Dubai'!J60</f>
        <v>8953</v>
      </c>
      <c r="G16" s="1186">
        <f>'8 CG - Australia'!J59</f>
        <v>3947</v>
      </c>
      <c r="H16" s="1165" t="e">
        <f>#REF!</f>
        <v>#REF!</v>
      </c>
      <c r="I16" s="1165" t="e">
        <f>SUM(D16:H16)</f>
        <v>#REF!</v>
      </c>
      <c r="J16" s="1130">
        <f>'10 CWM Canada'!J65</f>
        <v>30431</v>
      </c>
      <c r="K16" s="1130">
        <f>'11 CWM UK and Europe'!J64</f>
        <v>63959</v>
      </c>
      <c r="L16" s="1285">
        <f>J16+K16</f>
        <v>94390</v>
      </c>
      <c r="M16" s="1283">
        <v>-5</v>
      </c>
      <c r="N16" s="1285" t="e">
        <f>M16+L16+I16</f>
        <v>#REF!</v>
      </c>
      <c r="O16" s="1169"/>
      <c r="P16" s="1130">
        <f>'5 Capital Markets Canada'!Q59</f>
        <v>39840</v>
      </c>
      <c r="Q16" s="1130">
        <f>'6 CG - US'!Q62</f>
        <v>69484</v>
      </c>
      <c r="R16" s="1130">
        <f>'7 UK &amp; Dubai'!Q60</f>
        <v>31557</v>
      </c>
      <c r="S16" s="1186">
        <f>'8 CG - Australia'!Q59</f>
        <v>14245</v>
      </c>
      <c r="T16" s="1165" t="e">
        <f>#REF!</f>
        <v>#REF!</v>
      </c>
      <c r="U16" s="1182" t="e">
        <f>SUM(P16:T16)</f>
        <v>#REF!</v>
      </c>
      <c r="V16" s="1130">
        <f>'10 CWM Canada'!Q65</f>
        <v>109139</v>
      </c>
      <c r="W16" s="1130">
        <f>'11 CWM UK and Europe'!Q64</f>
        <v>197677</v>
      </c>
      <c r="X16" s="1285">
        <f>V16+W16</f>
        <v>306816</v>
      </c>
      <c r="Y16" s="1283">
        <v>-5</v>
      </c>
      <c r="Z16" s="1285" t="e">
        <f>U16+X16+Y16</f>
        <v>#REF!</v>
      </c>
    </row>
    <row r="17" spans="1:30" ht="12.75" customHeight="1" x14ac:dyDescent="0.2">
      <c r="A17" s="945"/>
      <c r="B17" s="945" t="s">
        <v>57</v>
      </c>
      <c r="C17" s="919"/>
      <c r="D17" s="1130">
        <f>'5 Capital Markets Canada'!J60</f>
        <v>40602</v>
      </c>
      <c r="E17" s="1130">
        <f>'6 CG - US'!J63</f>
        <v>15319</v>
      </c>
      <c r="F17" s="1130">
        <f>'7 UK &amp; Dubai'!J61</f>
        <v>6899</v>
      </c>
      <c r="G17" s="1186">
        <f>'8 CG - Australia'!J60</f>
        <v>15989</v>
      </c>
      <c r="H17" s="1165" t="e">
        <f>#REF!</f>
        <v>#REF!</v>
      </c>
      <c r="I17" s="1165" t="e">
        <f t="shared" ref="I17:I21" si="0">SUM(D17:H17)</f>
        <v>#REF!</v>
      </c>
      <c r="J17" s="1130">
        <f>'10 CWM Canada'!J66</f>
        <v>16705</v>
      </c>
      <c r="K17" s="1130">
        <f>'11 CWM UK and Europe'!J65</f>
        <v>0</v>
      </c>
      <c r="L17" s="1285">
        <f t="shared" ref="L17:L21" si="1">J17+K17</f>
        <v>16705</v>
      </c>
      <c r="M17" s="1283">
        <v>0</v>
      </c>
      <c r="N17" s="1285" t="e">
        <f t="shared" ref="N17:N21" si="2">M17+L17+I17</f>
        <v>#REF!</v>
      </c>
      <c r="O17" s="1169"/>
      <c r="P17" s="1130">
        <f>'5 Capital Markets Canada'!Q60</f>
        <v>125065</v>
      </c>
      <c r="Q17" s="1130">
        <f>'6 CG - US'!Q63</f>
        <v>41081</v>
      </c>
      <c r="R17" s="1130">
        <f>'7 UK &amp; Dubai'!Q61</f>
        <v>27672</v>
      </c>
      <c r="S17" s="1186">
        <f>'8 CG - Australia'!Q60</f>
        <v>41002</v>
      </c>
      <c r="T17" s="1165" t="e">
        <f>#REF!</f>
        <v>#REF!</v>
      </c>
      <c r="U17" s="1182" t="e">
        <f t="shared" ref="U17:U20" si="3">SUM(P17:T17)</f>
        <v>#REF!</v>
      </c>
      <c r="V17" s="1130">
        <f>'10 CWM Canada'!Q66</f>
        <v>47375</v>
      </c>
      <c r="W17" s="1130">
        <f>'11 CWM UK and Europe'!Q65</f>
        <v>0</v>
      </c>
      <c r="X17" s="1285">
        <f t="shared" ref="X17:X21" si="4">V17+W17</f>
        <v>47375</v>
      </c>
      <c r="Y17" s="1283">
        <v>0</v>
      </c>
      <c r="Z17" s="1285" t="e">
        <f t="shared" ref="Z17:Z21" si="5">U17+X17+Y17</f>
        <v>#REF!</v>
      </c>
    </row>
    <row r="18" spans="1:30" ht="12.75" customHeight="1" x14ac:dyDescent="0.2">
      <c r="A18" s="945"/>
      <c r="B18" s="945" t="s">
        <v>188</v>
      </c>
      <c r="C18" s="919"/>
      <c r="D18" s="1130">
        <f>'5 Capital Markets Canada'!J61</f>
        <v>20876</v>
      </c>
      <c r="E18" s="1130">
        <f>'6 CG - US'!J64</f>
        <v>7552</v>
      </c>
      <c r="F18" s="1130">
        <f>'7 UK &amp; Dubai'!J62</f>
        <v>12375</v>
      </c>
      <c r="G18" s="1186">
        <f>'8 CG - Australia'!J61</f>
        <v>127</v>
      </c>
      <c r="H18" s="1165" t="e">
        <f>#REF!</f>
        <v>#REF!</v>
      </c>
      <c r="I18" s="1165" t="e">
        <f t="shared" si="0"/>
        <v>#REF!</v>
      </c>
      <c r="J18" s="1130">
        <f>'10 CWM Canada'!J67</f>
        <v>0</v>
      </c>
      <c r="K18" s="1130">
        <f>'11 CWM UK and Europe'!J66</f>
        <v>0</v>
      </c>
      <c r="L18" s="1285">
        <f t="shared" si="1"/>
        <v>0</v>
      </c>
      <c r="M18" s="1283">
        <v>0</v>
      </c>
      <c r="N18" s="1285" t="e">
        <f t="shared" si="2"/>
        <v>#REF!</v>
      </c>
      <c r="O18" s="1182"/>
      <c r="P18" s="1130">
        <f>'5 Capital Markets Canada'!Q61</f>
        <v>39573</v>
      </c>
      <c r="Q18" s="1130">
        <f>'6 CG - US'!Q64</f>
        <v>33104</v>
      </c>
      <c r="R18" s="1130">
        <f>'7 UK &amp; Dubai'!Q62</f>
        <v>48087</v>
      </c>
      <c r="S18" s="1186">
        <f>'8 CG - Australia'!Q61</f>
        <v>1608</v>
      </c>
      <c r="T18" s="1165" t="e">
        <f>#REF!</f>
        <v>#REF!</v>
      </c>
      <c r="U18" s="1182" t="e">
        <f t="shared" si="3"/>
        <v>#REF!</v>
      </c>
      <c r="V18" s="1130">
        <f>'10 CWM Canada'!Q67</f>
        <v>0</v>
      </c>
      <c r="W18" s="1130">
        <f>'11 CWM UK and Europe'!Q66</f>
        <v>0</v>
      </c>
      <c r="X18" s="1285">
        <f t="shared" si="4"/>
        <v>0</v>
      </c>
      <c r="Y18" s="1283">
        <v>0</v>
      </c>
      <c r="Z18" s="1285" t="e">
        <f t="shared" si="5"/>
        <v>#REF!</v>
      </c>
    </row>
    <row r="19" spans="1:30" ht="12.75" customHeight="1" x14ac:dyDescent="0.2">
      <c r="A19" s="945"/>
      <c r="B19" s="945" t="s">
        <v>58</v>
      </c>
      <c r="C19" s="919"/>
      <c r="D19" s="1130">
        <f>'5 Capital Markets Canada'!J62</f>
        <v>1382</v>
      </c>
      <c r="E19" s="1130">
        <f>'6 CG - US'!J65</f>
        <v>27991</v>
      </c>
      <c r="F19" s="1130">
        <f>'7 UK &amp; Dubai'!J63</f>
        <v>6649</v>
      </c>
      <c r="G19" s="1186">
        <f>'8 CG - Australia'!J62</f>
        <v>0</v>
      </c>
      <c r="H19" s="1165" t="e">
        <f>#REF!</f>
        <v>#REF!</v>
      </c>
      <c r="I19" s="1165" t="e">
        <f t="shared" si="0"/>
        <v>#REF!</v>
      </c>
      <c r="J19" s="1130">
        <f>'10 CWM Canada'!J68</f>
        <v>24</v>
      </c>
      <c r="K19" s="1130">
        <f>'11 CWM UK and Europe'!J67</f>
        <v>0</v>
      </c>
      <c r="L19" s="1285">
        <f t="shared" si="1"/>
        <v>24</v>
      </c>
      <c r="M19" s="1283">
        <v>1</v>
      </c>
      <c r="N19" s="1285" t="e">
        <f>M19+L19+I19</f>
        <v>#REF!</v>
      </c>
      <c r="O19" s="1182"/>
      <c r="P19" s="1130">
        <f>'5 Capital Markets Canada'!Q62</f>
        <v>2437</v>
      </c>
      <c r="Q19" s="1130">
        <f>'6 CG - US'!Q65</f>
        <v>90388</v>
      </c>
      <c r="R19" s="1130">
        <f>'7 UK &amp; Dubai'!Q63</f>
        <v>20890</v>
      </c>
      <c r="S19" s="1186">
        <f>'8 CG - Australia'!Q62</f>
        <v>0</v>
      </c>
      <c r="T19" s="1165" t="e">
        <f>#REF!</f>
        <v>#REF!</v>
      </c>
      <c r="U19" s="1182" t="e">
        <f t="shared" si="3"/>
        <v>#REF!</v>
      </c>
      <c r="V19" s="1130">
        <f>'10 CWM Canada'!Q68</f>
        <v>201</v>
      </c>
      <c r="W19" s="1130">
        <f>'11 CWM UK and Europe'!Q67</f>
        <v>0</v>
      </c>
      <c r="X19" s="1285">
        <f t="shared" si="4"/>
        <v>201</v>
      </c>
      <c r="Y19" s="1283">
        <v>5</v>
      </c>
      <c r="Z19" s="1285" t="e">
        <f t="shared" si="5"/>
        <v>#REF!</v>
      </c>
    </row>
    <row r="20" spans="1:30" ht="12.75" customHeight="1" x14ac:dyDescent="0.2">
      <c r="A20" s="945"/>
      <c r="B20" s="945" t="s">
        <v>59</v>
      </c>
      <c r="C20" s="919"/>
      <c r="D20" s="1130">
        <f>'5 Capital Markets Canada'!J63</f>
        <v>3819</v>
      </c>
      <c r="E20" s="1130">
        <f>'6 CG - US'!J66</f>
        <v>86</v>
      </c>
      <c r="F20" s="1130">
        <f>'7 UK &amp; Dubai'!J64</f>
        <v>40</v>
      </c>
      <c r="G20" s="1186">
        <f>'8 CG - Australia'!J63</f>
        <v>33</v>
      </c>
      <c r="H20" s="1165" t="e">
        <f>#REF!</f>
        <v>#REF!</v>
      </c>
      <c r="I20" s="1165" t="e">
        <f t="shared" si="0"/>
        <v>#REF!</v>
      </c>
      <c r="J20" s="1130">
        <f>'10 CWM Canada'!J69</f>
        <v>3453</v>
      </c>
      <c r="K20" s="1130">
        <f>'11 CWM UK and Europe'!J68</f>
        <v>394</v>
      </c>
      <c r="L20" s="1285">
        <f t="shared" si="1"/>
        <v>3847</v>
      </c>
      <c r="M20" s="1283">
        <v>2220</v>
      </c>
      <c r="N20" s="1285" t="e">
        <f t="shared" si="2"/>
        <v>#REF!</v>
      </c>
      <c r="O20" s="1182"/>
      <c r="P20" s="1130">
        <f>'5 Capital Markets Canada'!Q63</f>
        <v>9188</v>
      </c>
      <c r="Q20" s="1130">
        <f>'6 CG - US'!Q66</f>
        <v>328</v>
      </c>
      <c r="R20" s="1130">
        <f>'7 UK &amp; Dubai'!Q64</f>
        <v>59</v>
      </c>
      <c r="S20" s="1186">
        <f>'8 CG - Australia'!Q63</f>
        <v>160</v>
      </c>
      <c r="T20" s="1165" t="e">
        <f>#REF!</f>
        <v>#REF!</v>
      </c>
      <c r="U20" s="1182" t="e">
        <f t="shared" si="3"/>
        <v>#REF!</v>
      </c>
      <c r="V20" s="1130">
        <f>'10 CWM Canada'!Q69</f>
        <v>10643</v>
      </c>
      <c r="W20" s="1130">
        <f>'11 CWM UK and Europe'!Q68</f>
        <v>1429</v>
      </c>
      <c r="X20" s="1285">
        <f t="shared" si="4"/>
        <v>12072</v>
      </c>
      <c r="Y20" s="1283">
        <v>6068</v>
      </c>
      <c r="Z20" s="1285" t="e">
        <f t="shared" si="5"/>
        <v>#REF!</v>
      </c>
    </row>
    <row r="21" spans="1:30" ht="12.75" customHeight="1" x14ac:dyDescent="0.2">
      <c r="A21" s="945"/>
      <c r="B21" s="945" t="s">
        <v>60</v>
      </c>
      <c r="C21" s="919"/>
      <c r="D21" s="1130">
        <f>'5 Capital Markets Canada'!J64</f>
        <v>3</v>
      </c>
      <c r="E21" s="1130">
        <f>'6 CG - US'!J67</f>
        <v>279</v>
      </c>
      <c r="F21" s="1130">
        <f>'7 UK &amp; Dubai'!J65</f>
        <v>-120</v>
      </c>
      <c r="G21" s="1186">
        <f>'8 CG - Australia'!J64</f>
        <v>6</v>
      </c>
      <c r="H21" s="1165" t="e">
        <f>#REF!</f>
        <v>#REF!</v>
      </c>
      <c r="I21" s="1165" t="e">
        <f t="shared" si="0"/>
        <v>#REF!</v>
      </c>
      <c r="J21" s="1130">
        <f>'10 CWM Canada'!J70</f>
        <v>842</v>
      </c>
      <c r="K21" s="1130">
        <f>'11 CWM UK and Europe'!J69</f>
        <v>570</v>
      </c>
      <c r="L21" s="1285">
        <f t="shared" si="1"/>
        <v>1412</v>
      </c>
      <c r="M21" s="1283">
        <v>2799</v>
      </c>
      <c r="N21" s="1285" t="e">
        <f t="shared" si="2"/>
        <v>#REF!</v>
      </c>
      <c r="O21" s="1182"/>
      <c r="P21" s="1130">
        <f>'5 Capital Markets Canada'!Q64</f>
        <v>3</v>
      </c>
      <c r="Q21" s="1130">
        <f>'6 CG - US'!Q67</f>
        <v>1557</v>
      </c>
      <c r="R21" s="1130">
        <f>'7 UK &amp; Dubai'!Q65</f>
        <v>193</v>
      </c>
      <c r="S21" s="1186">
        <f>'8 CG - Australia'!Q64</f>
        <v>7</v>
      </c>
      <c r="T21" s="1165" t="e">
        <f>#REF!</f>
        <v>#REF!</v>
      </c>
      <c r="U21" s="1182" t="e">
        <f>SUM(P21:T21)</f>
        <v>#REF!</v>
      </c>
      <c r="V21" s="1130">
        <f>'10 CWM Canada'!Q70</f>
        <v>1524</v>
      </c>
      <c r="W21" s="1130">
        <f>'11 CWM UK and Europe'!Q69</f>
        <v>2277</v>
      </c>
      <c r="X21" s="1285">
        <f t="shared" si="4"/>
        <v>3801</v>
      </c>
      <c r="Y21" s="1283">
        <v>8988</v>
      </c>
      <c r="Z21" s="1285" t="e">
        <f t="shared" si="5"/>
        <v>#REF!</v>
      </c>
    </row>
    <row r="22" spans="1:30" ht="12.75" customHeight="1" x14ac:dyDescent="0.2">
      <c r="A22" s="947"/>
      <c r="B22" s="945"/>
      <c r="C22" s="919"/>
      <c r="D22" s="1269">
        <f t="shared" ref="D22:L22" si="6">SUM(D16:D21)</f>
        <v>77614</v>
      </c>
      <c r="E22" s="1269">
        <f t="shared" si="6"/>
        <v>68158</v>
      </c>
      <c r="F22" s="1269">
        <f t="shared" si="6"/>
        <v>34796</v>
      </c>
      <c r="G22" s="1269">
        <f t="shared" si="6"/>
        <v>20102</v>
      </c>
      <c r="H22" s="1274" t="e">
        <f t="shared" si="6"/>
        <v>#REF!</v>
      </c>
      <c r="I22" s="1274" t="e">
        <f t="shared" si="6"/>
        <v>#REF!</v>
      </c>
      <c r="J22" s="1269">
        <f t="shared" si="6"/>
        <v>51455</v>
      </c>
      <c r="K22" s="1269">
        <f t="shared" ref="K22:N22" si="7">SUM(K16:K21)</f>
        <v>64923</v>
      </c>
      <c r="L22" s="1275">
        <f t="shared" si="6"/>
        <v>116378</v>
      </c>
      <c r="M22" s="1277">
        <f t="shared" si="7"/>
        <v>5015</v>
      </c>
      <c r="N22" s="1277" t="e">
        <f t="shared" si="7"/>
        <v>#REF!</v>
      </c>
      <c r="O22" s="1182"/>
      <c r="P22" s="1269">
        <f t="shared" ref="P22:W22" si="8">SUM(P16:P21)</f>
        <v>216106</v>
      </c>
      <c r="Q22" s="1269">
        <f t="shared" si="8"/>
        <v>235942</v>
      </c>
      <c r="R22" s="1269">
        <f t="shared" si="8"/>
        <v>128458</v>
      </c>
      <c r="S22" s="1269">
        <f t="shared" si="8"/>
        <v>57022</v>
      </c>
      <c r="T22" s="1274" t="e">
        <f t="shared" si="8"/>
        <v>#REF!</v>
      </c>
      <c r="U22" s="1277" t="e">
        <f>SUM(U16:U21)</f>
        <v>#REF!</v>
      </c>
      <c r="V22" s="1269">
        <f t="shared" si="8"/>
        <v>168882</v>
      </c>
      <c r="W22" s="1269">
        <f t="shared" si="8"/>
        <v>201383</v>
      </c>
      <c r="X22" s="1277">
        <f>SUM(X16:X21)</f>
        <v>370265</v>
      </c>
      <c r="Y22" s="1274">
        <f t="shared" ref="Y22" si="9">SUM(Y16:Y21)</f>
        <v>15056</v>
      </c>
      <c r="Z22" s="1277" t="e">
        <f>SUM(Z16:Z21)</f>
        <v>#REF!</v>
      </c>
      <c r="AB22" s="1107" t="e">
        <f>SUM(D22:H22)-('4 Canaccord Genuity '!G18+'4 Canaccord Genuity '!G37)</f>
        <v>#REF!</v>
      </c>
      <c r="AC22" s="1104">
        <f>SUM(J22:K22)-'9 Wealth Management'!G17</f>
        <v>398.99999999998545</v>
      </c>
      <c r="AD22" s="1104">
        <f>M22-'12 Other'!G15</f>
        <v>-1233</v>
      </c>
    </row>
    <row r="23" spans="1:30" ht="12.75" customHeight="1" x14ac:dyDescent="0.2">
      <c r="A23" s="946" t="s">
        <v>5</v>
      </c>
      <c r="B23" s="945"/>
      <c r="C23" s="919"/>
      <c r="D23" s="1130"/>
      <c r="E23" s="1130"/>
      <c r="F23" s="1130"/>
      <c r="G23" s="1186"/>
      <c r="H23" s="1165"/>
      <c r="I23" s="1165"/>
      <c r="J23" s="1282"/>
      <c r="K23" s="1290"/>
      <c r="L23" s="1285"/>
      <c r="M23" s="1283"/>
      <c r="N23" s="1285"/>
      <c r="O23" s="1182"/>
      <c r="P23" s="1130"/>
      <c r="Q23" s="1130"/>
      <c r="R23" s="1130"/>
      <c r="S23" s="1186"/>
      <c r="T23" s="1165"/>
      <c r="U23" s="1182"/>
      <c r="V23" s="1282"/>
      <c r="W23" s="1290"/>
      <c r="X23" s="1270"/>
      <c r="Y23" s="1267"/>
      <c r="Z23" s="1283"/>
    </row>
    <row r="24" spans="1:30" ht="23.25" customHeight="1" x14ac:dyDescent="0.2">
      <c r="A24" s="946"/>
      <c r="B24" s="945" t="s">
        <v>274</v>
      </c>
      <c r="C24" s="919"/>
      <c r="D24" s="1130" t="e">
        <f>'5 Capital Markets Canada'!#REF!</f>
        <v>#REF!</v>
      </c>
      <c r="E24" s="1130" t="e">
        <f>'6 CG - US'!#REF!</f>
        <v>#REF!</v>
      </c>
      <c r="F24" s="1130" t="e">
        <f>'7 UK &amp; Dubai'!#REF!</f>
        <v>#REF!</v>
      </c>
      <c r="G24" s="1186" t="e">
        <f>'8 CG - Australia'!#REF!</f>
        <v>#REF!</v>
      </c>
      <c r="H24" s="1165" t="e">
        <f>#REF!</f>
        <v>#REF!</v>
      </c>
      <c r="I24" s="1165"/>
      <c r="J24" s="1270" t="e">
        <f>'10 CWM Canada'!#REF!</f>
        <v>#REF!</v>
      </c>
      <c r="K24" s="1283" t="e">
        <f>'11 CWM UK and Europe'!#REF!</f>
        <v>#REF!</v>
      </c>
      <c r="L24" s="1285"/>
      <c r="M24" s="1283" t="e">
        <f>'12 Other'!#REF!</f>
        <v>#REF!</v>
      </c>
      <c r="N24" s="1285" t="e">
        <f>SUM(D24:M24)</f>
        <v>#REF!</v>
      </c>
      <c r="O24" s="1182"/>
      <c r="P24" s="1130" t="e">
        <f>'5 Capital Markets Canada'!#REF!</f>
        <v>#REF!</v>
      </c>
      <c r="Q24" s="1130" t="e">
        <f>'6 CG - US'!#REF!</f>
        <v>#REF!</v>
      </c>
      <c r="R24" s="1130" t="e">
        <f>'7 UK &amp; Dubai'!#REF!</f>
        <v>#REF!</v>
      </c>
      <c r="S24" s="1186" t="e">
        <f>'8 CG - Australia'!#REF!</f>
        <v>#REF!</v>
      </c>
      <c r="T24" s="1165" t="e">
        <f>#REF!</f>
        <v>#REF!</v>
      </c>
      <c r="U24" s="1182"/>
      <c r="V24" s="1270" t="e">
        <f>'10 CWM Canada'!#REF!</f>
        <v>#REF!</v>
      </c>
      <c r="W24" s="1283" t="e">
        <f>'11 CWM UK and Europe'!#REF!</f>
        <v>#REF!</v>
      </c>
      <c r="X24" s="1270"/>
      <c r="Y24" s="1285" t="e">
        <f>'12 Other'!#REF!</f>
        <v>#REF!</v>
      </c>
      <c r="Z24" s="1283" t="e">
        <f>SUM(P24:Y24)</f>
        <v>#REF!</v>
      </c>
    </row>
    <row r="25" spans="1:30" ht="18.75" customHeight="1" x14ac:dyDescent="0.2">
      <c r="A25" s="946"/>
      <c r="B25" s="945" t="s">
        <v>275</v>
      </c>
      <c r="C25" s="919"/>
      <c r="D25" s="1292" t="e">
        <f>'5 Capital Markets Canada'!#REF!</f>
        <v>#REF!</v>
      </c>
      <c r="E25" s="1170" t="e">
        <f>'6 CG - US'!#REF!</f>
        <v>#REF!</v>
      </c>
      <c r="F25" s="1170" t="e">
        <f>'7 UK &amp; Dubai'!#REF!</f>
        <v>#REF!</v>
      </c>
      <c r="G25" s="1212" t="e">
        <f>'8 CG - Australia'!#REF!</f>
        <v>#REF!</v>
      </c>
      <c r="H25" s="1171" t="e">
        <f>#REF!</f>
        <v>#REF!</v>
      </c>
      <c r="I25" s="1190"/>
      <c r="J25" s="1292" t="e">
        <f>'10 CWM Canada'!#REF!</f>
        <v>#REF!</v>
      </c>
      <c r="K25" s="1293" t="e">
        <f>'11 CWM UK and Europe'!#REF!</f>
        <v>#REF!</v>
      </c>
      <c r="L25" s="1324"/>
      <c r="M25" s="1324" t="e">
        <f>'12 Other'!#REF!</f>
        <v>#REF!</v>
      </c>
      <c r="N25" s="1324" t="e">
        <f>SUM(D25:M25)</f>
        <v>#REF!</v>
      </c>
      <c r="O25" s="1182"/>
      <c r="P25" s="1292" t="e">
        <f>'5 Capital Markets Canada'!#REF!</f>
        <v>#REF!</v>
      </c>
      <c r="Q25" s="1170" t="e">
        <f>'6 CG - US'!#REF!</f>
        <v>#REF!</v>
      </c>
      <c r="R25" s="1170" t="e">
        <f>'7 UK &amp; Dubai'!#REF!</f>
        <v>#REF!</v>
      </c>
      <c r="S25" s="1212" t="e">
        <f>'8 CG - Australia'!#REF!</f>
        <v>#REF!</v>
      </c>
      <c r="T25" s="1171" t="e">
        <f>#REF!</f>
        <v>#REF!</v>
      </c>
      <c r="U25" s="1190"/>
      <c r="V25" s="1292" t="e">
        <f>'10 CWM Canada'!#REF!</f>
        <v>#REF!</v>
      </c>
      <c r="W25" s="1293" t="e">
        <f>'11 CWM UK and Europe'!#REF!</f>
        <v>#REF!</v>
      </c>
      <c r="X25" s="1292"/>
      <c r="Y25" s="1324" t="e">
        <f>'12 Other'!#REF!</f>
        <v>#REF!</v>
      </c>
      <c r="Z25" s="1293" t="e">
        <f>SUM(P25:Y25)</f>
        <v>#REF!</v>
      </c>
    </row>
    <row r="26" spans="1:30" ht="12.75" customHeight="1" x14ac:dyDescent="0.2">
      <c r="A26" s="947"/>
      <c r="B26" s="945" t="s">
        <v>624</v>
      </c>
      <c r="C26" s="919"/>
      <c r="D26" s="1130" t="e">
        <f t="shared" ref="D26:M26" si="10">D24+D25</f>
        <v>#REF!</v>
      </c>
      <c r="E26" s="1130" t="e">
        <f t="shared" si="10"/>
        <v>#REF!</v>
      </c>
      <c r="F26" s="1130" t="e">
        <f>F24+F25</f>
        <v>#REF!</v>
      </c>
      <c r="G26" s="1130" t="e">
        <f t="shared" si="10"/>
        <v>#REF!</v>
      </c>
      <c r="H26" s="1130" t="e">
        <f t="shared" si="10"/>
        <v>#REF!</v>
      </c>
      <c r="I26" s="1182" t="e">
        <f>SUM(D26:H26)</f>
        <v>#REF!</v>
      </c>
      <c r="J26" s="1130" t="e">
        <f t="shared" si="10"/>
        <v>#REF!</v>
      </c>
      <c r="K26" s="1130" t="e">
        <f t="shared" si="10"/>
        <v>#REF!</v>
      </c>
      <c r="L26" s="1285" t="e">
        <f t="shared" ref="L26:L39" si="11">J26+K26</f>
        <v>#REF!</v>
      </c>
      <c r="M26" s="1283" t="e">
        <f t="shared" si="10"/>
        <v>#REF!</v>
      </c>
      <c r="N26" s="1285" t="e">
        <f>M26+L26+I26</f>
        <v>#REF!</v>
      </c>
      <c r="O26" s="1182"/>
      <c r="P26" s="1130" t="e">
        <f t="shared" ref="P26:Y26" si="12">P24+P25</f>
        <v>#REF!</v>
      </c>
      <c r="Q26" s="1130" t="e">
        <f t="shared" si="12"/>
        <v>#REF!</v>
      </c>
      <c r="R26" s="1130" t="e">
        <f t="shared" si="12"/>
        <v>#REF!</v>
      </c>
      <c r="S26" s="1130" t="e">
        <f t="shared" si="12"/>
        <v>#REF!</v>
      </c>
      <c r="T26" s="1130" t="e">
        <f t="shared" si="12"/>
        <v>#REF!</v>
      </c>
      <c r="U26" s="1182" t="e">
        <f t="shared" ref="U26:U39" si="13">SUM(P26:T26)</f>
        <v>#REF!</v>
      </c>
      <c r="V26" s="1130" t="e">
        <f t="shared" si="12"/>
        <v>#REF!</v>
      </c>
      <c r="W26" s="1130" t="e">
        <f t="shared" si="12"/>
        <v>#REF!</v>
      </c>
      <c r="X26" s="1285" t="e">
        <f t="shared" ref="X26:X39" si="14">V26+W26</f>
        <v>#REF!</v>
      </c>
      <c r="Y26" s="1283" t="e">
        <f t="shared" si="12"/>
        <v>#REF!</v>
      </c>
      <c r="Z26" s="1285" t="e">
        <f t="shared" ref="Z26:Z39" si="15">U26+X26+Y26</f>
        <v>#REF!</v>
      </c>
    </row>
    <row r="27" spans="1:30" ht="12.75" customHeight="1" x14ac:dyDescent="0.2">
      <c r="A27" s="947"/>
      <c r="B27" s="945" t="s">
        <v>61</v>
      </c>
      <c r="C27" s="919"/>
      <c r="D27" s="1130">
        <f>'5 Capital Markets Canada'!J17</f>
        <v>1305</v>
      </c>
      <c r="E27" s="1130">
        <f>'6 CG - US'!J18</f>
        <v>3048</v>
      </c>
      <c r="F27" s="1130">
        <f>'7 UK &amp; Dubai'!J18</f>
        <v>1420</v>
      </c>
      <c r="G27" s="1186">
        <f>'8 CG - Australia'!J17</f>
        <v>462</v>
      </c>
      <c r="H27" s="1165" t="e">
        <f>#REF!</f>
        <v>#REF!</v>
      </c>
      <c r="I27" s="1165" t="e">
        <f t="shared" ref="I27:I39" si="16">SUM(D27:H27)</f>
        <v>#REF!</v>
      </c>
      <c r="J27" s="1130">
        <f>'10 CWM Canada'!J19</f>
        <v>3423</v>
      </c>
      <c r="K27" s="1130">
        <f>'11 CWM UK and Europe'!J18</f>
        <v>11914</v>
      </c>
      <c r="L27" s="1285">
        <f t="shared" si="11"/>
        <v>15337</v>
      </c>
      <c r="M27" s="1283">
        <f>'12 Other'!J18</f>
        <v>6894</v>
      </c>
      <c r="N27" s="1285" t="e">
        <f t="shared" ref="N27:N39" si="17">M27+L27+I27</f>
        <v>#REF!</v>
      </c>
      <c r="O27" s="1182"/>
      <c r="P27" s="1130">
        <f>'5 Capital Markets Canada'!Q17</f>
        <v>5381</v>
      </c>
      <c r="Q27" s="1130">
        <f>'6 CG - US'!Q18</f>
        <v>11890</v>
      </c>
      <c r="R27" s="1130">
        <f>'7 UK &amp; Dubai'!Q18</f>
        <v>5672</v>
      </c>
      <c r="S27" s="1186">
        <f>'8 CG - Australia'!Q17</f>
        <v>1881</v>
      </c>
      <c r="T27" s="1165" t="e">
        <f>#REF!</f>
        <v>#REF!</v>
      </c>
      <c r="U27" s="1182" t="e">
        <f t="shared" si="13"/>
        <v>#REF!</v>
      </c>
      <c r="V27" s="1130">
        <f>'10 CWM Canada'!Q19</f>
        <v>11315</v>
      </c>
      <c r="W27" s="1130">
        <f>'11 CWM UK and Europe'!Q18</f>
        <v>36214</v>
      </c>
      <c r="X27" s="1285">
        <f t="shared" si="14"/>
        <v>47529</v>
      </c>
      <c r="Y27" s="1283">
        <f>'12 Other'!Q18</f>
        <v>26198</v>
      </c>
      <c r="Z27" s="1285" t="e">
        <f t="shared" si="15"/>
        <v>#REF!</v>
      </c>
    </row>
    <row r="28" spans="1:30" s="930" customFormat="1" x14ac:dyDescent="0.2">
      <c r="A28" s="947"/>
      <c r="B28" s="945" t="s">
        <v>88</v>
      </c>
      <c r="C28" s="919"/>
      <c r="D28" s="1130">
        <f>'5 Capital Markets Canada'!J18</f>
        <v>3365</v>
      </c>
      <c r="E28" s="1130">
        <f>'6 CG - US'!J19</f>
        <v>10461</v>
      </c>
      <c r="F28" s="1130">
        <f>'7 UK &amp; Dubai'!J19</f>
        <v>1606</v>
      </c>
      <c r="G28" s="1186">
        <f>'8 CG - Australia'!J18</f>
        <v>795</v>
      </c>
      <c r="H28" s="1165" t="e">
        <f>#REF!</f>
        <v>#REF!</v>
      </c>
      <c r="I28" s="1165" t="e">
        <f t="shared" si="16"/>
        <v>#REF!</v>
      </c>
      <c r="J28" s="1130">
        <f>'10 CWM Canada'!J20</f>
        <v>3294</v>
      </c>
      <c r="K28" s="1130">
        <f>'11 CWM UK and Europe'!J19</f>
        <v>2147</v>
      </c>
      <c r="L28" s="1285">
        <f t="shared" si="11"/>
        <v>5441</v>
      </c>
      <c r="M28" s="1283">
        <f>'12 Other'!J19</f>
        <v>-1240</v>
      </c>
      <c r="N28" s="1285" t="e">
        <f t="shared" si="17"/>
        <v>#REF!</v>
      </c>
      <c r="O28" s="1182"/>
      <c r="P28" s="1130">
        <f>'5 Capital Markets Canada'!Q18</f>
        <v>10843</v>
      </c>
      <c r="Q28" s="1130">
        <f>'6 CG - US'!Q19</f>
        <v>36082</v>
      </c>
      <c r="R28" s="1130">
        <f>'7 UK &amp; Dubai'!Q19</f>
        <v>5325</v>
      </c>
      <c r="S28" s="1186">
        <f>'8 CG - Australia'!Q18</f>
        <v>2335</v>
      </c>
      <c r="T28" s="1165" t="e">
        <f>#REF!</f>
        <v>#REF!</v>
      </c>
      <c r="U28" s="1182" t="e">
        <f t="shared" si="13"/>
        <v>#REF!</v>
      </c>
      <c r="V28" s="1130">
        <f>'10 CWM Canada'!Q20</f>
        <v>12527</v>
      </c>
      <c r="W28" s="1130">
        <f>'11 CWM UK and Europe'!Q19</f>
        <v>7680</v>
      </c>
      <c r="X28" s="1285">
        <f t="shared" si="14"/>
        <v>20207</v>
      </c>
      <c r="Y28" s="1283">
        <f>'12 Other'!Q19</f>
        <v>-6583</v>
      </c>
      <c r="Z28" s="1285" t="e">
        <f t="shared" si="15"/>
        <v>#REF!</v>
      </c>
      <c r="AB28" s="1104"/>
      <c r="AC28" s="1104"/>
      <c r="AD28" s="1104"/>
    </row>
    <row r="29" spans="1:30" s="930" customFormat="1" x14ac:dyDescent="0.2">
      <c r="A29" s="947"/>
      <c r="B29" s="945" t="s">
        <v>63</v>
      </c>
      <c r="C29" s="1966"/>
      <c r="D29" s="1130">
        <f>'5 Capital Markets Canada'!J19</f>
        <v>1234</v>
      </c>
      <c r="E29" s="1130">
        <f>'6 CG - US'!J20</f>
        <v>2736</v>
      </c>
      <c r="F29" s="1130">
        <f>'7 UK &amp; Dubai'!J20</f>
        <v>1844</v>
      </c>
      <c r="G29" s="1186">
        <f>'8 CG - Australia'!J19</f>
        <v>311</v>
      </c>
      <c r="H29" s="1165" t="e">
        <f>#REF!</f>
        <v>#REF!</v>
      </c>
      <c r="I29" s="1165" t="e">
        <f t="shared" si="16"/>
        <v>#REF!</v>
      </c>
      <c r="J29" s="1130">
        <f>'10 CWM Canada'!J21</f>
        <v>1032</v>
      </c>
      <c r="K29" s="1130">
        <f>'11 CWM UK and Europe'!J20</f>
        <v>2317</v>
      </c>
      <c r="L29" s="1285">
        <f t="shared" si="11"/>
        <v>3349</v>
      </c>
      <c r="M29" s="1283">
        <f>'12 Other'!J20</f>
        <v>589</v>
      </c>
      <c r="N29" s="1285" t="e">
        <f t="shared" si="17"/>
        <v>#REF!</v>
      </c>
      <c r="O29" s="1182"/>
      <c r="P29" s="1130">
        <f>'5 Capital Markets Canada'!Q19</f>
        <v>4516</v>
      </c>
      <c r="Q29" s="1130">
        <f>'6 CG - US'!Q20</f>
        <v>10407</v>
      </c>
      <c r="R29" s="1130">
        <f>'7 UK &amp; Dubai'!Q20</f>
        <v>7714</v>
      </c>
      <c r="S29" s="1186">
        <f>'8 CG - Australia'!Q19</f>
        <v>1225</v>
      </c>
      <c r="T29" s="1165" t="e">
        <f>#REF!</f>
        <v>#REF!</v>
      </c>
      <c r="U29" s="1182" t="e">
        <f t="shared" si="13"/>
        <v>#REF!</v>
      </c>
      <c r="V29" s="1130">
        <f>'10 CWM Canada'!Q21</f>
        <v>4942</v>
      </c>
      <c r="W29" s="1130">
        <f>'11 CWM UK and Europe'!Q20</f>
        <v>7297</v>
      </c>
      <c r="X29" s="1285">
        <f t="shared" si="14"/>
        <v>12239</v>
      </c>
      <c r="Y29" s="1283">
        <f>'12 Other'!Q20</f>
        <v>3148</v>
      </c>
      <c r="Z29" s="1285" t="e">
        <f t="shared" si="15"/>
        <v>#REF!</v>
      </c>
      <c r="AB29" s="1104"/>
      <c r="AC29" s="1104"/>
      <c r="AD29" s="1104"/>
    </row>
    <row r="30" spans="1:30" s="930" customFormat="1" x14ac:dyDescent="0.2">
      <c r="A30" s="947"/>
      <c r="B30" s="1119" t="s">
        <v>64</v>
      </c>
      <c r="C30" s="919"/>
      <c r="D30" s="1130">
        <f>'5 Capital Markets Canada'!J20</f>
        <v>1776</v>
      </c>
      <c r="E30" s="1130">
        <f>'6 CG - US'!J21</f>
        <v>4074</v>
      </c>
      <c r="F30" s="1130">
        <f>'7 UK &amp; Dubai'!J21</f>
        <v>2615</v>
      </c>
      <c r="G30" s="1186">
        <f>'8 CG - Australia'!J20</f>
        <v>323</v>
      </c>
      <c r="H30" s="1165" t="e">
        <f>#REF!</f>
        <v>#REF!</v>
      </c>
      <c r="I30" s="1165" t="e">
        <f t="shared" si="16"/>
        <v>#REF!</v>
      </c>
      <c r="J30" s="1130">
        <f>'10 CWM Canada'!J22</f>
        <v>999</v>
      </c>
      <c r="K30" s="1130">
        <f>'11 CWM UK and Europe'!J21</f>
        <v>3755</v>
      </c>
      <c r="L30" s="1285">
        <f t="shared" si="11"/>
        <v>4754</v>
      </c>
      <c r="M30" s="1283">
        <f>'12 Other'!J21</f>
        <v>1413</v>
      </c>
      <c r="N30" s="1285" t="e">
        <f t="shared" si="17"/>
        <v>#REF!</v>
      </c>
      <c r="O30" s="1182"/>
      <c r="P30" s="1130">
        <f>'5 Capital Markets Canada'!Q20</f>
        <v>7430</v>
      </c>
      <c r="Q30" s="1130">
        <f>'6 CG - US'!Q21</f>
        <v>17050</v>
      </c>
      <c r="R30" s="1130">
        <f>'7 UK &amp; Dubai'!Q21</f>
        <v>10459</v>
      </c>
      <c r="S30" s="1186">
        <f>'8 CG - Australia'!Q20</f>
        <v>1468</v>
      </c>
      <c r="T30" s="1165" t="e">
        <f>#REF!</f>
        <v>#REF!</v>
      </c>
      <c r="U30" s="1182" t="e">
        <f t="shared" si="13"/>
        <v>#REF!</v>
      </c>
      <c r="V30" s="1130">
        <f>'10 CWM Canada'!Q22</f>
        <v>4149</v>
      </c>
      <c r="W30" s="1130">
        <f>'11 CWM UK and Europe'!Q21</f>
        <v>10962</v>
      </c>
      <c r="X30" s="1285">
        <f t="shared" si="14"/>
        <v>15111</v>
      </c>
      <c r="Y30" s="1283">
        <f>'12 Other'!Q21</f>
        <v>4778</v>
      </c>
      <c r="Z30" s="1285" t="e">
        <f t="shared" si="15"/>
        <v>#REF!</v>
      </c>
      <c r="AB30" s="1104"/>
      <c r="AC30" s="1104"/>
      <c r="AD30" s="1104"/>
    </row>
    <row r="31" spans="1:30" s="930" customFormat="1" x14ac:dyDescent="0.2">
      <c r="A31" s="947"/>
      <c r="B31" s="945" t="s">
        <v>59</v>
      </c>
      <c r="C31" s="919"/>
      <c r="D31" s="1130">
        <f>'5 Capital Markets Canada'!J21</f>
        <v>671</v>
      </c>
      <c r="E31" s="1130">
        <f>'6 CG - US'!J22</f>
        <v>1413</v>
      </c>
      <c r="F31" s="1130">
        <f>'7 UK &amp; Dubai'!J22</f>
        <v>509</v>
      </c>
      <c r="G31" s="1186">
        <f>'8 CG - Australia'!J21</f>
        <v>15</v>
      </c>
      <c r="H31" s="1165" t="e">
        <f>#REF!</f>
        <v>#REF!</v>
      </c>
      <c r="I31" s="1165" t="e">
        <f t="shared" si="16"/>
        <v>#REF!</v>
      </c>
      <c r="J31" s="1130">
        <f>'10 CWM Canada'!J23</f>
        <v>578</v>
      </c>
      <c r="K31" s="1130">
        <f>'11 CWM UK and Europe'!J22</f>
        <v>790</v>
      </c>
      <c r="L31" s="1285">
        <f t="shared" si="11"/>
        <v>1368</v>
      </c>
      <c r="M31" s="1283">
        <f>'12 Other'!J22</f>
        <v>2104</v>
      </c>
      <c r="N31" s="1285" t="e">
        <f t="shared" si="17"/>
        <v>#REF!</v>
      </c>
      <c r="O31" s="1182"/>
      <c r="P31" s="1130">
        <f>'5 Capital Markets Canada'!Q21</f>
        <v>2497</v>
      </c>
      <c r="Q31" s="1130">
        <f>'6 CG - US'!Q22</f>
        <v>4742</v>
      </c>
      <c r="R31" s="1130">
        <f>'7 UK &amp; Dubai'!Q22</f>
        <v>2144</v>
      </c>
      <c r="S31" s="1186">
        <f>'8 CG - Australia'!Q21</f>
        <v>44</v>
      </c>
      <c r="T31" s="1165" t="e">
        <f>#REF!</f>
        <v>#REF!</v>
      </c>
      <c r="U31" s="1182" t="e">
        <f t="shared" si="13"/>
        <v>#REF!</v>
      </c>
      <c r="V31" s="1130">
        <f>'10 CWM Canada'!Q23</f>
        <v>1052</v>
      </c>
      <c r="W31" s="1130">
        <f>'11 CWM UK and Europe'!Q22</f>
        <v>1689</v>
      </c>
      <c r="X31" s="1285">
        <f t="shared" si="14"/>
        <v>2741</v>
      </c>
      <c r="Y31" s="1283">
        <f>'12 Other'!Q22</f>
        <v>6225</v>
      </c>
      <c r="Z31" s="1285" t="e">
        <f t="shared" si="15"/>
        <v>#REF!</v>
      </c>
      <c r="AB31" s="1104"/>
      <c r="AC31" s="1104"/>
      <c r="AD31" s="1104"/>
    </row>
    <row r="32" spans="1:30" s="930" customFormat="1" x14ac:dyDescent="0.2">
      <c r="A32" s="947"/>
      <c r="B32" s="945" t="s">
        <v>65</v>
      </c>
      <c r="C32" s="919"/>
      <c r="D32" s="1130">
        <f>'5 Capital Markets Canada'!J22</f>
        <v>6530</v>
      </c>
      <c r="E32" s="1130">
        <f>'6 CG - US'!J23</f>
        <v>4343</v>
      </c>
      <c r="F32" s="1130">
        <f>'7 UK &amp; Dubai'!J23</f>
        <v>2693</v>
      </c>
      <c r="G32" s="1186">
        <f>'8 CG - Australia'!J22</f>
        <v>859</v>
      </c>
      <c r="H32" s="1165" t="e">
        <f>#REF!</f>
        <v>#REF!</v>
      </c>
      <c r="I32" s="1165" t="e">
        <f t="shared" si="16"/>
        <v>#REF!</v>
      </c>
      <c r="J32" s="1130">
        <f>'10 CWM Canada'!J24</f>
        <v>2928</v>
      </c>
      <c r="K32" s="1130">
        <f>'11 CWM UK and Europe'!J23</f>
        <v>5386</v>
      </c>
      <c r="L32" s="1285">
        <f t="shared" si="11"/>
        <v>8314</v>
      </c>
      <c r="M32" s="1283">
        <f>'12 Other'!J23</f>
        <v>1356</v>
      </c>
      <c r="N32" s="1285" t="e">
        <f t="shared" si="17"/>
        <v>#REF!</v>
      </c>
      <c r="O32" s="1182"/>
      <c r="P32" s="1130">
        <f>'5 Capital Markets Canada'!Q22</f>
        <v>16720</v>
      </c>
      <c r="Q32" s="1130">
        <f>'6 CG - US'!Q23</f>
        <v>16968</v>
      </c>
      <c r="R32" s="1130">
        <f>'7 UK &amp; Dubai'!Q23</f>
        <v>11577</v>
      </c>
      <c r="S32" s="1186">
        <f>'8 CG - Australia'!Q22</f>
        <v>3579</v>
      </c>
      <c r="T32" s="1165" t="e">
        <f>#REF!</f>
        <v>#REF!</v>
      </c>
      <c r="U32" s="1182" t="e">
        <f t="shared" si="13"/>
        <v>#REF!</v>
      </c>
      <c r="V32" s="1130">
        <f>'10 CWM Canada'!Q24</f>
        <v>8382</v>
      </c>
      <c r="W32" s="1130">
        <f>'11 CWM UK and Europe'!Q23</f>
        <v>17189</v>
      </c>
      <c r="X32" s="1285">
        <f t="shared" si="14"/>
        <v>25571</v>
      </c>
      <c r="Y32" s="1283">
        <f>'12 Other'!Q23</f>
        <v>9463</v>
      </c>
      <c r="Z32" s="1285" t="e">
        <f t="shared" si="15"/>
        <v>#REF!</v>
      </c>
      <c r="AB32" s="1104"/>
      <c r="AC32" s="1104"/>
      <c r="AD32" s="1104"/>
    </row>
    <row r="33" spans="1:30" s="930" customFormat="1" x14ac:dyDescent="0.2">
      <c r="A33" s="947"/>
      <c r="B33" s="945" t="s">
        <v>66</v>
      </c>
      <c r="C33" s="919"/>
      <c r="D33" s="1130">
        <f>'5 Capital Markets Canada'!J23</f>
        <v>943</v>
      </c>
      <c r="E33" s="1130">
        <f>'6 CG - US'!J24</f>
        <v>460</v>
      </c>
      <c r="F33" s="1130">
        <f>'7 UK &amp; Dubai'!J24</f>
        <v>762</v>
      </c>
      <c r="G33" s="1186">
        <f>'8 CG - Australia'!J23</f>
        <v>125</v>
      </c>
      <c r="H33" s="1165" t="e">
        <f>#REF!</f>
        <v>#REF!</v>
      </c>
      <c r="I33" s="1165" t="e">
        <f t="shared" si="16"/>
        <v>#REF!</v>
      </c>
      <c r="J33" s="1130">
        <f>'10 CWM Canada'!J25</f>
        <v>395</v>
      </c>
      <c r="K33" s="1130">
        <f>'11 CWM UK and Europe'!J24</f>
        <v>3867</v>
      </c>
      <c r="L33" s="1285">
        <f t="shared" si="11"/>
        <v>4262</v>
      </c>
      <c r="M33" s="1283">
        <f>'12 Other'!J24</f>
        <v>391</v>
      </c>
      <c r="N33" s="1285" t="e">
        <f t="shared" si="17"/>
        <v>#REF!</v>
      </c>
      <c r="O33" s="1182"/>
      <c r="P33" s="1130">
        <f>'5 Capital Markets Canada'!Q23</f>
        <v>3664</v>
      </c>
      <c r="Q33" s="1130">
        <f>'6 CG - US'!Q24</f>
        <v>1850</v>
      </c>
      <c r="R33" s="1130">
        <f>'7 UK &amp; Dubai'!Q24</f>
        <v>3383</v>
      </c>
      <c r="S33" s="1186">
        <f>'8 CG - Australia'!Q23</f>
        <v>544</v>
      </c>
      <c r="T33" s="1165" t="e">
        <f>#REF!</f>
        <v>#REF!</v>
      </c>
      <c r="U33" s="1182" t="e">
        <f t="shared" si="13"/>
        <v>#REF!</v>
      </c>
      <c r="V33" s="1130">
        <f>'10 CWM Canada'!Q25</f>
        <v>1595</v>
      </c>
      <c r="W33" s="1130">
        <f>'11 CWM UK and Europe'!Q24</f>
        <v>11557</v>
      </c>
      <c r="X33" s="1285">
        <f t="shared" si="14"/>
        <v>13152</v>
      </c>
      <c r="Y33" s="1283">
        <f>'12 Other'!Q24</f>
        <v>1391</v>
      </c>
      <c r="Z33" s="1285" t="e">
        <f t="shared" si="15"/>
        <v>#REF!</v>
      </c>
      <c r="AB33" s="1104"/>
      <c r="AC33" s="1104"/>
      <c r="AD33" s="1104"/>
    </row>
    <row r="34" spans="1:30" x14ac:dyDescent="0.2">
      <c r="A34" s="945"/>
      <c r="B34" s="945" t="s">
        <v>67</v>
      </c>
      <c r="C34" s="919"/>
      <c r="D34" s="1130">
        <f>'5 Capital Markets Canada'!J24</f>
        <v>109</v>
      </c>
      <c r="E34" s="1130">
        <f>'6 CG - US'!J25</f>
        <v>108</v>
      </c>
      <c r="F34" s="1130">
        <f>'7 UK &amp; Dubai'!J25</f>
        <v>0</v>
      </c>
      <c r="G34" s="1186">
        <f>'8 CG - Australia'!J24</f>
        <v>0</v>
      </c>
      <c r="H34" s="1165" t="e">
        <f>#REF!</f>
        <v>#REF!</v>
      </c>
      <c r="I34" s="1165" t="e">
        <f t="shared" si="16"/>
        <v>#REF!</v>
      </c>
      <c r="J34" s="1130">
        <f>'10 CWM Canada'!J26</f>
        <v>821</v>
      </c>
      <c r="K34" s="1130">
        <f>'11 CWM UK and Europe'!J25</f>
        <v>2097</v>
      </c>
      <c r="L34" s="1285">
        <f t="shared" si="11"/>
        <v>2918</v>
      </c>
      <c r="M34" s="1283">
        <f>'12 Other'!J25</f>
        <v>52</v>
      </c>
      <c r="N34" s="1285" t="e">
        <f>M34+L34+I34</f>
        <v>#REF!</v>
      </c>
      <c r="O34" s="1182"/>
      <c r="P34" s="1130">
        <f>'5 Capital Markets Canada'!Q24</f>
        <v>205</v>
      </c>
      <c r="Q34" s="1130">
        <f>'6 CG - US'!Q25</f>
        <v>466</v>
      </c>
      <c r="R34" s="1130">
        <f>'7 UK &amp; Dubai'!Q25</f>
        <v>19</v>
      </c>
      <c r="S34" s="1186">
        <f>'8 CG - Australia'!Q24</f>
        <v>0</v>
      </c>
      <c r="T34" s="1165" t="e">
        <f>#REF!</f>
        <v>#REF!</v>
      </c>
      <c r="U34" s="1182" t="e">
        <f t="shared" si="13"/>
        <v>#REF!</v>
      </c>
      <c r="V34" s="1130">
        <f>'10 CWM Canada'!Q26</f>
        <v>4148</v>
      </c>
      <c r="W34" s="1130">
        <f>'11 CWM UK and Europe'!Q25</f>
        <v>2625</v>
      </c>
      <c r="X34" s="1285">
        <f t="shared" si="14"/>
        <v>6773</v>
      </c>
      <c r="Y34" s="1283">
        <f>'12 Other'!Q25</f>
        <v>201</v>
      </c>
      <c r="Z34" s="1285" t="e">
        <f t="shared" si="15"/>
        <v>#REF!</v>
      </c>
    </row>
    <row r="35" spans="1:30" x14ac:dyDescent="0.2">
      <c r="A35" s="945"/>
      <c r="B35" s="945" t="s">
        <v>149</v>
      </c>
      <c r="C35" s="919"/>
      <c r="D35" s="1130">
        <f>'5 Capital Markets Canada'!J25</f>
        <v>0</v>
      </c>
      <c r="E35" s="1130">
        <f>'6 CG - US'!J26</f>
        <v>0</v>
      </c>
      <c r="F35" s="1130">
        <f>'7 UK &amp; Dubai'!J26</f>
        <v>0</v>
      </c>
      <c r="G35" s="1186" t="e">
        <f>'8 CG - Australia'!#REF!</f>
        <v>#REF!</v>
      </c>
      <c r="H35" s="1165" t="e">
        <f>#REF!</f>
        <v>#REF!</v>
      </c>
      <c r="I35" s="1165" t="e">
        <f t="shared" si="16"/>
        <v>#REF!</v>
      </c>
      <c r="J35" s="1130">
        <f>'10 CWM Canada'!J27</f>
        <v>0</v>
      </c>
      <c r="K35" s="1130">
        <f>'11 CWM UK and Europe'!J26</f>
        <v>939</v>
      </c>
      <c r="L35" s="1285">
        <f t="shared" si="11"/>
        <v>939</v>
      </c>
      <c r="M35" s="1283">
        <f>'12 Other'!J26</f>
        <v>0</v>
      </c>
      <c r="N35" s="1285" t="e">
        <f t="shared" si="17"/>
        <v>#REF!</v>
      </c>
      <c r="O35" s="1182"/>
      <c r="P35" s="1130">
        <f>'5 Capital Markets Canada'!Q25</f>
        <v>2366</v>
      </c>
      <c r="Q35" s="1130">
        <f>'6 CG - US'!Q26</f>
        <v>1890</v>
      </c>
      <c r="R35" s="1130">
        <f>'7 UK &amp; Dubai'!Q26</f>
        <v>448</v>
      </c>
      <c r="S35" s="1186" t="e">
        <f>'8 CG - Australia'!#REF!</f>
        <v>#REF!</v>
      </c>
      <c r="T35" s="1165" t="e">
        <f>#REF!</f>
        <v>#REF!</v>
      </c>
      <c r="U35" s="1182" t="e">
        <f t="shared" si="13"/>
        <v>#REF!</v>
      </c>
      <c r="V35" s="1130">
        <f>'10 CWM Canada'!Q27</f>
        <v>0</v>
      </c>
      <c r="W35" s="1130">
        <f>'11 CWM UK and Europe'!Q26</f>
        <v>2939</v>
      </c>
      <c r="X35" s="1285">
        <f t="shared" si="14"/>
        <v>2939</v>
      </c>
      <c r="Y35" s="1283">
        <f>'12 Other'!Q26</f>
        <v>0</v>
      </c>
      <c r="Z35" s="1285" t="e">
        <f t="shared" si="15"/>
        <v>#REF!</v>
      </c>
    </row>
    <row r="36" spans="1:30" x14ac:dyDescent="0.2">
      <c r="A36" s="945"/>
      <c r="B36" s="945" t="s">
        <v>169</v>
      </c>
      <c r="C36" s="919"/>
      <c r="D36" s="1130">
        <f>'5 Capital Markets Canada'!J26</f>
        <v>0</v>
      </c>
      <c r="E36" s="1130">
        <f>'6 CG - US'!J28</f>
        <v>17872</v>
      </c>
      <c r="F36" s="1130" t="e">
        <f>'7 UK &amp; Dubai'!#REF!</f>
        <v>#REF!</v>
      </c>
      <c r="G36" s="1186" t="e">
        <f>'8 CG - Australia'!#REF!</f>
        <v>#REF!</v>
      </c>
      <c r="H36" s="1165" t="e">
        <f>#REF!</f>
        <v>#REF!</v>
      </c>
      <c r="I36" s="1165" t="e">
        <f t="shared" si="16"/>
        <v>#REF!</v>
      </c>
      <c r="J36" s="1130">
        <f>'10 CWM Canada'!J28</f>
        <v>668</v>
      </c>
      <c r="K36" s="1130">
        <f>'11 CWM UK and Europe'!J27</f>
        <v>184</v>
      </c>
      <c r="L36" s="1285">
        <f t="shared" si="11"/>
        <v>852</v>
      </c>
      <c r="M36" s="1283">
        <f>'12 Other'!J27</f>
        <v>0</v>
      </c>
      <c r="N36" s="1285" t="e">
        <f t="shared" si="17"/>
        <v>#REF!</v>
      </c>
      <c r="O36" s="1182"/>
      <c r="P36" s="1130">
        <f>'5 Capital Markets Canada'!Q26</f>
        <v>0</v>
      </c>
      <c r="Q36" s="1130">
        <f>'6 CG - US'!Q28</f>
        <v>17872</v>
      </c>
      <c r="R36" s="1130" t="e">
        <f>'7 UK &amp; Dubai'!#REF!</f>
        <v>#REF!</v>
      </c>
      <c r="S36" s="1186" t="e">
        <f>'8 CG - Australia'!#REF!</f>
        <v>#REF!</v>
      </c>
      <c r="T36" s="1165" t="e">
        <f>#REF!</f>
        <v>#REF!</v>
      </c>
      <c r="U36" s="1182" t="e">
        <f t="shared" si="13"/>
        <v>#REF!</v>
      </c>
      <c r="V36" s="1130">
        <f>'10 CWM Canada'!Q28</f>
        <v>668</v>
      </c>
      <c r="W36" s="1130">
        <f>'11 CWM UK and Europe'!Q27</f>
        <v>6732</v>
      </c>
      <c r="X36" s="1285">
        <f t="shared" si="14"/>
        <v>7400</v>
      </c>
      <c r="Y36" s="1283">
        <f>'12 Other'!Q27</f>
        <v>0</v>
      </c>
      <c r="Z36" s="1285" t="e">
        <f t="shared" si="15"/>
        <v>#REF!</v>
      </c>
    </row>
    <row r="37" spans="1:30" ht="13.5" x14ac:dyDescent="0.2">
      <c r="A37" s="945"/>
      <c r="B37" s="945" t="s">
        <v>625</v>
      </c>
      <c r="C37" s="919"/>
      <c r="D37" s="1130">
        <f>'5 Capital Markets Canada'!J27</f>
        <v>11657</v>
      </c>
      <c r="E37" s="1130">
        <f>'6 CG - US'!J29</f>
        <v>0</v>
      </c>
      <c r="F37" s="1130">
        <f>'7 UK &amp; Dubai'!J27</f>
        <v>12870</v>
      </c>
      <c r="G37" s="1186">
        <f>'8 CG - Australia'!J25</f>
        <v>0</v>
      </c>
      <c r="H37" s="1165"/>
      <c r="I37" s="1165">
        <f t="shared" si="16"/>
        <v>24527</v>
      </c>
      <c r="J37" s="1130" t="e">
        <f>'10 CWM Canada'!#REF!</f>
        <v>#REF!</v>
      </c>
      <c r="K37" s="1130">
        <f>'11 CWM UK and Europe'!J28</f>
        <v>3390</v>
      </c>
      <c r="L37" s="1285" t="e">
        <f t="shared" si="11"/>
        <v>#REF!</v>
      </c>
      <c r="M37" s="1283" t="e">
        <f>'12 Other'!#REF!</f>
        <v>#REF!</v>
      </c>
      <c r="N37" s="1285" t="e">
        <f t="shared" si="17"/>
        <v>#REF!</v>
      </c>
      <c r="O37" s="1182"/>
      <c r="P37" s="1130">
        <f>'5 Capital Markets Canada'!Q27</f>
        <v>11657</v>
      </c>
      <c r="Q37" s="1130">
        <f>'6 CG - US'!Q29</f>
        <v>0</v>
      </c>
      <c r="R37" s="1130">
        <f>'7 UK &amp; Dubai'!Q27</f>
        <v>12870</v>
      </c>
      <c r="S37" s="1186">
        <f>'8 CG - Australia'!Q25</f>
        <v>0</v>
      </c>
      <c r="T37" s="1165">
        <v>0</v>
      </c>
      <c r="U37" s="1182">
        <f t="shared" si="13"/>
        <v>24527</v>
      </c>
      <c r="V37" s="1130" t="e">
        <f>'10 CWM Canada'!#REF!</f>
        <v>#REF!</v>
      </c>
      <c r="W37" s="1130">
        <f>'11 CWM UK and Europe'!Q28</f>
        <v>3390</v>
      </c>
      <c r="X37" s="1285" t="e">
        <f t="shared" si="14"/>
        <v>#REF!</v>
      </c>
      <c r="Y37" s="1283" t="e">
        <f>'12 Other'!#REF!</f>
        <v>#REF!</v>
      </c>
      <c r="Z37" s="1285" t="e">
        <f t="shared" si="15"/>
        <v>#REF!</v>
      </c>
    </row>
    <row r="38" spans="1:30" x14ac:dyDescent="0.2">
      <c r="A38" s="945"/>
      <c r="B38" s="1119" t="s">
        <v>580</v>
      </c>
      <c r="C38" s="919"/>
      <c r="D38" s="1130">
        <v>0</v>
      </c>
      <c r="E38" s="1130">
        <v>0</v>
      </c>
      <c r="F38" s="1130">
        <v>0</v>
      </c>
      <c r="G38" s="1186">
        <v>0</v>
      </c>
      <c r="H38" s="1165">
        <v>0</v>
      </c>
      <c r="I38" s="1165">
        <v>0</v>
      </c>
      <c r="J38" s="1186">
        <v>0</v>
      </c>
      <c r="K38" s="1130">
        <v>0</v>
      </c>
      <c r="L38" s="1285">
        <f t="shared" si="11"/>
        <v>0</v>
      </c>
      <c r="M38" s="1283">
        <f>'12 Other'!J28</f>
        <v>1898</v>
      </c>
      <c r="N38" s="1285">
        <f t="shared" si="17"/>
        <v>1898</v>
      </c>
      <c r="O38" s="1182"/>
      <c r="P38" s="1130">
        <v>0</v>
      </c>
      <c r="Q38" s="1130">
        <v>0</v>
      </c>
      <c r="R38" s="1130">
        <v>0</v>
      </c>
      <c r="S38" s="1186">
        <v>0</v>
      </c>
      <c r="T38" s="1165">
        <v>0</v>
      </c>
      <c r="U38" s="1182">
        <f t="shared" si="13"/>
        <v>0</v>
      </c>
      <c r="V38" s="1186">
        <v>0</v>
      </c>
      <c r="W38" s="1130">
        <v>0</v>
      </c>
      <c r="X38" s="1285">
        <f t="shared" si="14"/>
        <v>0</v>
      </c>
      <c r="Y38" s="1283">
        <f>'12 Other'!Q28</f>
        <v>1898</v>
      </c>
      <c r="Z38" s="1285">
        <f t="shared" si="15"/>
        <v>1898</v>
      </c>
    </row>
    <row r="39" spans="1:30" x14ac:dyDescent="0.2">
      <c r="A39" s="945"/>
      <c r="B39" s="945" t="s">
        <v>521</v>
      </c>
      <c r="C39" s="919"/>
      <c r="D39" s="1186">
        <v>0</v>
      </c>
      <c r="E39" s="1186">
        <v>0</v>
      </c>
      <c r="F39" s="1186">
        <v>0</v>
      </c>
      <c r="G39" s="1186">
        <v>0</v>
      </c>
      <c r="H39" s="1165">
        <v>0</v>
      </c>
      <c r="I39" s="1165">
        <f t="shared" si="16"/>
        <v>0</v>
      </c>
      <c r="J39" s="1186">
        <v>0</v>
      </c>
      <c r="K39" s="1186">
        <v>0</v>
      </c>
      <c r="L39" s="1285">
        <f t="shared" si="11"/>
        <v>0</v>
      </c>
      <c r="M39" s="1283">
        <f>'12 Other'!J30</f>
        <v>-4</v>
      </c>
      <c r="N39" s="1285">
        <f t="shared" si="17"/>
        <v>-4</v>
      </c>
      <c r="O39" s="1182"/>
      <c r="P39" s="1186">
        <v>0</v>
      </c>
      <c r="Q39" s="1186">
        <v>0</v>
      </c>
      <c r="R39" s="1130">
        <v>0</v>
      </c>
      <c r="S39" s="1186">
        <v>0</v>
      </c>
      <c r="T39" s="1165">
        <v>0</v>
      </c>
      <c r="U39" s="1182">
        <f t="shared" si="13"/>
        <v>0</v>
      </c>
      <c r="V39" s="1186">
        <v>0</v>
      </c>
      <c r="W39" s="1186">
        <v>0</v>
      </c>
      <c r="X39" s="1285">
        <f t="shared" si="14"/>
        <v>0</v>
      </c>
      <c r="Y39" s="1283">
        <f>'12 Other'!Q30</f>
        <v>298</v>
      </c>
      <c r="Z39" s="1285">
        <f t="shared" si="15"/>
        <v>298</v>
      </c>
    </row>
    <row r="40" spans="1:30" x14ac:dyDescent="0.2">
      <c r="A40" s="947"/>
      <c r="B40" s="945"/>
      <c r="C40" s="919"/>
      <c r="D40" s="1192" t="e">
        <f>SUM(D26:D39)</f>
        <v>#REF!</v>
      </c>
      <c r="E40" s="1192" t="e">
        <f t="shared" ref="E40:K40" si="18">SUM(E26:E39)</f>
        <v>#REF!</v>
      </c>
      <c r="F40" s="1192" t="e">
        <f t="shared" si="18"/>
        <v>#REF!</v>
      </c>
      <c r="G40" s="1192" t="e">
        <f t="shared" si="18"/>
        <v>#REF!</v>
      </c>
      <c r="H40" s="1192" t="e">
        <f t="shared" si="18"/>
        <v>#REF!</v>
      </c>
      <c r="I40" s="1185" t="e">
        <f>SUM(I26:I39)</f>
        <v>#REF!</v>
      </c>
      <c r="J40" s="1192" t="e">
        <f t="shared" si="18"/>
        <v>#REF!</v>
      </c>
      <c r="K40" s="1192" t="e">
        <f t="shared" si="18"/>
        <v>#REF!</v>
      </c>
      <c r="L40" s="1185" t="e">
        <f>SUM(L26:L39)</f>
        <v>#REF!</v>
      </c>
      <c r="M40" s="1192" t="e">
        <f>SUM(M26:M39)</f>
        <v>#REF!</v>
      </c>
      <c r="N40" s="1185" t="e">
        <f>SUM(N26:N39)</f>
        <v>#REF!</v>
      </c>
      <c r="O40" s="1182"/>
      <c r="P40" s="1192" t="e">
        <f t="shared" ref="P40:X40" si="19">SUM(P26:P39)</f>
        <v>#REF!</v>
      </c>
      <c r="Q40" s="1192" t="e">
        <f t="shared" si="19"/>
        <v>#REF!</v>
      </c>
      <c r="R40" s="1192" t="e">
        <f t="shared" si="19"/>
        <v>#REF!</v>
      </c>
      <c r="S40" s="1192" t="e">
        <f t="shared" si="19"/>
        <v>#REF!</v>
      </c>
      <c r="T40" s="1192" t="e">
        <f t="shared" si="19"/>
        <v>#REF!</v>
      </c>
      <c r="U40" s="1185" t="e">
        <f t="shared" si="19"/>
        <v>#REF!</v>
      </c>
      <c r="V40" s="1192" t="e">
        <f t="shared" si="19"/>
        <v>#REF!</v>
      </c>
      <c r="W40" s="1192" t="e">
        <f t="shared" si="19"/>
        <v>#REF!</v>
      </c>
      <c r="X40" s="1185" t="e">
        <f t="shared" si="19"/>
        <v>#REF!</v>
      </c>
      <c r="Y40" s="1192" t="e">
        <f>SUM(Y26:Y39)</f>
        <v>#REF!</v>
      </c>
      <c r="Z40" s="1185" t="e">
        <f>SUM(Z26:Z39)</f>
        <v>#REF!</v>
      </c>
      <c r="AA40" s="1663"/>
    </row>
    <row r="41" spans="1:30" ht="9" customHeight="1" x14ac:dyDescent="0.2">
      <c r="A41" s="947"/>
      <c r="B41" s="945"/>
      <c r="C41" s="907"/>
      <c r="D41" s="1282"/>
      <c r="E41" s="1130"/>
      <c r="F41" s="1130"/>
      <c r="G41" s="1130"/>
      <c r="H41" s="1130"/>
      <c r="I41" s="1285"/>
      <c r="J41" s="1130"/>
      <c r="K41" s="1130"/>
      <c r="L41" s="1285"/>
      <c r="M41" s="1130"/>
      <c r="N41" s="1130"/>
      <c r="O41" s="1186"/>
      <c r="P41" s="1281"/>
      <c r="Q41" s="1130"/>
      <c r="R41" s="1130"/>
      <c r="S41" s="1130"/>
      <c r="T41" s="1130"/>
      <c r="U41" s="1285"/>
      <c r="V41" s="1130"/>
      <c r="W41" s="1130"/>
      <c r="X41" s="1285"/>
      <c r="Y41" s="1130"/>
      <c r="Z41" s="1283"/>
    </row>
    <row r="42" spans="1:30" s="1772" customFormat="1" ht="12.75" customHeight="1" x14ac:dyDescent="0.2">
      <c r="A42" s="2394" t="s">
        <v>168</v>
      </c>
      <c r="B42" s="2393"/>
      <c r="C42" s="907"/>
      <c r="D42" s="1942" t="e">
        <f t="shared" ref="D42:N42" si="20">D22-D40</f>
        <v>#REF!</v>
      </c>
      <c r="E42" s="1950" t="e">
        <f t="shared" si="20"/>
        <v>#REF!</v>
      </c>
      <c r="F42" s="1950" t="e">
        <f t="shared" si="20"/>
        <v>#REF!</v>
      </c>
      <c r="G42" s="1950" t="e">
        <f t="shared" si="20"/>
        <v>#REF!</v>
      </c>
      <c r="H42" s="1950" t="e">
        <f t="shared" si="20"/>
        <v>#REF!</v>
      </c>
      <c r="I42" s="1949" t="e">
        <f t="shared" si="20"/>
        <v>#REF!</v>
      </c>
      <c r="J42" s="1950" t="e">
        <f t="shared" si="20"/>
        <v>#REF!</v>
      </c>
      <c r="K42" s="1950" t="e">
        <f t="shared" si="20"/>
        <v>#REF!</v>
      </c>
      <c r="L42" s="1949" t="e">
        <f t="shared" si="20"/>
        <v>#REF!</v>
      </c>
      <c r="M42" s="1950" t="e">
        <f>M22-M40</f>
        <v>#REF!</v>
      </c>
      <c r="N42" s="1949" t="e">
        <f t="shared" si="20"/>
        <v>#REF!</v>
      </c>
      <c r="O42" s="1479"/>
      <c r="P42" s="1942" t="e">
        <f t="shared" ref="P42:Y42" si="21">P22-P40</f>
        <v>#REF!</v>
      </c>
      <c r="Q42" s="1950" t="e">
        <f t="shared" si="21"/>
        <v>#REF!</v>
      </c>
      <c r="R42" s="1950" t="e">
        <f t="shared" si="21"/>
        <v>#REF!</v>
      </c>
      <c r="S42" s="1950" t="e">
        <f t="shared" si="21"/>
        <v>#REF!</v>
      </c>
      <c r="T42" s="1950" t="e">
        <f t="shared" si="21"/>
        <v>#REF!</v>
      </c>
      <c r="U42" s="1949" t="e">
        <f t="shared" si="21"/>
        <v>#REF!</v>
      </c>
      <c r="V42" s="1950" t="e">
        <f t="shared" si="21"/>
        <v>#REF!</v>
      </c>
      <c r="W42" s="1950" t="e">
        <f t="shared" si="21"/>
        <v>#REF!</v>
      </c>
      <c r="X42" s="1949" t="e">
        <f t="shared" si="21"/>
        <v>#REF!</v>
      </c>
      <c r="Y42" s="1950" t="e">
        <f t="shared" si="21"/>
        <v>#REF!</v>
      </c>
      <c r="Z42" s="1949" t="e">
        <f>Z22-Z40</f>
        <v>#REF!</v>
      </c>
      <c r="AB42" s="1107"/>
      <c r="AC42" s="1104"/>
      <c r="AD42" s="1104"/>
    </row>
    <row r="43" spans="1:30" s="1772" customFormat="1" ht="12.75" customHeight="1" x14ac:dyDescent="0.2">
      <c r="A43" s="2230"/>
      <c r="B43" s="1707" t="s">
        <v>317</v>
      </c>
      <c r="C43" s="907"/>
      <c r="D43" s="1942">
        <f>'5 Capital Markets Canada'!J30</f>
        <v>2582</v>
      </c>
      <c r="E43" s="1950">
        <f>'6 CG - US'!J32</f>
        <v>878</v>
      </c>
      <c r="F43" s="1950">
        <f>'7 UK &amp; Dubai'!J31</f>
        <v>763</v>
      </c>
      <c r="G43" s="1950">
        <f>'8 CG - Australia'!J28</f>
        <v>283</v>
      </c>
      <c r="H43" s="1950" t="e">
        <f>#REF!</f>
        <v>#REF!</v>
      </c>
      <c r="I43" s="1949" t="e">
        <f>SUM(D43:H43)</f>
        <v>#REF!</v>
      </c>
      <c r="J43" s="1950">
        <f>'10 CWM Canada'!J31</f>
        <v>2854</v>
      </c>
      <c r="K43" s="1950">
        <f>'11 CWM UK and Europe'!J31</f>
        <v>376</v>
      </c>
      <c r="L43" s="1949">
        <f>J43+K43</f>
        <v>3230</v>
      </c>
      <c r="M43" s="1950">
        <f>'12 Other'!J33</f>
        <v>-7736</v>
      </c>
      <c r="N43" s="1949" t="e">
        <f>M43+L43+I43</f>
        <v>#REF!</v>
      </c>
      <c r="O43" s="1479"/>
      <c r="P43" s="1942">
        <f>'5 Capital Markets Canada'!Q30</f>
        <v>10159</v>
      </c>
      <c r="Q43" s="1950">
        <f>'6 CG - US'!Q32</f>
        <v>3113</v>
      </c>
      <c r="R43" s="1950">
        <f>'7 UK &amp; Dubai'!Q31</f>
        <v>2969</v>
      </c>
      <c r="S43" s="1950">
        <f>'8 CG - Australia'!Q28</f>
        <v>283</v>
      </c>
      <c r="T43" s="1950" t="e">
        <f>#REF!</f>
        <v>#REF!</v>
      </c>
      <c r="U43" s="1949" t="e">
        <f>SUM(P43:T43)</f>
        <v>#REF!</v>
      </c>
      <c r="V43" s="1950">
        <f>'10 CWM Canada'!Q31</f>
        <v>14200</v>
      </c>
      <c r="W43" s="1950">
        <f>'11 CWM UK and Europe'!Q31</f>
        <v>1329</v>
      </c>
      <c r="X43" s="1949">
        <f>V43+W43</f>
        <v>15529</v>
      </c>
      <c r="Y43" s="1950">
        <f>'12 Other'!Q33</f>
        <v>-32053</v>
      </c>
      <c r="Z43" s="1949" t="e">
        <f>Y43+X43+U43</f>
        <v>#REF!</v>
      </c>
      <c r="AB43" s="1107"/>
      <c r="AC43" s="1104"/>
      <c r="AD43" s="1104"/>
    </row>
    <row r="44" spans="1:30" s="1772" customFormat="1" ht="12.75" customHeight="1" thickBot="1" x14ac:dyDescent="0.25">
      <c r="A44" s="2392" t="s">
        <v>69</v>
      </c>
      <c r="B44" s="2393"/>
      <c r="C44" s="907"/>
      <c r="D44" s="2205" t="e">
        <f>D42-D43</f>
        <v>#REF!</v>
      </c>
      <c r="E44" s="2206" t="e">
        <f t="shared" ref="E44:L44" si="22">E42-E43</f>
        <v>#REF!</v>
      </c>
      <c r="F44" s="2206" t="e">
        <f t="shared" si="22"/>
        <v>#REF!</v>
      </c>
      <c r="G44" s="2206" t="e">
        <f t="shared" si="22"/>
        <v>#REF!</v>
      </c>
      <c r="H44" s="2206" t="e">
        <f t="shared" si="22"/>
        <v>#REF!</v>
      </c>
      <c r="I44" s="2207" t="e">
        <f t="shared" si="22"/>
        <v>#REF!</v>
      </c>
      <c r="J44" s="2206" t="e">
        <f t="shared" si="22"/>
        <v>#REF!</v>
      </c>
      <c r="K44" s="2206" t="e">
        <f t="shared" si="22"/>
        <v>#REF!</v>
      </c>
      <c r="L44" s="2207" t="e">
        <f t="shared" si="22"/>
        <v>#REF!</v>
      </c>
      <c r="M44" s="2206" t="e">
        <f>M42-M43</f>
        <v>#REF!</v>
      </c>
      <c r="N44" s="2207" t="e">
        <f>N42</f>
        <v>#REF!</v>
      </c>
      <c r="O44" s="1479"/>
      <c r="P44" s="2205" t="e">
        <f>P42-P43</f>
        <v>#REF!</v>
      </c>
      <c r="Q44" s="2206" t="e">
        <f t="shared" ref="Q44:Z44" si="23">Q42-Q43</f>
        <v>#REF!</v>
      </c>
      <c r="R44" s="2206" t="e">
        <f t="shared" si="23"/>
        <v>#REF!</v>
      </c>
      <c r="S44" s="2206" t="e">
        <f t="shared" si="23"/>
        <v>#REF!</v>
      </c>
      <c r="T44" s="2206" t="e">
        <f t="shared" si="23"/>
        <v>#REF!</v>
      </c>
      <c r="U44" s="2207" t="e">
        <f t="shared" si="23"/>
        <v>#REF!</v>
      </c>
      <c r="V44" s="2206" t="e">
        <f t="shared" si="23"/>
        <v>#REF!</v>
      </c>
      <c r="W44" s="2206" t="e">
        <f t="shared" si="23"/>
        <v>#REF!</v>
      </c>
      <c r="X44" s="2207" t="e">
        <f t="shared" si="23"/>
        <v>#REF!</v>
      </c>
      <c r="Y44" s="2206" t="e">
        <f t="shared" si="23"/>
        <v>#REF!</v>
      </c>
      <c r="Z44" s="2207" t="e">
        <f t="shared" si="23"/>
        <v>#REF!</v>
      </c>
      <c r="AB44" s="1107" t="e">
        <f>SUM(D44:H44)-('4 Canaccord Genuity '!G50)</f>
        <v>#REF!</v>
      </c>
      <c r="AC44" s="1104" t="e">
        <f>SUM(J44:K44)-'9 Wealth Management'!G34</f>
        <v>#REF!</v>
      </c>
      <c r="AD44" s="1104" t="e">
        <f>M44-'12 Other'!G34</f>
        <v>#REF!</v>
      </c>
    </row>
    <row r="45" spans="1:30" ht="9" customHeight="1" thickTop="1" x14ac:dyDescent="0.2">
      <c r="A45" s="947"/>
      <c r="B45" s="945"/>
      <c r="C45" s="907"/>
      <c r="D45" s="1962"/>
      <c r="E45" s="1962"/>
      <c r="F45" s="1479"/>
      <c r="G45" s="1963"/>
      <c r="H45" s="1963"/>
      <c r="I45" s="1963"/>
      <c r="J45" s="1962"/>
      <c r="K45" s="1962"/>
      <c r="L45" s="1962"/>
      <c r="M45" s="1962"/>
      <c r="N45" s="1962"/>
      <c r="O45" s="1479"/>
      <c r="P45" s="1962"/>
      <c r="Q45" s="1962"/>
      <c r="R45" s="1479"/>
      <c r="S45" s="1963"/>
      <c r="T45" s="1963"/>
      <c r="U45" s="1963"/>
      <c r="V45" s="1962"/>
      <c r="W45" s="1962"/>
      <c r="X45" s="1962"/>
      <c r="Y45" s="1962"/>
      <c r="Z45" s="1962"/>
    </row>
    <row r="46" spans="1:30" ht="12.75" hidden="1" customHeight="1" x14ac:dyDescent="0.2">
      <c r="A46" s="945" t="s">
        <v>276</v>
      </c>
      <c r="B46" s="945"/>
      <c r="C46" s="907"/>
      <c r="D46" s="1046" t="e">
        <f t="shared" ref="D46:N50" si="24">IF(OR(D24/D$22&gt;3,D24/D$22&lt;-3),"n.m.",(D24/D$22))</f>
        <v>#REF!</v>
      </c>
      <c r="E46" s="1046" t="e">
        <f t="shared" si="24"/>
        <v>#REF!</v>
      </c>
      <c r="F46" s="1046" t="e">
        <f t="shared" si="24"/>
        <v>#REF!</v>
      </c>
      <c r="G46" s="1046" t="e">
        <f t="shared" si="24"/>
        <v>#REF!</v>
      </c>
      <c r="H46" s="1595" t="e">
        <f t="shared" si="24"/>
        <v>#REF!</v>
      </c>
      <c r="I46" s="1595"/>
      <c r="J46" s="1046" t="e">
        <f t="shared" si="24"/>
        <v>#REF!</v>
      </c>
      <c r="K46" s="1046" t="e">
        <f t="shared" si="24"/>
        <v>#REF!</v>
      </c>
      <c r="L46" s="1046"/>
      <c r="M46" s="1046" t="e">
        <f t="shared" si="24"/>
        <v>#REF!</v>
      </c>
      <c r="N46" s="1046" t="e">
        <f t="shared" si="24"/>
        <v>#REF!</v>
      </c>
      <c r="O46" s="1567"/>
      <c r="P46" s="1046" t="e">
        <f t="shared" ref="P46:Z48" si="25">IF(OR(P24/P$22&gt;3,P24/P$22&lt;-3),"n.m.",(P24/P$22))</f>
        <v>#REF!</v>
      </c>
      <c r="Q46" s="1046" t="e">
        <f t="shared" si="25"/>
        <v>#REF!</v>
      </c>
      <c r="R46" s="1046" t="e">
        <f t="shared" si="25"/>
        <v>#REF!</v>
      </c>
      <c r="S46" s="1046" t="e">
        <f t="shared" si="25"/>
        <v>#REF!</v>
      </c>
      <c r="T46" s="1046" t="e">
        <f t="shared" si="25"/>
        <v>#REF!</v>
      </c>
      <c r="U46" s="1046"/>
      <c r="V46" s="1046" t="e">
        <f t="shared" si="25"/>
        <v>#REF!</v>
      </c>
      <c r="W46" s="1046" t="e">
        <f t="shared" si="25"/>
        <v>#REF!</v>
      </c>
      <c r="X46" s="1046"/>
      <c r="Y46" s="1046" t="e">
        <f t="shared" si="25"/>
        <v>#REF!</v>
      </c>
      <c r="Z46" s="1046" t="e">
        <f t="shared" si="25"/>
        <v>#REF!</v>
      </c>
    </row>
    <row r="47" spans="1:30" ht="12.75" hidden="1" customHeight="1" x14ac:dyDescent="0.2">
      <c r="A47" s="945" t="s">
        <v>277</v>
      </c>
      <c r="B47" s="945"/>
      <c r="C47" s="907"/>
      <c r="D47" s="1046" t="e">
        <f t="shared" si="24"/>
        <v>#REF!</v>
      </c>
      <c r="E47" s="1046" t="e">
        <f t="shared" si="24"/>
        <v>#REF!</v>
      </c>
      <c r="F47" s="1046" t="e">
        <f t="shared" si="24"/>
        <v>#REF!</v>
      </c>
      <c r="G47" s="1046" t="e">
        <f t="shared" si="24"/>
        <v>#REF!</v>
      </c>
      <c r="H47" s="1595" t="e">
        <f t="shared" si="24"/>
        <v>#REF!</v>
      </c>
      <c r="I47" s="1595"/>
      <c r="J47" s="1046" t="e">
        <f t="shared" si="24"/>
        <v>#REF!</v>
      </c>
      <c r="K47" s="1046" t="e">
        <f t="shared" si="24"/>
        <v>#REF!</v>
      </c>
      <c r="L47" s="1046"/>
      <c r="M47" s="1046" t="e">
        <f t="shared" si="24"/>
        <v>#REF!</v>
      </c>
      <c r="N47" s="1046" t="e">
        <f t="shared" si="24"/>
        <v>#REF!</v>
      </c>
      <c r="O47" s="1567"/>
      <c r="P47" s="1046" t="e">
        <f t="shared" si="25"/>
        <v>#REF!</v>
      </c>
      <c r="Q47" s="1046" t="e">
        <f t="shared" si="25"/>
        <v>#REF!</v>
      </c>
      <c r="R47" s="1046" t="e">
        <f t="shared" si="25"/>
        <v>#REF!</v>
      </c>
      <c r="S47" s="1046" t="e">
        <f t="shared" si="25"/>
        <v>#REF!</v>
      </c>
      <c r="T47" s="1046" t="e">
        <f t="shared" si="25"/>
        <v>#REF!</v>
      </c>
      <c r="U47" s="1046"/>
      <c r="V47" s="1046" t="e">
        <f t="shared" si="25"/>
        <v>#REF!</v>
      </c>
      <c r="W47" s="1046" t="e">
        <f t="shared" si="25"/>
        <v>#REF!</v>
      </c>
      <c r="X47" s="1046"/>
      <c r="Y47" s="1046" t="e">
        <f t="shared" si="25"/>
        <v>#REF!</v>
      </c>
      <c r="Z47" s="1046" t="e">
        <f t="shared" si="25"/>
        <v>#REF!</v>
      </c>
    </row>
    <row r="48" spans="1:30" ht="12.75" customHeight="1" x14ac:dyDescent="0.2">
      <c r="A48" s="1198" t="s">
        <v>71</v>
      </c>
      <c r="B48" s="957"/>
      <c r="C48" s="907"/>
      <c r="D48" s="1046" t="e">
        <f t="shared" si="24"/>
        <v>#REF!</v>
      </c>
      <c r="E48" s="1046" t="e">
        <f t="shared" si="24"/>
        <v>#REF!</v>
      </c>
      <c r="F48" s="1046" t="e">
        <f t="shared" si="24"/>
        <v>#REF!</v>
      </c>
      <c r="G48" s="1046" t="e">
        <f t="shared" si="24"/>
        <v>#REF!</v>
      </c>
      <c r="H48" s="1595" t="e">
        <f t="shared" si="24"/>
        <v>#REF!</v>
      </c>
      <c r="I48" s="1046" t="e">
        <f t="shared" si="24"/>
        <v>#REF!</v>
      </c>
      <c r="J48" s="1046" t="e">
        <f t="shared" si="24"/>
        <v>#REF!</v>
      </c>
      <c r="K48" s="1046" t="e">
        <f t="shared" si="24"/>
        <v>#REF!</v>
      </c>
      <c r="L48" s="1046" t="e">
        <f t="shared" si="24"/>
        <v>#REF!</v>
      </c>
      <c r="M48" s="1046" t="e">
        <f>IF(OR(M26/M$22&gt;3,M26/M$22&lt;-3),"n.m.",(M26/M$22))</f>
        <v>#REF!</v>
      </c>
      <c r="N48" s="1046" t="e">
        <f t="shared" si="24"/>
        <v>#REF!</v>
      </c>
      <c r="O48" s="1567"/>
      <c r="P48" s="1046" t="e">
        <f t="shared" si="25"/>
        <v>#REF!</v>
      </c>
      <c r="Q48" s="1046" t="e">
        <f t="shared" si="25"/>
        <v>#REF!</v>
      </c>
      <c r="R48" s="1046" t="e">
        <f t="shared" si="25"/>
        <v>#REF!</v>
      </c>
      <c r="S48" s="1046" t="e">
        <f t="shared" si="25"/>
        <v>#REF!</v>
      </c>
      <c r="T48" s="1045" t="e">
        <f t="shared" si="25"/>
        <v>#REF!</v>
      </c>
      <c r="U48" s="1046" t="e">
        <f t="shared" si="25"/>
        <v>#REF!</v>
      </c>
      <c r="V48" s="1045" t="e">
        <f t="shared" si="25"/>
        <v>#REF!</v>
      </c>
      <c r="W48" s="1045" t="e">
        <f t="shared" si="25"/>
        <v>#REF!</v>
      </c>
      <c r="X48" s="1046" t="e">
        <f t="shared" si="25"/>
        <v>#REF!</v>
      </c>
      <c r="Y48" s="1045" t="e">
        <f t="shared" si="25"/>
        <v>#REF!</v>
      </c>
      <c r="Z48" s="1046" t="e">
        <f t="shared" si="25"/>
        <v>#REF!</v>
      </c>
    </row>
    <row r="49" spans="1:28" ht="12.75" customHeight="1" x14ac:dyDescent="0.2">
      <c r="A49" s="1198" t="s">
        <v>627</v>
      </c>
      <c r="B49" s="957"/>
      <c r="C49" s="907"/>
      <c r="D49" s="1046" t="e">
        <f t="shared" ref="D49:N49" si="26">IF(OR(((D26+D27)/D22)&gt;3,((D26+D27)/D22)&lt;-3),"n.m.",((D26+D27)/D22))</f>
        <v>#REF!</v>
      </c>
      <c r="E49" s="1046" t="e">
        <f t="shared" si="26"/>
        <v>#REF!</v>
      </c>
      <c r="F49" s="1046" t="e">
        <f t="shared" si="26"/>
        <v>#REF!</v>
      </c>
      <c r="G49" s="1046" t="e">
        <f t="shared" si="26"/>
        <v>#REF!</v>
      </c>
      <c r="H49" s="1595" t="e">
        <f t="shared" si="26"/>
        <v>#REF!</v>
      </c>
      <c r="I49" s="1046" t="e">
        <f t="shared" si="26"/>
        <v>#REF!</v>
      </c>
      <c r="J49" s="1046" t="e">
        <f t="shared" si="26"/>
        <v>#REF!</v>
      </c>
      <c r="K49" s="1046" t="e">
        <f t="shared" si="26"/>
        <v>#REF!</v>
      </c>
      <c r="L49" s="1046" t="e">
        <f t="shared" si="26"/>
        <v>#REF!</v>
      </c>
      <c r="M49" s="1046" t="e">
        <f t="shared" si="26"/>
        <v>#REF!</v>
      </c>
      <c r="N49" s="1046" t="e">
        <f t="shared" si="26"/>
        <v>#REF!</v>
      </c>
      <c r="O49" s="1567"/>
      <c r="P49" s="1046" t="e">
        <f t="shared" ref="P49:Z49" si="27">IF(OR(((P26+P27)/P22)&gt;3,((P26+P27)/P22)&lt;-3),"n.m.",((P26+P27)/P22))</f>
        <v>#REF!</v>
      </c>
      <c r="Q49" s="1046" t="e">
        <f t="shared" si="27"/>
        <v>#REF!</v>
      </c>
      <c r="R49" s="1046" t="e">
        <f t="shared" si="27"/>
        <v>#REF!</v>
      </c>
      <c r="S49" s="1046" t="e">
        <f t="shared" si="27"/>
        <v>#REF!</v>
      </c>
      <c r="T49" s="1045" t="e">
        <f t="shared" si="27"/>
        <v>#REF!</v>
      </c>
      <c r="U49" s="1046" t="e">
        <f t="shared" si="27"/>
        <v>#REF!</v>
      </c>
      <c r="V49" s="1045" t="e">
        <f t="shared" si="27"/>
        <v>#REF!</v>
      </c>
      <c r="W49" s="1045" t="e">
        <f t="shared" si="27"/>
        <v>#REF!</v>
      </c>
      <c r="X49" s="1046" t="e">
        <f t="shared" si="27"/>
        <v>#REF!</v>
      </c>
      <c r="Y49" s="1045" t="e">
        <f t="shared" si="27"/>
        <v>#REF!</v>
      </c>
      <c r="Z49" s="1046" t="e">
        <f t="shared" si="27"/>
        <v>#REF!</v>
      </c>
    </row>
    <row r="50" spans="1:28" ht="12.75" customHeight="1" x14ac:dyDescent="0.2">
      <c r="A50" s="1198" t="s">
        <v>72</v>
      </c>
      <c r="B50" s="957"/>
      <c r="C50" s="907"/>
      <c r="D50" s="1045" t="e">
        <f t="shared" ref="D50:L50" si="28">IF((D40-D26-D27)/D22&gt;3,"n.m.",(D40-D26-D27)/D22)</f>
        <v>#REF!</v>
      </c>
      <c r="E50" s="1045" t="e">
        <f t="shared" si="28"/>
        <v>#REF!</v>
      </c>
      <c r="F50" s="1045" t="e">
        <f t="shared" si="28"/>
        <v>#REF!</v>
      </c>
      <c r="G50" s="1045" t="e">
        <f t="shared" si="28"/>
        <v>#REF!</v>
      </c>
      <c r="H50" s="1595" t="e">
        <f t="shared" si="24"/>
        <v>#REF!</v>
      </c>
      <c r="I50" s="1045" t="e">
        <f t="shared" si="28"/>
        <v>#REF!</v>
      </c>
      <c r="J50" s="1045" t="e">
        <f t="shared" si="28"/>
        <v>#REF!</v>
      </c>
      <c r="K50" s="1045" t="e">
        <f t="shared" si="28"/>
        <v>#REF!</v>
      </c>
      <c r="L50" s="1045" t="e">
        <f t="shared" si="28"/>
        <v>#REF!</v>
      </c>
      <c r="M50" s="1045" t="e">
        <f>IF((M40-M26-M27)/M22&gt;3,"n.m.",(M40-M26-M27)/M22)</f>
        <v>#REF!</v>
      </c>
      <c r="N50" s="1045" t="e">
        <f>IF((N40-N26-N27)/N22&gt;3,"n.m.",(N40-N26-N27)/N22)</f>
        <v>#REF!</v>
      </c>
      <c r="O50" s="1567"/>
      <c r="P50" s="1046" t="e">
        <f t="shared" ref="P50:Z50" si="29">IF((P40-P26-P27)/P22&gt;3,"n.m.",(P40-P26-P27)/P22)</f>
        <v>#REF!</v>
      </c>
      <c r="Q50" s="1046" t="e">
        <f t="shared" si="29"/>
        <v>#REF!</v>
      </c>
      <c r="R50" s="1046" t="e">
        <f t="shared" si="29"/>
        <v>#REF!</v>
      </c>
      <c r="S50" s="1046" t="e">
        <f t="shared" si="29"/>
        <v>#REF!</v>
      </c>
      <c r="T50" s="1045" t="s">
        <v>38</v>
      </c>
      <c r="U50" s="1046" t="e">
        <f t="shared" si="29"/>
        <v>#REF!</v>
      </c>
      <c r="V50" s="1045" t="e">
        <f t="shared" si="29"/>
        <v>#REF!</v>
      </c>
      <c r="W50" s="1045" t="e">
        <f t="shared" si="29"/>
        <v>#REF!</v>
      </c>
      <c r="X50" s="1046" t="e">
        <f t="shared" si="29"/>
        <v>#REF!</v>
      </c>
      <c r="Y50" s="1045" t="e">
        <f t="shared" si="29"/>
        <v>#REF!</v>
      </c>
      <c r="Z50" s="1046" t="e">
        <f t="shared" si="29"/>
        <v>#REF!</v>
      </c>
    </row>
    <row r="51" spans="1:28" ht="12.75" customHeight="1" x14ac:dyDescent="0.2">
      <c r="A51" s="1198" t="s">
        <v>73</v>
      </c>
      <c r="B51" s="957"/>
      <c r="C51" s="907"/>
      <c r="D51" s="1046" t="e">
        <f t="shared" ref="D51:N51" si="30">IF(OR(D40/D$22&gt;3,D40/D$22&lt;-3),"n.m.",(D40/D$22))</f>
        <v>#REF!</v>
      </c>
      <c r="E51" s="1046" t="e">
        <f t="shared" si="30"/>
        <v>#REF!</v>
      </c>
      <c r="F51" s="1046" t="e">
        <f t="shared" si="30"/>
        <v>#REF!</v>
      </c>
      <c r="G51" s="1046" t="e">
        <f t="shared" si="30"/>
        <v>#REF!</v>
      </c>
      <c r="H51" s="1045" t="e">
        <f t="shared" si="30"/>
        <v>#REF!</v>
      </c>
      <c r="I51" s="1046" t="e">
        <f t="shared" si="30"/>
        <v>#REF!</v>
      </c>
      <c r="J51" s="1046" t="e">
        <f t="shared" si="30"/>
        <v>#REF!</v>
      </c>
      <c r="K51" s="1046" t="e">
        <f t="shared" si="30"/>
        <v>#REF!</v>
      </c>
      <c r="L51" s="1046" t="e">
        <f t="shared" si="30"/>
        <v>#REF!</v>
      </c>
      <c r="M51" s="1045" t="e">
        <f t="shared" si="30"/>
        <v>#REF!</v>
      </c>
      <c r="N51" s="1046" t="e">
        <f t="shared" si="30"/>
        <v>#REF!</v>
      </c>
      <c r="O51" s="1932"/>
      <c r="P51" s="1046" t="e">
        <f t="shared" ref="P51:Z51" si="31">IF(OR(P40/P$22&gt;3,P40/P$22&lt;-3),"n.m.",(P40/P$22))</f>
        <v>#REF!</v>
      </c>
      <c r="Q51" s="1046" t="e">
        <f t="shared" si="31"/>
        <v>#REF!</v>
      </c>
      <c r="R51" s="1046" t="e">
        <f t="shared" si="31"/>
        <v>#REF!</v>
      </c>
      <c r="S51" s="1046" t="e">
        <f t="shared" si="31"/>
        <v>#REF!</v>
      </c>
      <c r="T51" s="1045" t="e">
        <f t="shared" si="31"/>
        <v>#REF!</v>
      </c>
      <c r="U51" s="1046" t="e">
        <f t="shared" si="31"/>
        <v>#REF!</v>
      </c>
      <c r="V51" s="1045" t="e">
        <f t="shared" si="31"/>
        <v>#REF!</v>
      </c>
      <c r="W51" s="1045" t="e">
        <f t="shared" si="31"/>
        <v>#REF!</v>
      </c>
      <c r="X51" s="1046" t="e">
        <f t="shared" si="31"/>
        <v>#REF!</v>
      </c>
      <c r="Y51" s="1045" t="e">
        <f t="shared" si="31"/>
        <v>#REF!</v>
      </c>
      <c r="Z51" s="1046" t="e">
        <f t="shared" si="31"/>
        <v>#REF!</v>
      </c>
    </row>
    <row r="52" spans="1:28" ht="12.75" customHeight="1" x14ac:dyDescent="0.2">
      <c r="A52" s="1198" t="s">
        <v>74</v>
      </c>
      <c r="B52" s="957"/>
      <c r="C52" s="907"/>
      <c r="D52" s="1573" t="e">
        <f>IF(OR(D44/D$22&gt;3,D44/D$22&lt;-3),"n.m.",(D44/D$22))</f>
        <v>#REF!</v>
      </c>
      <c r="E52" s="1573" t="e">
        <f>IF(OR(E44/E$22&gt;3,E44/E$22&lt;-3),"n.m.",(E44/E$22))</f>
        <v>#REF!</v>
      </c>
      <c r="F52" s="1573" t="e">
        <f>IF(OR(F44/F$22&gt;3,F44/F$22&lt;-3),"n.m.",(F44/F$22))</f>
        <v>#REF!</v>
      </c>
      <c r="G52" s="1573" t="e">
        <f>IF(OR(G44/G$22&gt;3,G44/G$22&lt;-3),"n.m.",(G44/G$22))</f>
        <v>#REF!</v>
      </c>
      <c r="H52" s="1595" t="e">
        <f t="shared" ref="H52:Z52" si="32">IF(OR(H44/H$22&gt;3,H44/H$22&lt;-3),"n.m.",(H44/H$22))</f>
        <v>#REF!</v>
      </c>
      <c r="I52" s="1573" t="e">
        <f>IF(OR(I44/I$22&gt;3,I44/I$22&lt;-3),"n.m.",(I44/I$22))</f>
        <v>#REF!</v>
      </c>
      <c r="J52" s="1573" t="e">
        <f t="shared" ref="J52:N52" si="33">IF(OR(J44/J$22&gt;3,J44/J$22&lt;-3),"n.m.",(J44/J$22))</f>
        <v>#REF!</v>
      </c>
      <c r="K52" s="1573" t="e">
        <f t="shared" si="33"/>
        <v>#REF!</v>
      </c>
      <c r="L52" s="1573" t="e">
        <f t="shared" si="33"/>
        <v>#REF!</v>
      </c>
      <c r="M52" s="1595" t="e">
        <f t="shared" si="33"/>
        <v>#REF!</v>
      </c>
      <c r="N52" s="1573" t="e">
        <f t="shared" si="33"/>
        <v>#REF!</v>
      </c>
      <c r="O52" s="1932"/>
      <c r="P52" s="1573" t="e">
        <f t="shared" si="32"/>
        <v>#REF!</v>
      </c>
      <c r="Q52" s="1573" t="e">
        <f t="shared" si="32"/>
        <v>#REF!</v>
      </c>
      <c r="R52" s="1573" t="e">
        <f t="shared" si="32"/>
        <v>#REF!</v>
      </c>
      <c r="S52" s="1573" t="e">
        <f t="shared" si="32"/>
        <v>#REF!</v>
      </c>
      <c r="T52" s="1595" t="e">
        <f t="shared" si="32"/>
        <v>#REF!</v>
      </c>
      <c r="U52" s="1573" t="e">
        <f t="shared" si="32"/>
        <v>#REF!</v>
      </c>
      <c r="V52" s="1595" t="e">
        <f t="shared" si="32"/>
        <v>#REF!</v>
      </c>
      <c r="W52" s="1595" t="e">
        <f t="shared" si="32"/>
        <v>#REF!</v>
      </c>
      <c r="X52" s="1573" t="e">
        <f t="shared" si="32"/>
        <v>#REF!</v>
      </c>
      <c r="Y52" s="1595" t="e">
        <f t="shared" si="32"/>
        <v>#REF!</v>
      </c>
      <c r="Z52" s="1573" t="e">
        <f t="shared" si="32"/>
        <v>#REF!</v>
      </c>
    </row>
    <row r="53" spans="1:28" ht="12.75" customHeight="1" x14ac:dyDescent="0.2">
      <c r="A53" s="1198"/>
      <c r="B53" s="957"/>
      <c r="C53" s="907"/>
      <c r="D53" s="1573"/>
      <c r="E53" s="1573"/>
      <c r="F53" s="1573"/>
      <c r="G53" s="1573"/>
      <c r="H53" s="1595"/>
      <c r="I53" s="1573"/>
      <c r="J53" s="1573"/>
      <c r="K53" s="1573"/>
      <c r="L53" s="1573"/>
      <c r="M53" s="1595"/>
      <c r="N53" s="1573"/>
      <c r="O53" s="1932"/>
      <c r="P53" s="1573"/>
      <c r="Q53" s="1573"/>
      <c r="R53" s="1573"/>
      <c r="S53" s="1573"/>
      <c r="T53" s="1595"/>
      <c r="U53" s="1573"/>
      <c r="V53" s="1595"/>
      <c r="W53" s="1595"/>
      <c r="X53" s="1573"/>
      <c r="Y53" s="1595"/>
      <c r="Z53" s="1573"/>
    </row>
    <row r="54" spans="1:28" ht="12.75" customHeight="1" x14ac:dyDescent="0.2">
      <c r="A54" s="945"/>
      <c r="B54" s="945"/>
      <c r="C54" s="907"/>
      <c r="D54" s="951"/>
      <c r="E54" s="951"/>
      <c r="F54" s="951"/>
      <c r="G54" s="945"/>
      <c r="H54" s="945"/>
      <c r="I54" s="945"/>
      <c r="J54" s="951"/>
      <c r="K54" s="951"/>
      <c r="L54" s="951"/>
      <c r="M54" s="951"/>
      <c r="N54" s="951"/>
      <c r="O54" s="945"/>
      <c r="P54" s="951"/>
      <c r="Q54" s="951"/>
      <c r="R54" s="951"/>
      <c r="S54" s="945"/>
      <c r="T54" s="945"/>
      <c r="U54" s="945"/>
      <c r="V54" s="951"/>
      <c r="W54" s="951"/>
      <c r="X54" s="951"/>
      <c r="Y54" s="951"/>
      <c r="Z54" s="951"/>
      <c r="AA54" s="930"/>
      <c r="AB54" s="930"/>
    </row>
    <row r="55" spans="1:28" s="930" customFormat="1" ht="18" customHeight="1" x14ac:dyDescent="0.2">
      <c r="A55" s="963" t="s">
        <v>630</v>
      </c>
      <c r="B55" s="945"/>
      <c r="C55" s="899"/>
      <c r="D55" s="945"/>
      <c r="E55" s="945"/>
      <c r="F55" s="945"/>
      <c r="G55" s="945"/>
      <c r="H55" s="945"/>
      <c r="I55" s="945"/>
      <c r="J55" s="945"/>
      <c r="K55" s="945"/>
      <c r="L55" s="945"/>
      <c r="M55" s="1046"/>
      <c r="N55" s="945"/>
      <c r="O55" s="945"/>
      <c r="P55" s="945"/>
      <c r="Q55" s="945"/>
      <c r="R55" s="945"/>
      <c r="S55" s="945"/>
      <c r="T55" s="945"/>
      <c r="U55" s="945"/>
      <c r="V55" s="945"/>
      <c r="W55" s="945"/>
      <c r="X55" s="945"/>
      <c r="Y55" s="945"/>
      <c r="Z55" s="945"/>
    </row>
    <row r="56" spans="1:28" s="930" customFormat="1" ht="18" customHeight="1" x14ac:dyDescent="0.2">
      <c r="A56" s="963"/>
      <c r="B56" s="945"/>
      <c r="C56" s="899"/>
      <c r="D56" s="945"/>
      <c r="E56" s="945"/>
      <c r="F56" s="945"/>
      <c r="G56" s="945"/>
      <c r="H56" s="945"/>
      <c r="I56" s="945"/>
      <c r="J56" s="945"/>
      <c r="K56" s="945"/>
      <c r="L56" s="945"/>
      <c r="M56" s="1046"/>
      <c r="N56" s="945"/>
      <c r="O56" s="945"/>
      <c r="P56" s="945"/>
      <c r="Q56" s="945"/>
      <c r="R56" s="945"/>
      <c r="S56" s="945"/>
      <c r="T56" s="945"/>
      <c r="U56" s="945"/>
      <c r="V56" s="945"/>
      <c r="W56" s="945"/>
      <c r="X56" s="945"/>
      <c r="Y56" s="945"/>
      <c r="Z56" s="945"/>
    </row>
    <row r="57" spans="1:28" s="930" customFormat="1" ht="12.75" customHeight="1" x14ac:dyDescent="0.2">
      <c r="A57" s="959"/>
      <c r="B57" s="945"/>
      <c r="C57" s="899"/>
      <c r="D57" s="1201"/>
      <c r="E57" s="1201"/>
      <c r="F57" s="1201"/>
      <c r="G57" s="945"/>
      <c r="H57" s="945"/>
      <c r="I57" s="945"/>
      <c r="J57" s="1201"/>
      <c r="K57" s="1201"/>
      <c r="L57" s="1201"/>
      <c r="M57" s="1201"/>
      <c r="N57" s="1201"/>
      <c r="O57" s="945"/>
      <c r="P57" s="1201"/>
      <c r="Q57" s="1201"/>
      <c r="R57" s="1201"/>
      <c r="S57" s="945"/>
      <c r="T57" s="945"/>
      <c r="U57" s="945"/>
      <c r="V57" s="1201"/>
      <c r="W57" s="1201"/>
      <c r="X57" s="1201"/>
      <c r="Y57" s="1201"/>
      <c r="Z57" s="1201"/>
    </row>
    <row r="58" spans="1:28" s="930" customFormat="1" ht="27.75" customHeight="1" x14ac:dyDescent="0.2">
      <c r="A58" s="944"/>
      <c r="B58" s="945"/>
      <c r="C58" s="1965"/>
      <c r="D58" s="2387" t="s">
        <v>170</v>
      </c>
      <c r="E58" s="2388"/>
      <c r="F58" s="2388"/>
      <c r="G58" s="2388"/>
      <c r="H58" s="2388"/>
      <c r="I58" s="2389"/>
      <c r="J58" s="2384" t="s">
        <v>541</v>
      </c>
      <c r="K58" s="2385"/>
      <c r="L58" s="2386"/>
      <c r="M58" s="1974" t="s">
        <v>545</v>
      </c>
      <c r="N58" s="2390" t="s">
        <v>55</v>
      </c>
      <c r="O58" s="1016"/>
      <c r="P58" s="2387" t="s">
        <v>170</v>
      </c>
      <c r="Q58" s="2388"/>
      <c r="R58" s="2388"/>
      <c r="S58" s="2388"/>
      <c r="T58" s="2389"/>
      <c r="U58" s="2270"/>
      <c r="V58" s="2384" t="s">
        <v>541</v>
      </c>
      <c r="W58" s="2385"/>
      <c r="X58" s="2386"/>
      <c r="Y58" s="1974" t="s">
        <v>545</v>
      </c>
      <c r="Z58" s="2390" t="s">
        <v>55</v>
      </c>
    </row>
    <row r="59" spans="1:28" ht="39" customHeight="1" x14ac:dyDescent="0.2">
      <c r="A59" s="944" t="s">
        <v>2</v>
      </c>
      <c r="B59" s="945"/>
      <c r="C59" s="1967"/>
      <c r="D59" s="983" t="s">
        <v>81</v>
      </c>
      <c r="E59" s="983" t="s">
        <v>90</v>
      </c>
      <c r="F59" s="2237" t="s">
        <v>538</v>
      </c>
      <c r="G59" s="983" t="s">
        <v>265</v>
      </c>
      <c r="H59" s="2238" t="s">
        <v>458</v>
      </c>
      <c r="I59" s="1978" t="s">
        <v>55</v>
      </c>
      <c r="J59" s="2266" t="s">
        <v>81</v>
      </c>
      <c r="K59" s="2237" t="s">
        <v>539</v>
      </c>
      <c r="L59" s="988" t="s">
        <v>55</v>
      </c>
      <c r="M59" s="1566" t="s">
        <v>81</v>
      </c>
      <c r="N59" s="2391"/>
      <c r="O59" s="989"/>
      <c r="P59" s="983" t="s">
        <v>81</v>
      </c>
      <c r="Q59" s="983" t="s">
        <v>90</v>
      </c>
      <c r="R59" s="2239" t="s">
        <v>538</v>
      </c>
      <c r="S59" s="983" t="s">
        <v>265</v>
      </c>
      <c r="T59" s="2238" t="s">
        <v>458</v>
      </c>
      <c r="U59" s="1979" t="s">
        <v>55</v>
      </c>
      <c r="V59" s="983" t="s">
        <v>81</v>
      </c>
      <c r="W59" s="2237" t="s">
        <v>539</v>
      </c>
      <c r="X59" s="1979" t="s">
        <v>55</v>
      </c>
      <c r="Y59" s="989" t="s">
        <v>81</v>
      </c>
      <c r="Z59" s="2391"/>
      <c r="AA59" s="930"/>
      <c r="AB59" s="930"/>
    </row>
    <row r="60" spans="1:28" ht="12.75" customHeight="1" x14ac:dyDescent="0.2">
      <c r="A60" s="1970"/>
      <c r="B60" s="945" t="s">
        <v>4</v>
      </c>
      <c r="C60" s="1947"/>
      <c r="D60" s="2160">
        <f>'5 Capital Markets Canada'!J46</f>
        <v>77614</v>
      </c>
      <c r="E60" s="1308">
        <f>'6 CG - US'!J49</f>
        <v>68158</v>
      </c>
      <c r="F60" s="1308">
        <f>'7 UK &amp; Dubai'!J47</f>
        <v>34796</v>
      </c>
      <c r="G60" s="1308">
        <f>'8 CG - Australia'!J46</f>
        <v>20102</v>
      </c>
      <c r="H60" s="1545" t="e">
        <f>#REF!</f>
        <v>#REF!</v>
      </c>
      <c r="I60" s="1186" t="e">
        <f>SUM(D60:H60)</f>
        <v>#REF!</v>
      </c>
      <c r="J60" s="2160">
        <f>'10 CWM Canada'!J52</f>
        <v>51455</v>
      </c>
      <c r="K60" s="1545">
        <f>'11 CWM UK and Europe'!J51</f>
        <v>64923</v>
      </c>
      <c r="L60" s="1186">
        <f>SUM(J60:K60)</f>
        <v>116378</v>
      </c>
      <c r="M60" s="1964">
        <f>'12 Other'!J44</f>
        <v>5015</v>
      </c>
      <c r="N60" s="1165" t="e">
        <f>M60+L60+I60</f>
        <v>#REF!</v>
      </c>
      <c r="O60" s="1182"/>
      <c r="P60" s="2160">
        <f>'5 Capital Markets Canada'!Q46</f>
        <v>216106</v>
      </c>
      <c r="Q60" s="1308">
        <f>'6 CG - US'!Q49</f>
        <v>235942</v>
      </c>
      <c r="R60" s="1308">
        <f>'7 UK &amp; Dubai'!Q47</f>
        <v>128458</v>
      </c>
      <c r="S60" s="1308">
        <f>'8 CG - Australia'!Q46</f>
        <v>57022</v>
      </c>
      <c r="T60" s="1545" t="e">
        <f>#REF!</f>
        <v>#REF!</v>
      </c>
      <c r="U60" s="1165" t="e">
        <f t="shared" ref="U60:U63" si="34">SUM(P60:T60)</f>
        <v>#REF!</v>
      </c>
      <c r="V60" s="2160">
        <f>'10 CWM Canada'!Q52</f>
        <v>168882</v>
      </c>
      <c r="W60" s="1545">
        <f>'11 CWM UK and Europe'!Q51</f>
        <v>201383</v>
      </c>
      <c r="X60" s="1130">
        <f t="shared" ref="X60:X63" si="35">V60+W60</f>
        <v>370265</v>
      </c>
      <c r="Y60" s="1964">
        <f>'12 Other'!Q44</f>
        <v>15056</v>
      </c>
      <c r="Z60" s="1165" t="e">
        <f>Y60+X60+U60</f>
        <v>#REF!</v>
      </c>
    </row>
    <row r="61" spans="1:28" ht="12.75" customHeight="1" x14ac:dyDescent="0.2">
      <c r="A61" s="1133"/>
      <c r="B61" s="945" t="s">
        <v>77</v>
      </c>
      <c r="C61" s="1968"/>
      <c r="D61" s="1123">
        <f>'5 Capital Markets Canada'!J47</f>
        <v>54337</v>
      </c>
      <c r="E61" s="1186">
        <f>'6 CG - US'!J50</f>
        <v>60439</v>
      </c>
      <c r="F61" s="1186">
        <f>'7 UK &amp; Dubai'!J48</f>
        <v>32092</v>
      </c>
      <c r="G61" s="1186">
        <f>'8 CG - Australia'!J47</f>
        <v>13033</v>
      </c>
      <c r="H61" s="1165" t="e">
        <f>#REF!</f>
        <v>#REF!</v>
      </c>
      <c r="I61" s="1186" t="e">
        <f>SUM(D61:H61)</f>
        <v>#REF!</v>
      </c>
      <c r="J61" s="1123">
        <f>'10 CWM Canada'!J53</f>
        <v>40147</v>
      </c>
      <c r="K61" s="1165">
        <f>'11 CWM UK and Europe'!J52</f>
        <v>54770</v>
      </c>
      <c r="L61" s="1186">
        <f t="shared" ref="L61:L63" si="36">SUM(J61:K61)</f>
        <v>94917</v>
      </c>
      <c r="M61" s="1182">
        <f>'12 Other'!J45</f>
        <v>14817</v>
      </c>
      <c r="N61" s="1165" t="e">
        <f>M61+L61+I61</f>
        <v>#REF!</v>
      </c>
      <c r="O61" s="1182"/>
      <c r="P61" s="1123">
        <f>'5 Capital Markets Canada'!Q47</f>
        <v>161599</v>
      </c>
      <c r="Q61" s="1186">
        <f>'6 CG - US'!Q50</f>
        <v>227473</v>
      </c>
      <c r="R61" s="1186">
        <f>'7 UK &amp; Dubai'!Q48</f>
        <v>126316</v>
      </c>
      <c r="S61" s="1186">
        <f>'8 CG - Australia'!Q47</f>
        <v>41830</v>
      </c>
      <c r="T61" s="1165" t="e">
        <f>#REF!</f>
        <v>#REF!</v>
      </c>
      <c r="U61" s="1165" t="e">
        <f t="shared" si="34"/>
        <v>#REF!</v>
      </c>
      <c r="V61" s="1123">
        <f>'10 CWM Canada'!Q53</f>
        <v>134492</v>
      </c>
      <c r="W61" s="1165">
        <f>'11 CWM UK and Europe'!Q52</f>
        <v>162702</v>
      </c>
      <c r="X61" s="1130">
        <f t="shared" si="35"/>
        <v>297194</v>
      </c>
      <c r="Y61" s="1182">
        <f>'12 Other'!Q45</f>
        <v>56590</v>
      </c>
      <c r="Z61" s="1165" t="e">
        <f t="shared" ref="Z61:Z63" si="37">Y61+X61+U61</f>
        <v>#REF!</v>
      </c>
    </row>
    <row r="62" spans="1:28" ht="12.75" customHeight="1" x14ac:dyDescent="0.2">
      <c r="A62" s="1133"/>
      <c r="B62" s="1707" t="s">
        <v>317</v>
      </c>
      <c r="C62" s="1968"/>
      <c r="D62" s="1123">
        <f>'5 Capital Markets Canada'!J48</f>
        <v>2582</v>
      </c>
      <c r="E62" s="1186">
        <f>'6 CG - US'!J51</f>
        <v>878</v>
      </c>
      <c r="F62" s="1186">
        <f>'7 UK &amp; Dubai'!J49</f>
        <v>763</v>
      </c>
      <c r="G62" s="1186">
        <f>'8 CG - Australia'!J48</f>
        <v>283</v>
      </c>
      <c r="H62" s="1165" t="e">
        <f>#REF!</f>
        <v>#REF!</v>
      </c>
      <c r="I62" s="1186" t="e">
        <f>SUM(D62:H62)</f>
        <v>#REF!</v>
      </c>
      <c r="J62" s="1123">
        <f>'10 CWM Canada'!J54</f>
        <v>2854</v>
      </c>
      <c r="K62" s="1165">
        <f>'11 CWM UK and Europe'!J53</f>
        <v>376</v>
      </c>
      <c r="L62" s="1186">
        <f t="shared" si="36"/>
        <v>3230</v>
      </c>
      <c r="M62" s="1182">
        <f>'12 Other'!J46</f>
        <v>-7736</v>
      </c>
      <c r="N62" s="1165" t="e">
        <f>M62+L62+I62</f>
        <v>#REF!</v>
      </c>
      <c r="O62" s="1182"/>
      <c r="P62" s="1123">
        <f>'5 Capital Markets Canada'!Q48</f>
        <v>10159</v>
      </c>
      <c r="Q62" s="1186">
        <f>'6 CG - US'!Q51</f>
        <v>3113</v>
      </c>
      <c r="R62" s="1186">
        <f>'7 UK &amp; Dubai'!Q49</f>
        <v>2969</v>
      </c>
      <c r="S62" s="1186">
        <f>'8 CG - Australia'!Q48</f>
        <v>283</v>
      </c>
      <c r="T62" s="1165" t="e">
        <f>#REF!</f>
        <v>#REF!</v>
      </c>
      <c r="U62" s="1165" t="e">
        <f t="shared" si="34"/>
        <v>#REF!</v>
      </c>
      <c r="V62" s="1123">
        <f>'10 CWM Canada'!Q54</f>
        <v>14200</v>
      </c>
      <c r="W62" s="1165">
        <f>'11 CWM UK and Europe'!Q53</f>
        <v>1329</v>
      </c>
      <c r="X62" s="1130">
        <f t="shared" si="35"/>
        <v>15529</v>
      </c>
      <c r="Y62" s="1182">
        <f>'12 Other'!Q46</f>
        <v>-32053</v>
      </c>
      <c r="Z62" s="1165" t="e">
        <f t="shared" si="37"/>
        <v>#REF!</v>
      </c>
    </row>
    <row r="63" spans="1:28" ht="12.75" customHeight="1" x14ac:dyDescent="0.2">
      <c r="A63" s="1133"/>
      <c r="B63" s="945" t="s">
        <v>192</v>
      </c>
      <c r="C63" s="1968"/>
      <c r="D63" s="1214">
        <f>'5 Capital Markets Canada'!J49</f>
        <v>20695</v>
      </c>
      <c r="E63" s="1212">
        <f>'6 CG - US'!J52</f>
        <v>6841</v>
      </c>
      <c r="F63" s="1212">
        <f>'7 UK &amp; Dubai'!J50</f>
        <v>1941</v>
      </c>
      <c r="G63" s="1212">
        <f>'8 CG - Australia'!J49</f>
        <v>6786</v>
      </c>
      <c r="H63" s="1171" t="e">
        <f>#REF!</f>
        <v>#REF!</v>
      </c>
      <c r="I63" s="1171" t="e">
        <f>SUM(D63:H63)</f>
        <v>#REF!</v>
      </c>
      <c r="J63" s="1214">
        <f>'10 CWM Canada'!J55</f>
        <v>8454</v>
      </c>
      <c r="K63" s="1171">
        <f>'11 CWM UK and Europe'!J54</f>
        <v>9777</v>
      </c>
      <c r="L63" s="1212">
        <f t="shared" si="36"/>
        <v>18231</v>
      </c>
      <c r="M63" s="1190">
        <f>'12 Other'!J47</f>
        <v>-2066</v>
      </c>
      <c r="N63" s="1171" t="e">
        <f>M63+L63+I63</f>
        <v>#REF!</v>
      </c>
      <c r="O63" s="1182"/>
      <c r="P63" s="1214">
        <f>'5 Capital Markets Canada'!Q49</f>
        <v>44348</v>
      </c>
      <c r="Q63" s="1212">
        <f>'6 CG - US'!Q52</f>
        <v>5356</v>
      </c>
      <c r="R63" s="1212">
        <f>'7 UK &amp; Dubai'!Q50</f>
        <v>-827</v>
      </c>
      <c r="S63" s="1212">
        <f>'8 CG - Australia'!Q49</f>
        <v>14909</v>
      </c>
      <c r="T63" s="1171" t="e">
        <f>#REF!</f>
        <v>#REF!</v>
      </c>
      <c r="U63" s="1171" t="e">
        <f t="shared" si="34"/>
        <v>#REF!</v>
      </c>
      <c r="V63" s="1214">
        <f>'10 CWM Canada'!Q55</f>
        <v>20190</v>
      </c>
      <c r="W63" s="1171">
        <f>'11 CWM UK and Europe'!Q54</f>
        <v>37352</v>
      </c>
      <c r="X63" s="1170">
        <f t="shared" si="35"/>
        <v>57542</v>
      </c>
      <c r="Y63" s="1190">
        <f>'12 Other'!Q47</f>
        <v>-9481</v>
      </c>
      <c r="Z63" s="1171" t="e">
        <f t="shared" si="37"/>
        <v>#REF!</v>
      </c>
    </row>
    <row r="64" spans="1:28" ht="12.75" customHeight="1" x14ac:dyDescent="0.2">
      <c r="A64" s="1118"/>
      <c r="B64" s="945"/>
      <c r="C64" s="926"/>
      <c r="D64" s="957"/>
      <c r="E64" s="957"/>
      <c r="F64" s="957"/>
      <c r="G64" s="945"/>
      <c r="H64" s="945"/>
      <c r="I64" s="945"/>
      <c r="J64" s="957"/>
      <c r="K64" s="957"/>
      <c r="L64" s="957"/>
      <c r="M64" s="957"/>
      <c r="N64" s="957"/>
      <c r="O64" s="945"/>
      <c r="P64" s="957"/>
      <c r="Q64" s="957"/>
      <c r="R64" s="957"/>
      <c r="S64" s="945"/>
      <c r="T64" s="945"/>
      <c r="U64" s="945"/>
      <c r="V64" s="957"/>
      <c r="W64" s="957"/>
      <c r="X64" s="957"/>
      <c r="Y64" s="957"/>
      <c r="Z64" s="957"/>
    </row>
    <row r="65" spans="1:26" ht="12.75" customHeight="1" x14ac:dyDescent="0.2">
      <c r="A65" s="1118"/>
      <c r="B65" s="945" t="s">
        <v>528</v>
      </c>
      <c r="C65" s="926"/>
      <c r="D65" s="1595" t="e">
        <f t="shared" ref="D65:N65" si="38">IF(OR(((D26+D27)/D60)&gt;3,((D26+D27)/D60)&lt;-3),"n.m.",((D26+D27)/D60))</f>
        <v>#REF!</v>
      </c>
      <c r="E65" s="1595" t="e">
        <f t="shared" si="38"/>
        <v>#REF!</v>
      </c>
      <c r="F65" s="1595" t="e">
        <f t="shared" si="38"/>
        <v>#REF!</v>
      </c>
      <c r="G65" s="1595" t="e">
        <f t="shared" si="38"/>
        <v>#REF!</v>
      </c>
      <c r="H65" s="1595" t="e">
        <f t="shared" si="38"/>
        <v>#REF!</v>
      </c>
      <c r="I65" s="1595" t="e">
        <f t="shared" si="38"/>
        <v>#REF!</v>
      </c>
      <c r="J65" s="1595" t="e">
        <f t="shared" si="38"/>
        <v>#REF!</v>
      </c>
      <c r="K65" s="1595" t="e">
        <f t="shared" si="38"/>
        <v>#REF!</v>
      </c>
      <c r="L65" s="1595" t="e">
        <f t="shared" si="38"/>
        <v>#REF!</v>
      </c>
      <c r="M65" s="1595" t="e">
        <f t="shared" si="38"/>
        <v>#REF!</v>
      </c>
      <c r="N65" s="1595" t="e">
        <f t="shared" si="38"/>
        <v>#REF!</v>
      </c>
      <c r="O65" s="1565"/>
      <c r="P65" s="1595" t="e">
        <f t="shared" ref="P65:Z65" si="39">IF(OR(((P26+P27)/P60)&gt;3,((P26+P27)/P60)&lt;-3),"n.m.",((P26+P27)/P60))</f>
        <v>#REF!</v>
      </c>
      <c r="Q65" s="1595" t="e">
        <f t="shared" si="39"/>
        <v>#REF!</v>
      </c>
      <c r="R65" s="1595" t="e">
        <f t="shared" si="39"/>
        <v>#REF!</v>
      </c>
      <c r="S65" s="1595" t="e">
        <f t="shared" si="39"/>
        <v>#REF!</v>
      </c>
      <c r="T65" s="1595" t="e">
        <f t="shared" si="39"/>
        <v>#REF!</v>
      </c>
      <c r="U65" s="1595" t="e">
        <f t="shared" si="39"/>
        <v>#REF!</v>
      </c>
      <c r="V65" s="1595" t="e">
        <f t="shared" si="39"/>
        <v>#REF!</v>
      </c>
      <c r="W65" s="1595" t="e">
        <f t="shared" si="39"/>
        <v>#REF!</v>
      </c>
      <c r="X65" s="1595" t="e">
        <f t="shared" si="39"/>
        <v>#REF!</v>
      </c>
      <c r="Y65" s="1595" t="e">
        <f t="shared" si="39"/>
        <v>#REF!</v>
      </c>
      <c r="Z65" s="1595" t="e">
        <f t="shared" si="39"/>
        <v>#REF!</v>
      </c>
    </row>
    <row r="66" spans="1:26" ht="12.75" customHeight="1" x14ac:dyDescent="0.2">
      <c r="A66" s="1118"/>
      <c r="B66" s="1129" t="s">
        <v>72</v>
      </c>
      <c r="C66" s="926"/>
      <c r="D66" s="1595" t="e">
        <f t="shared" ref="D66:N66" si="40">IF(OR((D61-D26-D27)/D22&gt;3,(D61-D26-D27)/D22&lt;-3),"n.m.",((D61-D26-D27)/D22))</f>
        <v>#REF!</v>
      </c>
      <c r="E66" s="1595" t="e">
        <f t="shared" si="40"/>
        <v>#REF!</v>
      </c>
      <c r="F66" s="1595" t="e">
        <f t="shared" si="40"/>
        <v>#REF!</v>
      </c>
      <c r="G66" s="1595" t="e">
        <f t="shared" si="40"/>
        <v>#REF!</v>
      </c>
      <c r="H66" s="1595" t="e">
        <f t="shared" si="40"/>
        <v>#REF!</v>
      </c>
      <c r="I66" s="1595" t="e">
        <f t="shared" si="40"/>
        <v>#REF!</v>
      </c>
      <c r="J66" s="1595" t="e">
        <f t="shared" si="40"/>
        <v>#REF!</v>
      </c>
      <c r="K66" s="1595" t="e">
        <f t="shared" si="40"/>
        <v>#REF!</v>
      </c>
      <c r="L66" s="1595" t="e">
        <f t="shared" si="40"/>
        <v>#REF!</v>
      </c>
      <c r="M66" s="1595" t="e">
        <f t="shared" si="40"/>
        <v>#REF!</v>
      </c>
      <c r="N66" s="1595" t="e">
        <f t="shared" si="40"/>
        <v>#REF!</v>
      </c>
      <c r="O66" s="1565"/>
      <c r="P66" s="1595" t="e">
        <f t="shared" ref="P66:Z66" si="41">IF(OR((P61-P26-P27)/P22&gt;3,(P61-P26-P27)/P22&lt;-3),"n.m.",((P61-P26-P27)/P22))</f>
        <v>#REF!</v>
      </c>
      <c r="Q66" s="1595" t="e">
        <f t="shared" si="41"/>
        <v>#REF!</v>
      </c>
      <c r="R66" s="1595" t="e">
        <f t="shared" si="41"/>
        <v>#REF!</v>
      </c>
      <c r="S66" s="1595" t="e">
        <f t="shared" si="41"/>
        <v>#REF!</v>
      </c>
      <c r="T66" s="1595" t="e">
        <f t="shared" si="41"/>
        <v>#REF!</v>
      </c>
      <c r="U66" s="1595" t="e">
        <f t="shared" si="41"/>
        <v>#REF!</v>
      </c>
      <c r="V66" s="1595" t="e">
        <f t="shared" si="41"/>
        <v>#REF!</v>
      </c>
      <c r="W66" s="1595" t="e">
        <f t="shared" si="41"/>
        <v>#REF!</v>
      </c>
      <c r="X66" s="1595" t="e">
        <f t="shared" si="41"/>
        <v>#REF!</v>
      </c>
      <c r="Y66" s="1595" t="e">
        <f t="shared" si="41"/>
        <v>#REF!</v>
      </c>
      <c r="Z66" s="1595" t="e">
        <f t="shared" si="41"/>
        <v>#REF!</v>
      </c>
    </row>
    <row r="67" spans="1:26" ht="12.75" customHeight="1" x14ac:dyDescent="0.2">
      <c r="A67" s="1118"/>
      <c r="B67" s="1129" t="s">
        <v>73</v>
      </c>
      <c r="C67" s="926"/>
      <c r="D67" s="1595">
        <f>IF(OR(D61/D$60&gt;3,D61/D$60&lt;-3),"n.m.",(D61/D$60))</f>
        <v>0.70009276676888188</v>
      </c>
      <c r="E67" s="1595">
        <f>IF(OR(E61/E$60&gt;3,E61/E$60&lt;-3),"n.m.",(E61/E$60))</f>
        <v>0.88674843745415066</v>
      </c>
      <c r="F67" s="1595">
        <f t="shared" ref="F67:Z67" si="42">IF(OR(F61/F$60&gt;3,F61/F$60&lt;-3),"n.m.",(F61/F$60))</f>
        <v>0.92228991838142316</v>
      </c>
      <c r="G67" s="1595">
        <f t="shared" si="42"/>
        <v>0.64834344841309322</v>
      </c>
      <c r="H67" s="1595" t="e">
        <f t="shared" si="42"/>
        <v>#REF!</v>
      </c>
      <c r="I67" s="1595" t="e">
        <f t="shared" si="42"/>
        <v>#REF!</v>
      </c>
      <c r="J67" s="1595">
        <f t="shared" si="42"/>
        <v>0.78023515693324264</v>
      </c>
      <c r="K67" s="1595">
        <f t="shared" si="42"/>
        <v>0.8436147436193645</v>
      </c>
      <c r="L67" s="1595">
        <f t="shared" si="42"/>
        <v>0.81559229407619993</v>
      </c>
      <c r="M67" s="1595">
        <f t="shared" si="42"/>
        <v>2.9545363908275175</v>
      </c>
      <c r="N67" s="1595" t="e">
        <f t="shared" si="42"/>
        <v>#REF!</v>
      </c>
      <c r="O67" s="1565"/>
      <c r="P67" s="1595">
        <f t="shared" si="42"/>
        <v>0.74777655409845167</v>
      </c>
      <c r="Q67" s="1595">
        <f t="shared" si="42"/>
        <v>0.96410558527095647</v>
      </c>
      <c r="R67" s="1595">
        <f t="shared" si="42"/>
        <v>0.98332528919958273</v>
      </c>
      <c r="S67" s="1595">
        <f t="shared" si="42"/>
        <v>0.73357651432780335</v>
      </c>
      <c r="T67" s="1595" t="e">
        <f t="shared" si="42"/>
        <v>#REF!</v>
      </c>
      <c r="U67" s="1595" t="e">
        <f t="shared" si="42"/>
        <v>#REF!</v>
      </c>
      <c r="V67" s="1595">
        <f t="shared" si="42"/>
        <v>0.79636669390461978</v>
      </c>
      <c r="W67" s="1595">
        <f t="shared" si="42"/>
        <v>0.80792321099596287</v>
      </c>
      <c r="X67" s="1595">
        <f t="shared" si="42"/>
        <v>0.80265215453796601</v>
      </c>
      <c r="Y67" s="1595" t="str">
        <f t="shared" si="42"/>
        <v>n.m.</v>
      </c>
      <c r="Z67" s="1595" t="e">
        <f t="shared" si="42"/>
        <v>#REF!</v>
      </c>
    </row>
    <row r="68" spans="1:26" ht="12.75" customHeight="1" x14ac:dyDescent="0.2">
      <c r="A68" s="1118"/>
      <c r="B68" s="1129" t="s">
        <v>74</v>
      </c>
      <c r="C68" s="926"/>
      <c r="D68" s="1595">
        <f>IF(OR(D63/D$60&gt;3,D63/D$60&lt;-3),"n.m.",(D63/D$60))</f>
        <v>0.26664003916819129</v>
      </c>
      <c r="E68" s="1595">
        <f>IF(OR(E63/E$60&gt;3,E63/E$60&lt;-3),"n.m.",(E63/E$60))</f>
        <v>0.10036972915871945</v>
      </c>
      <c r="F68" s="1595">
        <f t="shared" ref="F68:N68" si="43">IF(OR(F63/F$60&gt;3,F63/F$60&lt;-3),"n.m.",(F63/F$60))</f>
        <v>5.5782273824577538E-2</v>
      </c>
      <c r="G68" s="1595">
        <f t="shared" si="43"/>
        <v>0.33757835041289425</v>
      </c>
      <c r="H68" s="1595" t="e">
        <f t="shared" si="43"/>
        <v>#REF!</v>
      </c>
      <c r="I68" s="1595" t="e">
        <f t="shared" si="43"/>
        <v>#REF!</v>
      </c>
      <c r="J68" s="1595">
        <f t="shared" si="43"/>
        <v>0.16429890195316296</v>
      </c>
      <c r="K68" s="1595">
        <f t="shared" si="43"/>
        <v>0.15059378032438428</v>
      </c>
      <c r="L68" s="1595">
        <f t="shared" si="43"/>
        <v>0.156653319355892</v>
      </c>
      <c r="M68" s="1595">
        <f t="shared" si="43"/>
        <v>-0.41196410767696912</v>
      </c>
      <c r="N68" s="1595" t="e">
        <f t="shared" si="43"/>
        <v>#REF!</v>
      </c>
      <c r="O68" s="1565"/>
      <c r="P68" s="1595">
        <f t="shared" ref="P68:Z68" si="44">IF(OR(P63/P$60&gt;3,P63/P$60&lt;-3),"n.m.",(P63/P$60))</f>
        <v>0.20521410789149769</v>
      </c>
      <c r="Q68" s="1595">
        <f t="shared" si="44"/>
        <v>2.2700494189249902E-2</v>
      </c>
      <c r="R68" s="1595">
        <f t="shared" si="44"/>
        <v>-6.4379018823272974E-3</v>
      </c>
      <c r="S68" s="1595">
        <f t="shared" si="44"/>
        <v>0.26146048893409563</v>
      </c>
      <c r="T68" s="1595" t="e">
        <f t="shared" si="44"/>
        <v>#REF!</v>
      </c>
      <c r="U68" s="1595" t="e">
        <f t="shared" si="44"/>
        <v>#REF!</v>
      </c>
      <c r="V68" s="1595">
        <f t="shared" si="44"/>
        <v>0.1195509290510534</v>
      </c>
      <c r="W68" s="1595">
        <f t="shared" si="44"/>
        <v>0.18547742361569744</v>
      </c>
      <c r="X68" s="1595">
        <f t="shared" si="44"/>
        <v>0.15540761346603107</v>
      </c>
      <c r="Y68" s="1595">
        <f t="shared" si="44"/>
        <v>-0.62971572794899044</v>
      </c>
      <c r="Z68" s="1595" t="e">
        <f t="shared" si="44"/>
        <v>#REF!</v>
      </c>
    </row>
    <row r="69" spans="1:26" s="930" customFormat="1" ht="12.75" customHeight="1" x14ac:dyDescent="0.2">
      <c r="A69" s="959"/>
      <c r="B69" s="945"/>
      <c r="C69" s="899"/>
      <c r="D69" s="945"/>
      <c r="E69" s="945"/>
      <c r="F69" s="945"/>
      <c r="G69" s="945"/>
      <c r="H69" s="945"/>
      <c r="I69" s="945"/>
      <c r="J69" s="945"/>
      <c r="K69" s="945"/>
      <c r="L69" s="945"/>
      <c r="M69" s="945"/>
      <c r="N69" s="945"/>
      <c r="O69" s="945"/>
      <c r="P69" s="945"/>
      <c r="Q69" s="945"/>
      <c r="R69" s="945"/>
      <c r="S69" s="945"/>
      <c r="T69" s="945"/>
      <c r="U69" s="945"/>
      <c r="V69" s="945"/>
      <c r="W69" s="945"/>
      <c r="X69" s="945"/>
      <c r="Y69" s="945"/>
      <c r="Z69" s="939"/>
    </row>
    <row r="70" spans="1:26" s="930" customFormat="1" ht="12.75" customHeight="1" x14ac:dyDescent="0.2">
      <c r="A70" s="959"/>
      <c r="B70" s="945"/>
      <c r="C70" s="899"/>
      <c r="D70" s="945"/>
      <c r="E70" s="945"/>
      <c r="F70" s="945"/>
      <c r="G70" s="945"/>
      <c r="H70" s="945"/>
      <c r="I70" s="945"/>
      <c r="J70" s="945"/>
      <c r="K70" s="945"/>
      <c r="L70" s="945"/>
      <c r="M70" s="945"/>
      <c r="N70" s="945"/>
      <c r="O70" s="945"/>
      <c r="P70" s="945"/>
      <c r="Q70" s="945"/>
      <c r="R70" s="945"/>
      <c r="S70" s="945"/>
      <c r="T70" s="945"/>
      <c r="U70" s="945"/>
      <c r="V70" s="945"/>
      <c r="W70" s="945"/>
      <c r="X70" s="945"/>
      <c r="Y70" s="945"/>
      <c r="Z70" s="939"/>
    </row>
    <row r="71" spans="1:26" x14ac:dyDescent="0.2">
      <c r="A71" s="945" t="s">
        <v>339</v>
      </c>
      <c r="B71" s="969"/>
      <c r="C71" s="896"/>
      <c r="D71" s="940"/>
      <c r="E71" s="940"/>
      <c r="F71" s="940"/>
      <c r="G71" s="940"/>
      <c r="H71" s="940"/>
      <c r="I71" s="940"/>
      <c r="J71" s="940"/>
      <c r="K71" s="940"/>
      <c r="L71" s="940"/>
      <c r="M71" s="940"/>
      <c r="N71" s="940"/>
      <c r="O71" s="940"/>
      <c r="P71" s="940"/>
      <c r="Q71" s="940"/>
      <c r="R71" s="940"/>
      <c r="S71" s="940"/>
      <c r="T71" s="940"/>
      <c r="U71" s="940"/>
      <c r="V71" s="940"/>
      <c r="W71" s="940"/>
      <c r="X71" s="940"/>
      <c r="Y71" s="940"/>
    </row>
    <row r="72" spans="1:26" x14ac:dyDescent="0.2">
      <c r="A72" s="968" t="s">
        <v>25</v>
      </c>
      <c r="B72" s="939"/>
      <c r="C72" s="896"/>
      <c r="D72" s="940"/>
      <c r="E72" s="940"/>
      <c r="F72" s="940"/>
      <c r="G72" s="940"/>
      <c r="H72" s="971"/>
      <c r="I72" s="971"/>
      <c r="J72" s="940"/>
      <c r="K72" s="940"/>
      <c r="L72" s="940"/>
      <c r="M72" s="940"/>
      <c r="N72" s="940"/>
      <c r="O72" s="940"/>
      <c r="P72" s="940"/>
      <c r="Q72" s="940"/>
      <c r="R72" s="940"/>
      <c r="S72" s="940"/>
      <c r="T72" s="971"/>
      <c r="U72" s="971"/>
      <c r="V72" s="940"/>
      <c r="W72" s="940"/>
      <c r="X72" s="940"/>
      <c r="Y72" s="940"/>
    </row>
    <row r="73" spans="1:26" x14ac:dyDescent="0.2">
      <c r="A73" s="940"/>
      <c r="B73" s="939"/>
      <c r="C73" s="896"/>
      <c r="D73" s="940"/>
      <c r="E73" s="940"/>
      <c r="F73" s="940"/>
      <c r="G73" s="940"/>
      <c r="H73" s="940"/>
      <c r="I73" s="940"/>
      <c r="J73" s="940"/>
      <c r="K73" s="940"/>
      <c r="L73" s="940"/>
      <c r="M73" s="1072"/>
      <c r="N73" s="1072"/>
      <c r="O73" s="940"/>
      <c r="P73" s="940"/>
      <c r="Q73" s="940"/>
      <c r="R73" s="940"/>
      <c r="S73" s="940"/>
      <c r="T73" s="940"/>
      <c r="U73" s="940"/>
      <c r="V73" s="940"/>
      <c r="W73" s="940"/>
      <c r="X73" s="940"/>
      <c r="Y73" s="1072"/>
    </row>
    <row r="74" spans="1:26" x14ac:dyDescent="0.2">
      <c r="A74" s="945" t="s">
        <v>552</v>
      </c>
      <c r="B74" s="939"/>
      <c r="C74" s="896"/>
      <c r="D74" s="940"/>
      <c r="E74" s="940"/>
      <c r="F74" s="940"/>
      <c r="G74" s="940"/>
      <c r="H74" s="940"/>
      <c r="I74" s="940"/>
      <c r="J74" s="940"/>
      <c r="K74" s="940"/>
      <c r="L74" s="940"/>
      <c r="M74" s="1072"/>
      <c r="N74" s="1072"/>
      <c r="O74" s="940"/>
      <c r="P74" s="940"/>
      <c r="Q74" s="940"/>
      <c r="R74" s="940"/>
      <c r="S74" s="940"/>
      <c r="T74" s="940"/>
      <c r="U74" s="940"/>
      <c r="V74" s="940"/>
      <c r="W74" s="940"/>
      <c r="X74" s="940"/>
      <c r="Y74" s="1072"/>
    </row>
  </sheetData>
  <mergeCells count="16">
    <mergeCell ref="V58:X58"/>
    <mergeCell ref="Z58:Z59"/>
    <mergeCell ref="A42:B42"/>
    <mergeCell ref="A44:B44"/>
    <mergeCell ref="D58:I58"/>
    <mergeCell ref="J58:L58"/>
    <mergeCell ref="N58:N59"/>
    <mergeCell ref="P58:T58"/>
    <mergeCell ref="D11:N11"/>
    <mergeCell ref="P11:Z11"/>
    <mergeCell ref="D12:I12"/>
    <mergeCell ref="J12:L12"/>
    <mergeCell ref="N12:N13"/>
    <mergeCell ref="P12:U12"/>
    <mergeCell ref="V12:X12"/>
    <mergeCell ref="Z12:Z13"/>
  </mergeCells>
  <conditionalFormatting sqref="A55:A57 A54:B54 A48:A49 B46:B49 A69:A70">
    <cfRule type="cellIs" dxfId="115" priority="3" stopIfTrue="1" operator="equal">
      <formula>0</formula>
    </cfRule>
  </conditionalFormatting>
  <conditionalFormatting sqref="D46:G47 J46:Z47">
    <cfRule type="cellIs" dxfId="114" priority="1" operator="lessThan">
      <formula>-3</formula>
    </cfRule>
    <cfRule type="cellIs" dxfId="113" priority="2" operator="greaterThan">
      <formula>3</formula>
    </cfRule>
  </conditionalFormatting>
  <printOptions horizontalCentered="1"/>
  <pageMargins left="0" right="0" top="0.75" bottom="0" header="0" footer="0"/>
  <pageSetup scale="44" orientation="landscape" r:id="rId1"/>
  <headerFooter alignWithMargins="0">
    <oddFooter>&amp;L&amp;F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Z104"/>
  <sheetViews>
    <sheetView topLeftCell="C4" zoomScale="110" zoomScaleNormal="110" workbookViewId="0">
      <selection activeCell="J10" sqref="J10"/>
    </sheetView>
  </sheetViews>
  <sheetFormatPr defaultColWidth="9.140625" defaultRowHeight="12.75" x14ac:dyDescent="0.2"/>
  <cols>
    <col min="1" max="1" width="2.7109375" style="1108" customWidth="1"/>
    <col min="2" max="2" width="50.140625" style="1108" customWidth="1"/>
    <col min="3" max="4" width="11" style="1627" customWidth="1"/>
    <col min="5" max="5" width="1.5703125" style="1221" customWidth="1"/>
    <col min="6" max="6" width="10.5703125" style="1221" customWidth="1"/>
    <col min="7" max="14" width="10.5703125" style="1253" customWidth="1"/>
    <col min="15" max="15" width="1.85546875" style="1253" customWidth="1"/>
    <col min="16" max="16" width="13.140625" style="1627" hidden="1" customWidth="1"/>
    <col min="17" max="17" width="12.28515625" style="1627" hidden="1" customWidth="1"/>
    <col min="18" max="19" width="10" style="1627" customWidth="1"/>
    <col min="20" max="20" width="1.85546875" style="1627" customWidth="1"/>
    <col min="21" max="21" width="12.140625" style="1627" customWidth="1"/>
    <col min="22" max="24" width="12.140625" style="1627" bestFit="1" customWidth="1"/>
    <col min="25" max="25" width="11" style="1627" customWidth="1"/>
    <col min="26" max="26" width="3.7109375" style="1627" customWidth="1"/>
    <col min="27" max="16384" width="9.140625" style="1104"/>
  </cols>
  <sheetData>
    <row r="1" spans="1:26" ht="6.75" customHeight="1" x14ac:dyDescent="0.2">
      <c r="C1" s="1108"/>
      <c r="D1" s="1108"/>
      <c r="E1" s="1075"/>
      <c r="F1" s="1075"/>
      <c r="G1" s="1109"/>
      <c r="H1" s="1109"/>
      <c r="I1" s="1109"/>
      <c r="J1" s="1109"/>
      <c r="K1" s="1109"/>
      <c r="L1" s="1109"/>
      <c r="M1" s="1109"/>
      <c r="N1" s="1109"/>
      <c r="O1" s="1109"/>
      <c r="P1" s="1108"/>
      <c r="Q1" s="1108"/>
      <c r="R1" s="1108"/>
      <c r="S1" s="1108"/>
      <c r="T1" s="1108"/>
      <c r="U1" s="1108"/>
      <c r="V1" s="1108"/>
      <c r="W1" s="1108"/>
      <c r="X1" s="1108"/>
      <c r="Y1" s="1108"/>
      <c r="Z1" s="1108"/>
    </row>
    <row r="2" spans="1:26" x14ac:dyDescent="0.2">
      <c r="C2" s="1108"/>
      <c r="D2" s="1108"/>
      <c r="E2" s="1075"/>
      <c r="F2" s="1075"/>
      <c r="G2" s="1109"/>
      <c r="H2" s="1109"/>
      <c r="I2" s="1109"/>
      <c r="J2" s="1109"/>
      <c r="K2" s="1109"/>
      <c r="L2" s="1109"/>
      <c r="M2" s="1109"/>
      <c r="N2" s="1109"/>
      <c r="O2" s="1109"/>
      <c r="P2" s="1109"/>
      <c r="Q2" s="1108"/>
      <c r="R2" s="1108"/>
      <c r="S2" s="1108"/>
      <c r="T2" s="1108"/>
      <c r="U2" s="1108"/>
      <c r="V2" s="1108"/>
      <c r="W2" s="1108"/>
      <c r="X2" s="1108"/>
      <c r="Y2" s="1108"/>
      <c r="Z2" s="1108"/>
    </row>
    <row r="3" spans="1:26" x14ac:dyDescent="0.2">
      <c r="C3" s="1127"/>
      <c r="D3" s="1108"/>
      <c r="E3" s="1075"/>
      <c r="F3" s="1075"/>
      <c r="G3" s="1109"/>
      <c r="H3" s="1109"/>
      <c r="I3" s="1109"/>
      <c r="J3" s="1109"/>
      <c r="K3" s="1109"/>
      <c r="L3" s="1109"/>
      <c r="M3" s="1109"/>
      <c r="N3" s="1109"/>
      <c r="O3" s="1109"/>
      <c r="P3" s="1141"/>
      <c r="Q3" s="1108"/>
      <c r="R3" s="1108"/>
      <c r="S3" s="1108"/>
      <c r="T3" s="1108"/>
      <c r="U3" s="1108"/>
      <c r="V3" s="1108"/>
      <c r="W3" s="1108"/>
      <c r="X3" s="1108"/>
      <c r="Y3" s="1108"/>
      <c r="Z3" s="1108"/>
    </row>
    <row r="4" spans="1:26" x14ac:dyDescent="0.2">
      <c r="C4" s="1127"/>
      <c r="D4" s="1108"/>
      <c r="E4" s="1075"/>
      <c r="F4" s="1075"/>
      <c r="G4" s="1109"/>
      <c r="H4" s="1109"/>
      <c r="I4" s="1109"/>
      <c r="J4" s="1109"/>
      <c r="K4" s="1109"/>
      <c r="L4" s="1109"/>
      <c r="M4" s="1109"/>
      <c r="N4" s="1109"/>
      <c r="O4" s="1109"/>
      <c r="P4" s="1141"/>
      <c r="Q4" s="1108"/>
      <c r="R4" s="1108"/>
      <c r="S4" s="1108"/>
      <c r="T4" s="1108"/>
      <c r="U4" s="1108"/>
      <c r="V4" s="1108"/>
      <c r="W4" s="1108"/>
      <c r="X4" s="1108"/>
      <c r="Y4" s="1108"/>
      <c r="Z4" s="1108"/>
    </row>
    <row r="5" spans="1:26" ht="24.75" customHeight="1" x14ac:dyDescent="0.2">
      <c r="A5" s="1109"/>
      <c r="B5" s="1109"/>
      <c r="C5" s="1127"/>
      <c r="D5" s="1109"/>
      <c r="E5" s="1075"/>
      <c r="F5" s="1075"/>
      <c r="G5" s="1109"/>
      <c r="H5" s="1109"/>
      <c r="I5" s="1109"/>
      <c r="J5" s="1109"/>
      <c r="K5" s="1109"/>
      <c r="L5" s="1109"/>
      <c r="M5" s="1109"/>
      <c r="N5" s="1109"/>
      <c r="O5" s="1109"/>
      <c r="P5" s="1141"/>
      <c r="Q5" s="1108"/>
      <c r="R5" s="1108"/>
      <c r="S5" s="1108"/>
      <c r="T5" s="1108"/>
      <c r="U5" s="1108"/>
      <c r="V5" s="1108"/>
      <c r="W5" s="1108"/>
      <c r="X5" s="1108"/>
      <c r="Y5" s="1108"/>
      <c r="Z5" s="1108"/>
    </row>
    <row r="6" spans="1:26" ht="18" customHeight="1" x14ac:dyDescent="0.2">
      <c r="A6" s="1110" t="s">
        <v>655</v>
      </c>
      <c r="B6" s="1109"/>
      <c r="C6" s="1127"/>
      <c r="D6" s="1109"/>
      <c r="E6" s="1075"/>
      <c r="F6" s="1075"/>
      <c r="G6" s="974"/>
      <c r="H6" s="974"/>
      <c r="I6" s="974"/>
      <c r="J6" s="1109"/>
      <c r="K6" s="974"/>
      <c r="L6" s="1109"/>
      <c r="M6" s="1109"/>
      <c r="N6" s="1109"/>
      <c r="O6" s="1141"/>
      <c r="P6" s="974"/>
      <c r="Q6" s="974"/>
      <c r="R6" s="1127"/>
      <c r="S6" s="1127"/>
      <c r="T6" s="1220"/>
      <c r="U6" s="1220"/>
      <c r="V6" s="1220"/>
      <c r="W6" s="1220"/>
      <c r="X6" s="1220"/>
      <c r="Y6" s="1220"/>
      <c r="Z6" s="1108"/>
    </row>
    <row r="7" spans="1:26" ht="18" customHeight="1" x14ac:dyDescent="0.2">
      <c r="A7" s="1111" t="s">
        <v>632</v>
      </c>
      <c r="B7" s="942"/>
      <c r="C7" s="1127"/>
      <c r="D7" s="973"/>
      <c r="E7" s="898"/>
      <c r="F7" s="898"/>
      <c r="G7" s="974"/>
      <c r="H7" s="974"/>
      <c r="I7" s="974"/>
      <c r="J7" s="942"/>
      <c r="K7" s="974"/>
      <c r="L7" s="942"/>
      <c r="M7" s="942"/>
      <c r="N7" s="942"/>
      <c r="O7" s="1141"/>
      <c r="P7" s="974"/>
      <c r="Q7" s="974"/>
      <c r="R7" s="1127"/>
      <c r="S7" s="1127"/>
      <c r="T7" s="1220"/>
      <c r="U7" s="1220"/>
      <c r="Y7" s="1220"/>
      <c r="Z7" s="1108"/>
    </row>
    <row r="8" spans="1:26" ht="15" x14ac:dyDescent="0.2">
      <c r="A8" s="943" t="s">
        <v>556</v>
      </c>
      <c r="B8" s="942"/>
      <c r="C8" s="1127"/>
      <c r="D8" s="942"/>
      <c r="E8" s="898"/>
      <c r="F8" s="898"/>
      <c r="G8" s="974"/>
      <c r="H8" s="974"/>
      <c r="I8" s="974"/>
      <c r="J8" s="942"/>
      <c r="K8" s="974"/>
      <c r="L8" s="942"/>
      <c r="M8" s="942"/>
      <c r="N8" s="942"/>
      <c r="O8" s="1141"/>
      <c r="P8" s="974"/>
      <c r="Q8" s="974"/>
      <c r="R8" s="1127"/>
      <c r="S8" s="1127"/>
      <c r="T8" s="1220"/>
      <c r="U8" s="1220"/>
      <c r="V8" s="1220"/>
      <c r="W8" s="1220"/>
      <c r="X8" s="1220"/>
      <c r="Y8" s="1220"/>
      <c r="Z8" s="1108"/>
    </row>
    <row r="9" spans="1:26" ht="9.75" customHeight="1" x14ac:dyDescent="0.2">
      <c r="A9" s="1133"/>
      <c r="B9" s="942"/>
      <c r="C9" s="942"/>
      <c r="D9" s="942"/>
      <c r="E9" s="898"/>
      <c r="F9" s="898"/>
      <c r="G9" s="974"/>
      <c r="H9" s="942"/>
      <c r="I9" s="942"/>
      <c r="J9" s="942"/>
      <c r="K9" s="942"/>
      <c r="L9" s="942"/>
      <c r="M9" s="942"/>
      <c r="N9" s="942"/>
      <c r="O9" s="1141"/>
      <c r="P9" s="974"/>
      <c r="Q9" s="1141"/>
      <c r="R9" s="1255"/>
      <c r="S9" s="1220"/>
      <c r="T9" s="1220"/>
      <c r="U9" s="1220"/>
      <c r="V9" s="1220"/>
      <c r="W9" s="1220"/>
      <c r="X9" s="1220"/>
      <c r="Y9" s="1220"/>
      <c r="Z9" s="1108"/>
    </row>
    <row r="10" spans="1:26" ht="12" customHeight="1" x14ac:dyDescent="0.2">
      <c r="A10" s="944" t="s">
        <v>1</v>
      </c>
      <c r="B10" s="940"/>
      <c r="C10" s="940"/>
      <c r="D10" s="940"/>
      <c r="E10" s="896"/>
      <c r="F10" s="896"/>
      <c r="G10" s="1072"/>
      <c r="H10" s="940"/>
      <c r="I10" s="940"/>
      <c r="J10" s="940"/>
      <c r="K10" s="940"/>
      <c r="L10" s="940"/>
      <c r="M10" s="940"/>
      <c r="N10" s="940"/>
      <c r="O10" s="972"/>
      <c r="P10" s="1072"/>
      <c r="Q10" s="1072"/>
      <c r="R10" s="1888"/>
      <c r="S10" s="1888"/>
      <c r="T10" s="1650"/>
      <c r="U10" s="1650"/>
      <c r="V10" s="1650"/>
      <c r="W10" s="1650"/>
      <c r="X10" s="1650"/>
      <c r="Y10" s="1220"/>
      <c r="Z10" s="1108"/>
    </row>
    <row r="11" spans="1:26" ht="13.5" x14ac:dyDescent="0.2">
      <c r="A11" s="944" t="s">
        <v>2</v>
      </c>
      <c r="B11" s="945"/>
      <c r="C11" s="2306" t="s">
        <v>667</v>
      </c>
      <c r="D11" s="2307"/>
      <c r="E11" s="900"/>
      <c r="F11" s="902"/>
      <c r="G11" s="975"/>
      <c r="H11" s="975"/>
      <c r="I11" s="976"/>
      <c r="J11" s="975"/>
      <c r="K11" s="975"/>
      <c r="L11" s="975"/>
      <c r="M11" s="975"/>
      <c r="N11" s="977"/>
      <c r="O11" s="979"/>
      <c r="P11" s="981" t="s">
        <v>668</v>
      </c>
      <c r="Q11" s="981"/>
      <c r="R11" s="981" t="s">
        <v>551</v>
      </c>
      <c r="S11" s="982"/>
      <c r="T11" s="983"/>
      <c r="U11" s="984"/>
      <c r="V11" s="984"/>
      <c r="W11" s="984"/>
      <c r="X11" s="984"/>
      <c r="Y11" s="984"/>
      <c r="Z11" s="1147"/>
    </row>
    <row r="12" spans="1:26" x14ac:dyDescent="0.2">
      <c r="B12" s="945"/>
      <c r="C12" s="2308" t="s">
        <v>35</v>
      </c>
      <c r="D12" s="2305"/>
      <c r="E12" s="905"/>
      <c r="F12" s="906" t="s">
        <v>546</v>
      </c>
      <c r="G12" s="985" t="s">
        <v>547</v>
      </c>
      <c r="H12" s="985" t="s">
        <v>548</v>
      </c>
      <c r="I12" s="986" t="s">
        <v>549</v>
      </c>
      <c r="J12" s="985" t="s">
        <v>497</v>
      </c>
      <c r="K12" s="985" t="s">
        <v>496</v>
      </c>
      <c r="L12" s="985" t="s">
        <v>495</v>
      </c>
      <c r="M12" s="985" t="s">
        <v>494</v>
      </c>
      <c r="N12" s="987" t="s">
        <v>363</v>
      </c>
      <c r="O12" s="989"/>
      <c r="P12" s="985" t="s">
        <v>546</v>
      </c>
      <c r="Q12" s="985" t="s">
        <v>497</v>
      </c>
      <c r="R12" s="2310" t="s">
        <v>35</v>
      </c>
      <c r="S12" s="2311"/>
      <c r="T12" s="990"/>
      <c r="U12" s="987" t="s">
        <v>550</v>
      </c>
      <c r="V12" s="987" t="s">
        <v>498</v>
      </c>
      <c r="W12" s="987" t="s">
        <v>490</v>
      </c>
      <c r="X12" s="987" t="s">
        <v>360</v>
      </c>
      <c r="Y12" s="987" t="s">
        <v>342</v>
      </c>
      <c r="Z12" s="1147"/>
    </row>
    <row r="13" spans="1:26" x14ac:dyDescent="0.2">
      <c r="A13" s="946" t="s">
        <v>56</v>
      </c>
      <c r="B13" s="947"/>
      <c r="C13" s="1123"/>
      <c r="D13" s="1202"/>
      <c r="E13" s="918"/>
      <c r="F13" s="1080"/>
      <c r="G13" s="1148"/>
      <c r="H13" s="1148"/>
      <c r="I13" s="1149"/>
      <c r="J13" s="1148"/>
      <c r="K13" s="1148"/>
      <c r="L13" s="1148"/>
      <c r="M13" s="1148"/>
      <c r="N13" s="1150"/>
      <c r="O13" s="989"/>
      <c r="P13" s="1150"/>
      <c r="Q13" s="1148"/>
      <c r="R13" s="975"/>
      <c r="S13" s="976"/>
      <c r="T13" s="990"/>
      <c r="U13" s="1150"/>
      <c r="V13" s="1150"/>
      <c r="W13" s="1150"/>
      <c r="X13" s="1150"/>
      <c r="Y13" s="1150"/>
      <c r="Z13" s="1147"/>
    </row>
    <row r="14" spans="1:26" x14ac:dyDescent="0.2">
      <c r="A14" s="945"/>
      <c r="B14" s="1111" t="s">
        <v>81</v>
      </c>
      <c r="C14" s="1123">
        <v>-23128</v>
      </c>
      <c r="D14" s="1017">
        <v>-0.29798747648620094</v>
      </c>
      <c r="E14" s="917"/>
      <c r="F14" s="1094">
        <v>54486</v>
      </c>
      <c r="G14" s="1186">
        <v>83341</v>
      </c>
      <c r="H14" s="1186">
        <v>76972</v>
      </c>
      <c r="I14" s="1165">
        <v>45866</v>
      </c>
      <c r="J14" s="1186">
        <v>77614</v>
      </c>
      <c r="K14" s="1186">
        <v>75278</v>
      </c>
      <c r="L14" s="1186">
        <v>28830</v>
      </c>
      <c r="M14" s="1186">
        <v>34384</v>
      </c>
      <c r="N14" s="1123">
        <v>46243</v>
      </c>
      <c r="O14" s="1182"/>
      <c r="P14" s="1123">
        <v>260665</v>
      </c>
      <c r="Q14" s="1186">
        <v>216106</v>
      </c>
      <c r="R14" s="1186">
        <v>44559</v>
      </c>
      <c r="S14" s="1017">
        <v>0.20619048059748457</v>
      </c>
      <c r="T14" s="1188"/>
      <c r="U14" s="1285">
        <v>260665</v>
      </c>
      <c r="V14" s="1285">
        <v>216106</v>
      </c>
      <c r="W14" s="1285">
        <v>155411</v>
      </c>
      <c r="X14" s="1285">
        <v>131399</v>
      </c>
      <c r="Y14" s="1285">
        <v>204585</v>
      </c>
      <c r="Z14" s="1109"/>
    </row>
    <row r="15" spans="1:26" ht="13.5" customHeight="1" x14ac:dyDescent="0.2">
      <c r="A15" s="945"/>
      <c r="B15" s="1111" t="s">
        <v>633</v>
      </c>
      <c r="C15" s="1123">
        <v>-5908</v>
      </c>
      <c r="D15" s="1017">
        <v>-0.16978963099206806</v>
      </c>
      <c r="E15" s="917"/>
      <c r="F15" s="1086">
        <v>28888</v>
      </c>
      <c r="G15" s="1130">
        <v>38542</v>
      </c>
      <c r="H15" s="1130">
        <v>19568</v>
      </c>
      <c r="I15" s="1283">
        <v>21791</v>
      </c>
      <c r="J15" s="1130">
        <v>34796</v>
      </c>
      <c r="K15" s="1130">
        <v>32222</v>
      </c>
      <c r="L15" s="1130">
        <v>34669</v>
      </c>
      <c r="M15" s="1130">
        <v>26771</v>
      </c>
      <c r="N15" s="1270">
        <v>62190</v>
      </c>
      <c r="O15" s="1182"/>
      <c r="P15" s="1123">
        <v>108789</v>
      </c>
      <c r="Q15" s="1186">
        <v>128458</v>
      </c>
      <c r="R15" s="1186">
        <v>-19669</v>
      </c>
      <c r="S15" s="1017">
        <v>-0.15311619361970449</v>
      </c>
      <c r="T15" s="1188"/>
      <c r="U15" s="1285">
        <v>108789</v>
      </c>
      <c r="V15" s="1285">
        <v>128458</v>
      </c>
      <c r="W15" s="1285">
        <v>146812</v>
      </c>
      <c r="X15" s="1285">
        <v>145478</v>
      </c>
      <c r="Y15" s="1285">
        <v>155942</v>
      </c>
      <c r="Z15" s="1109"/>
    </row>
    <row r="16" spans="1:26" ht="12.75" customHeight="1" x14ac:dyDescent="0.2">
      <c r="A16" s="945"/>
      <c r="B16" s="1111" t="s">
        <v>183</v>
      </c>
      <c r="C16" s="1123">
        <v>5285</v>
      </c>
      <c r="D16" s="1017">
        <v>7.7540420786994926E-2</v>
      </c>
      <c r="E16" s="917"/>
      <c r="F16" s="1086">
        <v>73443</v>
      </c>
      <c r="G16" s="1130">
        <v>81208</v>
      </c>
      <c r="H16" s="1130">
        <v>72730</v>
      </c>
      <c r="I16" s="1283">
        <v>76206</v>
      </c>
      <c r="J16" s="1130">
        <v>68158</v>
      </c>
      <c r="K16" s="1130">
        <v>66603</v>
      </c>
      <c r="L16" s="1130">
        <v>46112</v>
      </c>
      <c r="M16" s="1130">
        <v>55069</v>
      </c>
      <c r="N16" s="1270">
        <v>64726</v>
      </c>
      <c r="O16" s="1182"/>
      <c r="P16" s="1123">
        <v>303587</v>
      </c>
      <c r="Q16" s="1186">
        <v>235942</v>
      </c>
      <c r="R16" s="1186">
        <v>67645</v>
      </c>
      <c r="S16" s="1017">
        <v>0.2867018165481347</v>
      </c>
      <c r="T16" s="1188"/>
      <c r="U16" s="1285">
        <v>303587</v>
      </c>
      <c r="V16" s="1285">
        <v>235942</v>
      </c>
      <c r="W16" s="1285">
        <v>234211</v>
      </c>
      <c r="X16" s="1285">
        <v>217411</v>
      </c>
      <c r="Y16" s="1285">
        <v>202972</v>
      </c>
      <c r="Z16" s="1109"/>
    </row>
    <row r="17" spans="1:26" ht="12.75" customHeight="1" x14ac:dyDescent="0.2">
      <c r="A17" s="945"/>
      <c r="B17" s="1111" t="s">
        <v>265</v>
      </c>
      <c r="C17" s="1123">
        <v>-16816</v>
      </c>
      <c r="D17" s="1017">
        <v>-0.83653367824097102</v>
      </c>
      <c r="E17" s="917"/>
      <c r="F17" s="1088">
        <v>3286</v>
      </c>
      <c r="G17" s="1170">
        <v>6296</v>
      </c>
      <c r="H17" s="1170">
        <v>9453</v>
      </c>
      <c r="I17" s="1293">
        <v>12331</v>
      </c>
      <c r="J17" s="1170">
        <v>20102</v>
      </c>
      <c r="K17" s="1170">
        <v>22117</v>
      </c>
      <c r="L17" s="1170">
        <v>9269</v>
      </c>
      <c r="M17" s="1170">
        <v>5534</v>
      </c>
      <c r="N17" s="1292">
        <v>20341</v>
      </c>
      <c r="O17" s="1182"/>
      <c r="P17" s="1214">
        <v>31366</v>
      </c>
      <c r="Q17" s="1212">
        <v>57022</v>
      </c>
      <c r="R17" s="1212">
        <v>-25656</v>
      </c>
      <c r="S17" s="1117">
        <v>-0.4499316053453053</v>
      </c>
      <c r="T17" s="1188"/>
      <c r="U17" s="1285">
        <v>31366</v>
      </c>
      <c r="V17" s="1324">
        <v>57022</v>
      </c>
      <c r="W17" s="1324">
        <v>59693</v>
      </c>
      <c r="X17" s="1324">
        <v>31138</v>
      </c>
      <c r="Y17" s="1285">
        <v>41608</v>
      </c>
      <c r="Z17" s="1109"/>
    </row>
    <row r="18" spans="1:26" ht="12.75" customHeight="1" x14ac:dyDescent="0.2">
      <c r="A18" s="947"/>
      <c r="B18" s="945"/>
      <c r="C18" s="1120">
        <v>-40567</v>
      </c>
      <c r="D18" s="1115">
        <v>-0.20215777146559027</v>
      </c>
      <c r="E18" s="917"/>
      <c r="F18" s="1094">
        <v>160103</v>
      </c>
      <c r="G18" s="1186">
        <v>209387</v>
      </c>
      <c r="H18" s="1186">
        <v>178723</v>
      </c>
      <c r="I18" s="1165">
        <v>156194</v>
      </c>
      <c r="J18" s="1186">
        <v>200670</v>
      </c>
      <c r="K18" s="1186">
        <v>196220</v>
      </c>
      <c r="L18" s="1186">
        <v>118880</v>
      </c>
      <c r="M18" s="1186">
        <v>121758</v>
      </c>
      <c r="N18" s="1123">
        <v>193500</v>
      </c>
      <c r="O18" s="1182"/>
      <c r="P18" s="1212">
        <v>704407</v>
      </c>
      <c r="Q18" s="1212">
        <v>637528</v>
      </c>
      <c r="R18" s="1212">
        <v>66879</v>
      </c>
      <c r="S18" s="1117">
        <v>0.10490362776223162</v>
      </c>
      <c r="T18" s="1188"/>
      <c r="U18" s="1277">
        <v>704407</v>
      </c>
      <c r="V18" s="1185">
        <v>637528</v>
      </c>
      <c r="W18" s="1185">
        <v>596127</v>
      </c>
      <c r="X18" s="1185">
        <v>525426</v>
      </c>
      <c r="Y18" s="1277">
        <v>605107</v>
      </c>
      <c r="Z18" s="1109"/>
    </row>
    <row r="19" spans="1:26" ht="12.75" customHeight="1" x14ac:dyDescent="0.2">
      <c r="A19" s="946" t="s">
        <v>5</v>
      </c>
      <c r="B19" s="945"/>
      <c r="C19" s="2160"/>
      <c r="D19" s="1135"/>
      <c r="E19" s="917"/>
      <c r="F19" s="1228"/>
      <c r="G19" s="1281"/>
      <c r="H19" s="1281"/>
      <c r="I19" s="1290"/>
      <c r="J19" s="1281"/>
      <c r="K19" s="1281"/>
      <c r="L19" s="1281"/>
      <c r="M19" s="1281"/>
      <c r="N19" s="1282"/>
      <c r="O19" s="1182"/>
      <c r="P19" s="2160"/>
      <c r="Q19" s="1308"/>
      <c r="R19" s="1308"/>
      <c r="S19" s="1135"/>
      <c r="T19" s="1188"/>
      <c r="U19" s="1267"/>
      <c r="V19" s="1285"/>
      <c r="W19" s="1285"/>
      <c r="X19" s="1285"/>
      <c r="Y19" s="1441"/>
      <c r="Z19" s="1109"/>
    </row>
    <row r="20" spans="1:26" ht="12.75" customHeight="1" x14ac:dyDescent="0.2">
      <c r="A20" s="947"/>
      <c r="B20" s="1111" t="s">
        <v>624</v>
      </c>
      <c r="C20" s="1123">
        <v>-16294</v>
      </c>
      <c r="D20" s="1017">
        <v>-0.15733114469173948</v>
      </c>
      <c r="E20" s="917"/>
      <c r="F20" s="1086">
        <v>87271</v>
      </c>
      <c r="G20" s="1130">
        <v>111231</v>
      </c>
      <c r="H20" s="1130">
        <v>95024</v>
      </c>
      <c r="I20" s="1283">
        <v>85940</v>
      </c>
      <c r="J20" s="1130">
        <v>103565</v>
      </c>
      <c r="K20" s="1130">
        <v>105801</v>
      </c>
      <c r="L20" s="1130">
        <v>69477</v>
      </c>
      <c r="M20" s="1130">
        <v>72612</v>
      </c>
      <c r="N20" s="1270">
        <v>101792</v>
      </c>
      <c r="O20" s="1182"/>
      <c r="P20" s="1186">
        <v>379466</v>
      </c>
      <c r="Q20" s="1186">
        <v>351455</v>
      </c>
      <c r="R20" s="1186">
        <v>28011</v>
      </c>
      <c r="S20" s="1017">
        <v>7.9700103853978466E-2</v>
      </c>
      <c r="T20" s="1188"/>
      <c r="U20" s="1285">
        <v>379466</v>
      </c>
      <c r="V20" s="1285">
        <v>351455</v>
      </c>
      <c r="W20" s="1285">
        <v>329220</v>
      </c>
      <c r="X20" s="1285">
        <v>302959</v>
      </c>
      <c r="Y20" s="1285">
        <v>329159</v>
      </c>
      <c r="Z20" s="1109"/>
    </row>
    <row r="21" spans="1:26" x14ac:dyDescent="0.2">
      <c r="A21" s="947"/>
      <c r="B21" s="1111" t="s">
        <v>61</v>
      </c>
      <c r="C21" s="1123">
        <v>298</v>
      </c>
      <c r="D21" s="1017">
        <v>4.7794707297514033E-2</v>
      </c>
      <c r="E21" s="917"/>
      <c r="F21" s="1086">
        <v>6533</v>
      </c>
      <c r="G21" s="1130">
        <v>6061</v>
      </c>
      <c r="H21" s="1130">
        <v>5664</v>
      </c>
      <c r="I21" s="1283">
        <v>5715</v>
      </c>
      <c r="J21" s="1130">
        <v>6235</v>
      </c>
      <c r="K21" s="1130">
        <v>6253</v>
      </c>
      <c r="L21" s="1130">
        <v>5919</v>
      </c>
      <c r="M21" s="1130">
        <v>6417</v>
      </c>
      <c r="N21" s="1270">
        <v>6456</v>
      </c>
      <c r="O21" s="1182"/>
      <c r="P21" s="1186">
        <v>23973</v>
      </c>
      <c r="Q21" s="1186">
        <v>24824</v>
      </c>
      <c r="R21" s="1186">
        <v>-851</v>
      </c>
      <c r="S21" s="1017">
        <v>-3.428134063809217E-2</v>
      </c>
      <c r="T21" s="1188"/>
      <c r="U21" s="1285">
        <v>23973</v>
      </c>
      <c r="V21" s="1285">
        <v>24824</v>
      </c>
      <c r="W21" s="1285">
        <v>25101</v>
      </c>
      <c r="X21" s="1285">
        <v>26814</v>
      </c>
      <c r="Y21" s="1285">
        <v>23897</v>
      </c>
      <c r="Z21" s="1109"/>
    </row>
    <row r="22" spans="1:26" x14ac:dyDescent="0.2">
      <c r="A22" s="947"/>
      <c r="B22" s="1111" t="s">
        <v>88</v>
      </c>
      <c r="C22" s="1123">
        <v>-1467</v>
      </c>
      <c r="D22" s="1017">
        <v>-9.0404880754298395E-2</v>
      </c>
      <c r="E22" s="917"/>
      <c r="F22" s="1086">
        <v>14760</v>
      </c>
      <c r="G22" s="1130">
        <v>20524</v>
      </c>
      <c r="H22" s="1130">
        <v>18901</v>
      </c>
      <c r="I22" s="1283">
        <v>15780</v>
      </c>
      <c r="J22" s="1130">
        <v>16227</v>
      </c>
      <c r="K22" s="1130">
        <v>13112</v>
      </c>
      <c r="L22" s="1130">
        <v>11368</v>
      </c>
      <c r="M22" s="1130">
        <v>13878</v>
      </c>
      <c r="N22" s="1270">
        <v>15019</v>
      </c>
      <c r="O22" s="1182"/>
      <c r="P22" s="1186">
        <v>69965</v>
      </c>
      <c r="Q22" s="1186">
        <v>54585</v>
      </c>
      <c r="R22" s="1186">
        <v>15380</v>
      </c>
      <c r="S22" s="1017">
        <v>0.28176238893468902</v>
      </c>
      <c r="T22" s="1188"/>
      <c r="U22" s="1285">
        <v>69965</v>
      </c>
      <c r="V22" s="1285">
        <v>54585</v>
      </c>
      <c r="W22" s="1285">
        <v>52975</v>
      </c>
      <c r="X22" s="1285">
        <v>48641</v>
      </c>
      <c r="Y22" s="1285">
        <v>49043</v>
      </c>
      <c r="Z22" s="1109"/>
    </row>
    <row r="23" spans="1:26" ht="12.75" customHeight="1" x14ac:dyDescent="0.2">
      <c r="A23" s="947"/>
      <c r="B23" s="1111" t="s">
        <v>63</v>
      </c>
      <c r="C23" s="1123">
        <v>-276</v>
      </c>
      <c r="D23" s="1017">
        <v>-4.5061224489795916E-2</v>
      </c>
      <c r="E23" s="917"/>
      <c r="F23" s="1086">
        <v>5849</v>
      </c>
      <c r="G23" s="1130">
        <v>6008</v>
      </c>
      <c r="H23" s="1130">
        <v>5742</v>
      </c>
      <c r="I23" s="1283">
        <v>5831</v>
      </c>
      <c r="J23" s="1130">
        <v>6125</v>
      </c>
      <c r="K23" s="1130">
        <v>5849</v>
      </c>
      <c r="L23" s="1130">
        <v>5776</v>
      </c>
      <c r="M23" s="1130">
        <v>6112</v>
      </c>
      <c r="N23" s="1270">
        <v>5886</v>
      </c>
      <c r="O23" s="1182"/>
      <c r="P23" s="1186">
        <v>23430</v>
      </c>
      <c r="Q23" s="1186">
        <v>23862</v>
      </c>
      <c r="R23" s="1186">
        <v>-432</v>
      </c>
      <c r="S23" s="1017">
        <v>-1.8104098566758865E-2</v>
      </c>
      <c r="T23" s="1188"/>
      <c r="U23" s="1285">
        <v>23430</v>
      </c>
      <c r="V23" s="1285">
        <v>23862</v>
      </c>
      <c r="W23" s="1285">
        <v>23458</v>
      </c>
      <c r="X23" s="1285">
        <v>24980</v>
      </c>
      <c r="Y23" s="1285">
        <v>23992</v>
      </c>
      <c r="Z23" s="1109"/>
    </row>
    <row r="24" spans="1:26" ht="12.75" customHeight="1" x14ac:dyDescent="0.2">
      <c r="A24" s="947"/>
      <c r="B24" s="1036" t="s">
        <v>64</v>
      </c>
      <c r="C24" s="1123">
        <v>1576</v>
      </c>
      <c r="D24" s="1017">
        <v>0.17933545744196633</v>
      </c>
      <c r="E24" s="917"/>
      <c r="F24" s="1086">
        <v>10364</v>
      </c>
      <c r="G24" s="1130">
        <v>10644</v>
      </c>
      <c r="H24" s="1130">
        <v>8451</v>
      </c>
      <c r="I24" s="1283">
        <v>8868</v>
      </c>
      <c r="J24" s="1130">
        <v>8788</v>
      </c>
      <c r="K24" s="1130">
        <v>9400</v>
      </c>
      <c r="L24" s="1130">
        <v>9656</v>
      </c>
      <c r="M24" s="1130">
        <v>8563</v>
      </c>
      <c r="N24" s="1270">
        <v>8785</v>
      </c>
      <c r="O24" s="1182"/>
      <c r="P24" s="1186">
        <v>38327</v>
      </c>
      <c r="Q24" s="1186">
        <v>36407</v>
      </c>
      <c r="R24" s="1186">
        <v>1920</v>
      </c>
      <c r="S24" s="1017">
        <v>5.2737110995138295E-2</v>
      </c>
      <c r="T24" s="1188"/>
      <c r="U24" s="1285">
        <v>38327</v>
      </c>
      <c r="V24" s="1285">
        <v>36407</v>
      </c>
      <c r="W24" s="1285">
        <v>35592</v>
      </c>
      <c r="X24" s="1285">
        <v>37390</v>
      </c>
      <c r="Y24" s="1285">
        <v>34413</v>
      </c>
      <c r="Z24" s="1109"/>
    </row>
    <row r="25" spans="1:26" ht="12.75" customHeight="1" x14ac:dyDescent="0.2">
      <c r="A25" s="947"/>
      <c r="B25" s="1036" t="s">
        <v>59</v>
      </c>
      <c r="C25" s="1123">
        <v>-420</v>
      </c>
      <c r="D25" s="1017">
        <v>-0.16104294478527606</v>
      </c>
      <c r="E25" s="917"/>
      <c r="F25" s="1086">
        <v>2188</v>
      </c>
      <c r="G25" s="1130">
        <v>2422</v>
      </c>
      <c r="H25" s="1130">
        <v>2466</v>
      </c>
      <c r="I25" s="1283">
        <v>2694</v>
      </c>
      <c r="J25" s="1130">
        <v>2608</v>
      </c>
      <c r="K25" s="1130">
        <v>1876</v>
      </c>
      <c r="L25" s="1130">
        <v>2367</v>
      </c>
      <c r="M25" s="1130">
        <v>2576</v>
      </c>
      <c r="N25" s="1270">
        <v>2489</v>
      </c>
      <c r="O25" s="1182"/>
      <c r="P25" s="1186">
        <v>9770</v>
      </c>
      <c r="Q25" s="1186">
        <v>9427</v>
      </c>
      <c r="R25" s="1186">
        <v>343</v>
      </c>
      <c r="S25" s="1017">
        <v>3.6384852020791343E-2</v>
      </c>
      <c r="T25" s="1188"/>
      <c r="U25" s="1285">
        <v>9770</v>
      </c>
      <c r="V25" s="1285">
        <v>9427</v>
      </c>
      <c r="W25" s="1285">
        <v>9654</v>
      </c>
      <c r="X25" s="1285">
        <v>8484</v>
      </c>
      <c r="Y25" s="1285">
        <v>11427</v>
      </c>
      <c r="Z25" s="1109"/>
    </row>
    <row r="26" spans="1:26" ht="12.75" customHeight="1" x14ac:dyDescent="0.2">
      <c r="A26" s="947"/>
      <c r="B26" s="1036" t="s">
        <v>65</v>
      </c>
      <c r="C26" s="1123">
        <v>840</v>
      </c>
      <c r="D26" s="1017">
        <v>5.8232235701906415E-2</v>
      </c>
      <c r="E26" s="917"/>
      <c r="F26" s="1086">
        <v>15265</v>
      </c>
      <c r="G26" s="1130">
        <v>14545</v>
      </c>
      <c r="H26" s="1130">
        <v>11848</v>
      </c>
      <c r="I26" s="1283">
        <v>12001</v>
      </c>
      <c r="J26" s="1130">
        <v>14425</v>
      </c>
      <c r="K26" s="1130">
        <v>13126</v>
      </c>
      <c r="L26" s="1130">
        <v>10160</v>
      </c>
      <c r="M26" s="1130">
        <v>11133</v>
      </c>
      <c r="N26" s="1270">
        <v>8398</v>
      </c>
      <c r="O26" s="1182"/>
      <c r="P26" s="1186">
        <v>53659</v>
      </c>
      <c r="Q26" s="1186">
        <v>48844</v>
      </c>
      <c r="R26" s="1186">
        <v>4815</v>
      </c>
      <c r="S26" s="1017">
        <v>9.8579149946769307E-2</v>
      </c>
      <c r="T26" s="1188"/>
      <c r="U26" s="1285">
        <v>53659</v>
      </c>
      <c r="V26" s="1285">
        <v>48844</v>
      </c>
      <c r="W26" s="1285">
        <v>43090</v>
      </c>
      <c r="X26" s="1285">
        <v>51427</v>
      </c>
      <c r="Y26" s="1285">
        <v>55576</v>
      </c>
      <c r="Z26" s="1109"/>
    </row>
    <row r="27" spans="1:26" ht="12.75" customHeight="1" x14ac:dyDescent="0.2">
      <c r="A27" s="947"/>
      <c r="B27" s="1036" t="s">
        <v>66</v>
      </c>
      <c r="C27" s="1123">
        <v>-647</v>
      </c>
      <c r="D27" s="1017">
        <v>-0.28253275109170306</v>
      </c>
      <c r="E27" s="917"/>
      <c r="F27" s="1086">
        <v>1643</v>
      </c>
      <c r="G27" s="1130">
        <v>1633</v>
      </c>
      <c r="H27" s="1130">
        <v>1841</v>
      </c>
      <c r="I27" s="1283">
        <v>2057</v>
      </c>
      <c r="J27" s="1130">
        <v>2290</v>
      </c>
      <c r="K27" s="1130">
        <v>2308</v>
      </c>
      <c r="L27" s="1130">
        <v>2433</v>
      </c>
      <c r="M27" s="1130">
        <v>2410</v>
      </c>
      <c r="N27" s="1270">
        <v>2608</v>
      </c>
      <c r="O27" s="1182"/>
      <c r="P27" s="1186">
        <v>7174</v>
      </c>
      <c r="Q27" s="1186">
        <v>9441</v>
      </c>
      <c r="R27" s="1186">
        <v>-2267</v>
      </c>
      <c r="S27" s="1017">
        <v>-0.2401228683402182</v>
      </c>
      <c r="T27" s="1188"/>
      <c r="U27" s="1285">
        <v>7174</v>
      </c>
      <c r="V27" s="1285">
        <v>9441</v>
      </c>
      <c r="W27" s="1285">
        <v>10544</v>
      </c>
      <c r="X27" s="1285">
        <v>13500</v>
      </c>
      <c r="Y27" s="1285">
        <v>14975</v>
      </c>
      <c r="Z27" s="1109"/>
    </row>
    <row r="28" spans="1:26" x14ac:dyDescent="0.2">
      <c r="A28" s="945"/>
      <c r="B28" s="1036" t="s">
        <v>67</v>
      </c>
      <c r="C28" s="1123">
        <v>-74</v>
      </c>
      <c r="D28" s="1017">
        <v>-0.34101382488479265</v>
      </c>
      <c r="E28" s="917"/>
      <c r="F28" s="1086">
        <v>143</v>
      </c>
      <c r="G28" s="1130">
        <v>135</v>
      </c>
      <c r="H28" s="1130">
        <v>120</v>
      </c>
      <c r="I28" s="1283">
        <v>54</v>
      </c>
      <c r="J28" s="1130">
        <v>217</v>
      </c>
      <c r="K28" s="1130">
        <v>88</v>
      </c>
      <c r="L28" s="1130">
        <v>256</v>
      </c>
      <c r="M28" s="1130">
        <v>129</v>
      </c>
      <c r="N28" s="1270">
        <v>436</v>
      </c>
      <c r="O28" s="1182"/>
      <c r="P28" s="1186">
        <v>452</v>
      </c>
      <c r="Q28" s="1186">
        <v>690</v>
      </c>
      <c r="R28" s="1186">
        <v>-238</v>
      </c>
      <c r="S28" s="1017">
        <v>-0.34492753623188405</v>
      </c>
      <c r="T28" s="1188"/>
      <c r="U28" s="1285">
        <v>452</v>
      </c>
      <c r="V28" s="1285">
        <v>690</v>
      </c>
      <c r="W28" s="1285">
        <v>2616</v>
      </c>
      <c r="X28" s="1285">
        <v>8082</v>
      </c>
      <c r="Y28" s="1285">
        <v>9330</v>
      </c>
      <c r="Z28" s="1109"/>
    </row>
    <row r="29" spans="1:26" ht="12.75" customHeight="1" x14ac:dyDescent="0.2">
      <c r="A29" s="947"/>
      <c r="B29" s="945" t="s">
        <v>149</v>
      </c>
      <c r="C29" s="1123">
        <v>11754</v>
      </c>
      <c r="D29" s="1017" t="s">
        <v>38</v>
      </c>
      <c r="E29" s="917"/>
      <c r="F29" s="1086">
        <v>11754</v>
      </c>
      <c r="G29" s="1130">
        <v>0</v>
      </c>
      <c r="H29" s="1130">
        <v>0</v>
      </c>
      <c r="I29" s="1283">
        <v>1316</v>
      </c>
      <c r="J29" s="1130">
        <v>0</v>
      </c>
      <c r="K29" s="1130">
        <v>0</v>
      </c>
      <c r="L29" s="1130">
        <v>4256</v>
      </c>
      <c r="M29" s="1130">
        <v>448</v>
      </c>
      <c r="N29" s="1270">
        <v>0</v>
      </c>
      <c r="O29" s="1182"/>
      <c r="P29" s="1186">
        <v>13070</v>
      </c>
      <c r="Q29" s="1186">
        <v>4704</v>
      </c>
      <c r="R29" s="1186">
        <v>8366</v>
      </c>
      <c r="S29" s="1017">
        <v>1.7784863945578231</v>
      </c>
      <c r="T29" s="1188"/>
      <c r="U29" s="1285">
        <v>13070</v>
      </c>
      <c r="V29" s="1285">
        <v>4704</v>
      </c>
      <c r="W29" s="1285">
        <v>0</v>
      </c>
      <c r="X29" s="1285">
        <v>8810</v>
      </c>
      <c r="Y29" s="1285">
        <v>20497</v>
      </c>
      <c r="Z29" s="1109"/>
    </row>
    <row r="30" spans="1:26" ht="12.75" customHeight="1" x14ac:dyDescent="0.2">
      <c r="A30" s="945"/>
      <c r="B30" s="945" t="s">
        <v>169</v>
      </c>
      <c r="C30" s="1123">
        <v>803</v>
      </c>
      <c r="D30" s="1017" t="s">
        <v>38</v>
      </c>
      <c r="E30" s="917"/>
      <c r="F30" s="1086">
        <v>803</v>
      </c>
      <c r="G30" s="1086">
        <v>0</v>
      </c>
      <c r="H30" s="1086">
        <v>0</v>
      </c>
      <c r="I30" s="1283">
        <v>1173</v>
      </c>
      <c r="J30" s="1130">
        <v>0</v>
      </c>
      <c r="K30" s="1130">
        <v>0</v>
      </c>
      <c r="L30" s="1130">
        <v>0</v>
      </c>
      <c r="M30" s="1130">
        <v>0</v>
      </c>
      <c r="N30" s="1270">
        <v>0</v>
      </c>
      <c r="O30" s="1182"/>
      <c r="P30" s="1186">
        <v>1976</v>
      </c>
      <c r="Q30" s="1186">
        <v>0</v>
      </c>
      <c r="R30" s="1186">
        <v>1976</v>
      </c>
      <c r="S30" s="1283" t="s">
        <v>38</v>
      </c>
      <c r="T30" s="1123"/>
      <c r="U30" s="1285">
        <v>1976</v>
      </c>
      <c r="V30" s="1285">
        <v>0</v>
      </c>
      <c r="W30" s="1285">
        <v>0</v>
      </c>
      <c r="X30" s="1285">
        <v>0</v>
      </c>
      <c r="Y30" s="1285">
        <v>0</v>
      </c>
      <c r="Z30" s="1109"/>
    </row>
    <row r="31" spans="1:26" ht="13.5" x14ac:dyDescent="0.2">
      <c r="A31" s="945"/>
      <c r="B31" s="1126" t="s">
        <v>625</v>
      </c>
      <c r="C31" s="1123">
        <v>-42399</v>
      </c>
      <c r="D31" s="1017">
        <v>-1</v>
      </c>
      <c r="E31" s="917"/>
      <c r="F31" s="1086">
        <v>0</v>
      </c>
      <c r="G31" s="1130">
        <v>0</v>
      </c>
      <c r="H31" s="1130">
        <v>0</v>
      </c>
      <c r="I31" s="1283">
        <v>0</v>
      </c>
      <c r="J31" s="1130">
        <v>42399</v>
      </c>
      <c r="K31" s="1130"/>
      <c r="L31" s="1130"/>
      <c r="M31" s="1130"/>
      <c r="N31" s="1270"/>
      <c r="O31" s="1182"/>
      <c r="P31" s="1186">
        <v>0</v>
      </c>
      <c r="Q31" s="1186">
        <v>42399</v>
      </c>
      <c r="R31" s="1186">
        <v>-42399</v>
      </c>
      <c r="S31" s="1283">
        <v>0</v>
      </c>
      <c r="T31" s="1186"/>
      <c r="U31" s="1285">
        <v>0</v>
      </c>
      <c r="V31" s="1285">
        <v>42399</v>
      </c>
      <c r="W31" s="1285">
        <v>0</v>
      </c>
      <c r="X31" s="1285">
        <v>0</v>
      </c>
      <c r="Y31" s="1285">
        <v>0</v>
      </c>
      <c r="Z31" s="1109"/>
    </row>
    <row r="32" spans="1:26" x14ac:dyDescent="0.2">
      <c r="A32" s="945"/>
      <c r="B32" s="945" t="s">
        <v>361</v>
      </c>
      <c r="C32" s="1123">
        <v>0</v>
      </c>
      <c r="D32" s="1017">
        <v>0</v>
      </c>
      <c r="E32" s="917"/>
      <c r="F32" s="1086">
        <v>0</v>
      </c>
      <c r="G32" s="1130">
        <v>0</v>
      </c>
      <c r="H32" s="1130">
        <v>0</v>
      </c>
      <c r="I32" s="1283">
        <v>0</v>
      </c>
      <c r="J32" s="1130">
        <v>0</v>
      </c>
      <c r="K32" s="1130">
        <v>0</v>
      </c>
      <c r="L32" s="1130">
        <v>0</v>
      </c>
      <c r="M32" s="1130">
        <v>0</v>
      </c>
      <c r="N32" s="1270">
        <v>0</v>
      </c>
      <c r="O32" s="1182"/>
      <c r="P32" s="1186">
        <v>0</v>
      </c>
      <c r="Q32" s="1186">
        <v>0</v>
      </c>
      <c r="R32" s="1186">
        <v>0</v>
      </c>
      <c r="S32" s="1283">
        <v>0</v>
      </c>
      <c r="T32" s="1186"/>
      <c r="U32" s="1285">
        <v>0</v>
      </c>
      <c r="V32" s="1324">
        <v>0</v>
      </c>
      <c r="W32" s="1324">
        <v>0</v>
      </c>
      <c r="X32" s="1324">
        <v>295157</v>
      </c>
      <c r="Y32" s="1324">
        <v>0</v>
      </c>
      <c r="Z32" s="1109"/>
    </row>
    <row r="33" spans="1:26" ht="12.75" customHeight="1" x14ac:dyDescent="0.2">
      <c r="A33" s="947"/>
      <c r="B33" s="945"/>
      <c r="C33" s="1120">
        <v>-46306</v>
      </c>
      <c r="D33" s="1115">
        <v>-0.22824442155176239</v>
      </c>
      <c r="E33" s="917"/>
      <c r="F33" s="1096">
        <v>156573</v>
      </c>
      <c r="G33" s="1192">
        <v>173203</v>
      </c>
      <c r="H33" s="1192">
        <v>150057</v>
      </c>
      <c r="I33" s="1193">
        <v>141429</v>
      </c>
      <c r="J33" s="1192">
        <v>202879</v>
      </c>
      <c r="K33" s="1192">
        <v>157813</v>
      </c>
      <c r="L33" s="1192">
        <v>121668</v>
      </c>
      <c r="M33" s="1192">
        <v>124278</v>
      </c>
      <c r="N33" s="1120">
        <v>151869</v>
      </c>
      <c r="O33" s="1182"/>
      <c r="P33" s="1192">
        <v>621262</v>
      </c>
      <c r="Q33" s="1192">
        <v>606638</v>
      </c>
      <c r="R33" s="1192">
        <v>14624</v>
      </c>
      <c r="S33" s="1115">
        <v>2.4106633610159602E-2</v>
      </c>
      <c r="T33" s="1186"/>
      <c r="U33" s="1277">
        <v>621262</v>
      </c>
      <c r="V33" s="1185">
        <v>606638</v>
      </c>
      <c r="W33" s="1185">
        <v>532250</v>
      </c>
      <c r="X33" s="1185">
        <v>826244</v>
      </c>
      <c r="Y33" s="1267">
        <v>572309</v>
      </c>
      <c r="Z33" s="1109"/>
    </row>
    <row r="34" spans="1:26" s="1772" customFormat="1" ht="21.75" customHeight="1" x14ac:dyDescent="0.2">
      <c r="A34" s="1716" t="s">
        <v>634</v>
      </c>
      <c r="B34" s="1036"/>
      <c r="C34" s="1120">
        <v>5739</v>
      </c>
      <c r="D34" s="1115">
        <v>-2.5980081484834767</v>
      </c>
      <c r="E34" s="917"/>
      <c r="F34" s="1225">
        <v>3530</v>
      </c>
      <c r="G34" s="1269">
        <v>36184</v>
      </c>
      <c r="H34" s="1269">
        <v>28666</v>
      </c>
      <c r="I34" s="1274">
        <v>14765</v>
      </c>
      <c r="J34" s="1269">
        <v>-2209</v>
      </c>
      <c r="K34" s="1269">
        <v>38407</v>
      </c>
      <c r="L34" s="1269">
        <v>-2788</v>
      </c>
      <c r="M34" s="1269">
        <v>-2520</v>
      </c>
      <c r="N34" s="1275">
        <v>41631</v>
      </c>
      <c r="O34" s="1182"/>
      <c r="P34" s="1281">
        <v>83145</v>
      </c>
      <c r="Q34" s="1281">
        <v>30890</v>
      </c>
      <c r="R34" s="1308">
        <v>52255</v>
      </c>
      <c r="S34" s="1135">
        <v>1.6916477824538685</v>
      </c>
      <c r="T34" s="2175"/>
      <c r="U34" s="1285">
        <v>83145</v>
      </c>
      <c r="V34" s="1277">
        <v>30890</v>
      </c>
      <c r="W34" s="1277">
        <v>63877</v>
      </c>
      <c r="X34" s="1277">
        <v>-300818</v>
      </c>
      <c r="Y34" s="1277">
        <v>32798</v>
      </c>
      <c r="Z34" s="1279"/>
    </row>
    <row r="35" spans="1:26" s="1575" customFormat="1" ht="10.5" customHeight="1" x14ac:dyDescent="0.2">
      <c r="A35" s="1239"/>
      <c r="B35" s="1906"/>
      <c r="C35" s="2160"/>
      <c r="D35" s="1135"/>
      <c r="E35" s="917"/>
      <c r="F35" s="1700"/>
      <c r="G35" s="1281"/>
      <c r="H35" s="1281"/>
      <c r="I35" s="1290"/>
      <c r="J35" s="1281"/>
      <c r="K35" s="1281"/>
      <c r="L35" s="1281"/>
      <c r="M35" s="1281"/>
      <c r="N35" s="1282"/>
      <c r="O35" s="1270"/>
      <c r="P35" s="1282"/>
      <c r="Q35" s="1281"/>
      <c r="R35" s="2160"/>
      <c r="S35" s="1135"/>
      <c r="T35" s="1130"/>
      <c r="U35" s="1267"/>
      <c r="V35" s="1267"/>
      <c r="W35" s="1267"/>
      <c r="X35" s="1267"/>
      <c r="Y35" s="1267"/>
      <c r="Z35" s="1286"/>
    </row>
    <row r="36" spans="1:26" s="1575" customFormat="1" ht="12.75" customHeight="1" x14ac:dyDescent="0.2">
      <c r="A36" s="1716" t="s">
        <v>635</v>
      </c>
      <c r="B36" s="1952"/>
      <c r="C36" s="1123"/>
      <c r="D36" s="1017"/>
      <c r="E36" s="917"/>
      <c r="F36" s="1654"/>
      <c r="G36" s="1130"/>
      <c r="H36" s="1130"/>
      <c r="I36" s="1283"/>
      <c r="J36" s="1130"/>
      <c r="K36" s="1130"/>
      <c r="L36" s="1130"/>
      <c r="M36" s="1130"/>
      <c r="N36" s="1270"/>
      <c r="O36" s="1270"/>
      <c r="P36" s="1270"/>
      <c r="Q36" s="1130"/>
      <c r="R36" s="1123"/>
      <c r="S36" s="1017"/>
      <c r="T36" s="1130"/>
      <c r="U36" s="1285"/>
      <c r="V36" s="1285"/>
      <c r="W36" s="1285"/>
      <c r="X36" s="1285"/>
      <c r="Y36" s="1285"/>
      <c r="Z36" s="1286"/>
    </row>
    <row r="37" spans="1:26" s="1575" customFormat="1" ht="12.75" customHeight="1" x14ac:dyDescent="0.2">
      <c r="A37" s="946" t="s">
        <v>56</v>
      </c>
      <c r="B37" s="1906"/>
      <c r="C37" s="1123">
        <v>-73</v>
      </c>
      <c r="D37" s="1017" t="s">
        <v>38</v>
      </c>
      <c r="E37" s="917"/>
      <c r="F37" s="1086">
        <v>-56</v>
      </c>
      <c r="G37" s="1130">
        <v>-14</v>
      </c>
      <c r="H37" s="1130">
        <v>11</v>
      </c>
      <c r="I37" s="1283">
        <v>-22</v>
      </c>
      <c r="J37" s="1130">
        <v>17</v>
      </c>
      <c r="K37" s="1130">
        <v>-17</v>
      </c>
      <c r="L37" s="1130">
        <v>0</v>
      </c>
      <c r="M37" s="1130">
        <v>28</v>
      </c>
      <c r="N37" s="1270">
        <v>20</v>
      </c>
      <c r="O37" s="1270"/>
      <c r="P37" s="1123">
        <v>-81</v>
      </c>
      <c r="Q37" s="1186">
        <v>28</v>
      </c>
      <c r="R37" s="1123">
        <v>-109</v>
      </c>
      <c r="S37" s="1017" t="s">
        <v>38</v>
      </c>
      <c r="T37" s="1130"/>
      <c r="U37" s="1285">
        <v>-81</v>
      </c>
      <c r="V37" s="1285">
        <v>28</v>
      </c>
      <c r="W37" s="1285">
        <v>2264</v>
      </c>
      <c r="X37" s="1285">
        <v>6844</v>
      </c>
      <c r="Y37" s="1285">
        <v>7998</v>
      </c>
      <c r="Z37" s="1286"/>
    </row>
    <row r="38" spans="1:26" s="1575" customFormat="1" ht="12.75" customHeight="1" x14ac:dyDescent="0.2">
      <c r="A38" s="946" t="s">
        <v>5</v>
      </c>
      <c r="B38" s="1906"/>
      <c r="C38" s="1123"/>
      <c r="D38" s="1241"/>
      <c r="E38" s="917"/>
      <c r="F38" s="1086"/>
      <c r="G38" s="1130"/>
      <c r="H38" s="1130"/>
      <c r="I38" s="1283"/>
      <c r="J38" s="1130"/>
      <c r="K38" s="1130"/>
      <c r="L38" s="1130"/>
      <c r="M38" s="1130"/>
      <c r="N38" s="1270"/>
      <c r="O38" s="1270"/>
      <c r="P38" s="1270"/>
      <c r="Q38" s="1130"/>
      <c r="R38" s="1123"/>
      <c r="S38" s="1241"/>
      <c r="T38" s="1130"/>
      <c r="U38" s="1285"/>
      <c r="V38" s="1285">
        <v>0</v>
      </c>
      <c r="W38" s="1285">
        <v>0</v>
      </c>
      <c r="X38" s="1285"/>
      <c r="Y38" s="1285"/>
      <c r="Z38" s="1286"/>
    </row>
    <row r="39" spans="1:26" s="1575" customFormat="1" ht="12.75" customHeight="1" x14ac:dyDescent="0.2">
      <c r="A39" s="946"/>
      <c r="B39" s="1111" t="s">
        <v>624</v>
      </c>
      <c r="C39" s="1123">
        <v>73</v>
      </c>
      <c r="D39" s="1017" t="s">
        <v>38</v>
      </c>
      <c r="E39" s="917"/>
      <c r="F39" s="1086">
        <v>73</v>
      </c>
      <c r="G39" s="1130">
        <v>72</v>
      </c>
      <c r="H39" s="1130">
        <v>59</v>
      </c>
      <c r="I39" s="1283">
        <v>44</v>
      </c>
      <c r="J39" s="1130">
        <v>0</v>
      </c>
      <c r="K39" s="1130">
        <v>1</v>
      </c>
      <c r="L39" s="1130">
        <v>-175</v>
      </c>
      <c r="M39" s="1130">
        <v>177</v>
      </c>
      <c r="N39" s="1270">
        <v>53</v>
      </c>
      <c r="O39" s="1270"/>
      <c r="P39" s="1123">
        <v>248</v>
      </c>
      <c r="Q39" s="1186">
        <v>3</v>
      </c>
      <c r="R39" s="1123">
        <v>245</v>
      </c>
      <c r="S39" s="1017" t="s">
        <v>38</v>
      </c>
      <c r="T39" s="1130"/>
      <c r="U39" s="1285">
        <v>248</v>
      </c>
      <c r="V39" s="1285">
        <v>3</v>
      </c>
      <c r="W39" s="1285">
        <v>1092</v>
      </c>
      <c r="X39" s="1285">
        <v>4529</v>
      </c>
      <c r="Y39" s="1285">
        <v>6357</v>
      </c>
      <c r="Z39" s="1286"/>
    </row>
    <row r="40" spans="1:26" s="1575" customFormat="1" ht="12.75" customHeight="1" x14ac:dyDescent="0.2">
      <c r="A40" s="946"/>
      <c r="B40" s="1111" t="s">
        <v>61</v>
      </c>
      <c r="C40" s="1123">
        <v>-21</v>
      </c>
      <c r="D40" s="1017">
        <v>-0.12727272727272726</v>
      </c>
      <c r="E40" s="917"/>
      <c r="F40" s="1086">
        <v>144</v>
      </c>
      <c r="G40" s="1130">
        <v>138</v>
      </c>
      <c r="H40" s="1130">
        <v>137</v>
      </c>
      <c r="I40" s="1283">
        <v>141</v>
      </c>
      <c r="J40" s="1130">
        <v>165</v>
      </c>
      <c r="K40" s="1130">
        <v>164</v>
      </c>
      <c r="L40" s="1130">
        <v>205</v>
      </c>
      <c r="M40" s="1130">
        <v>154</v>
      </c>
      <c r="N40" s="1270">
        <v>173</v>
      </c>
      <c r="O40" s="1270"/>
      <c r="P40" s="1123">
        <v>560</v>
      </c>
      <c r="Q40" s="1186">
        <v>688</v>
      </c>
      <c r="R40" s="1123">
        <v>-128</v>
      </c>
      <c r="S40" s="1017">
        <v>-0.18604651162790697</v>
      </c>
      <c r="T40" s="1130"/>
      <c r="U40" s="1285">
        <v>560</v>
      </c>
      <c r="V40" s="1285">
        <v>688</v>
      </c>
      <c r="W40" s="1285">
        <v>997</v>
      </c>
      <c r="X40" s="1285">
        <v>1711</v>
      </c>
      <c r="Y40" s="1285">
        <v>1756</v>
      </c>
      <c r="Z40" s="1286"/>
    </row>
    <row r="41" spans="1:26" s="1575" customFormat="1" ht="12.75" customHeight="1" x14ac:dyDescent="0.2">
      <c r="A41" s="946"/>
      <c r="B41" s="1118" t="s">
        <v>66</v>
      </c>
      <c r="C41" s="1123">
        <v>1</v>
      </c>
      <c r="D41" s="1017">
        <v>0.16666666666666666</v>
      </c>
      <c r="E41" s="917"/>
      <c r="F41" s="1086">
        <v>7</v>
      </c>
      <c r="G41" s="1130">
        <v>6</v>
      </c>
      <c r="H41" s="1130">
        <v>6</v>
      </c>
      <c r="I41" s="1283">
        <v>6</v>
      </c>
      <c r="J41" s="1130">
        <v>6</v>
      </c>
      <c r="K41" s="1130">
        <v>4</v>
      </c>
      <c r="L41" s="1130">
        <v>5</v>
      </c>
      <c r="M41" s="1130">
        <v>8</v>
      </c>
      <c r="N41" s="1270">
        <v>6</v>
      </c>
      <c r="O41" s="1270"/>
      <c r="P41" s="1123">
        <v>25</v>
      </c>
      <c r="Q41" s="1186">
        <v>23</v>
      </c>
      <c r="R41" s="1123">
        <v>2</v>
      </c>
      <c r="S41" s="1017">
        <v>8.6956521739130432E-2</v>
      </c>
      <c r="T41" s="1130"/>
      <c r="U41" s="1285">
        <v>25</v>
      </c>
      <c r="V41" s="1285">
        <v>23</v>
      </c>
      <c r="W41" s="1285">
        <v>107</v>
      </c>
      <c r="X41" s="1285">
        <v>415</v>
      </c>
      <c r="Y41" s="1285">
        <v>442</v>
      </c>
      <c r="Z41" s="1286"/>
    </row>
    <row r="42" spans="1:26" s="1575" customFormat="1" ht="12.75" customHeight="1" x14ac:dyDescent="0.2">
      <c r="A42" s="946"/>
      <c r="B42" s="945" t="s">
        <v>149</v>
      </c>
      <c r="C42" s="1123">
        <v>0</v>
      </c>
      <c r="D42" s="1017">
        <v>0</v>
      </c>
      <c r="E42" s="917"/>
      <c r="F42" s="1086">
        <v>0</v>
      </c>
      <c r="G42" s="1130">
        <v>0</v>
      </c>
      <c r="H42" s="1130">
        <v>0</v>
      </c>
      <c r="I42" s="1283">
        <v>0</v>
      </c>
      <c r="J42" s="1130">
        <v>0</v>
      </c>
      <c r="K42" s="1130">
        <v>0</v>
      </c>
      <c r="L42" s="1130">
        <v>0</v>
      </c>
      <c r="M42" s="1130">
        <v>0</v>
      </c>
      <c r="N42" s="1270">
        <v>0</v>
      </c>
      <c r="O42" s="1270"/>
      <c r="P42" s="1123">
        <v>0</v>
      </c>
      <c r="Q42" s="1186">
        <v>0</v>
      </c>
      <c r="R42" s="1123">
        <v>0</v>
      </c>
      <c r="S42" s="1283">
        <v>0</v>
      </c>
      <c r="T42" s="1130"/>
      <c r="U42" s="1285">
        <v>0</v>
      </c>
      <c r="V42" s="1285">
        <v>0</v>
      </c>
      <c r="W42" s="1285">
        <v>0</v>
      </c>
      <c r="X42" s="1285">
        <v>2495</v>
      </c>
      <c r="Y42" s="1285">
        <v>500</v>
      </c>
      <c r="Z42" s="1286"/>
    </row>
    <row r="43" spans="1:26" s="1575" customFormat="1" ht="12.75" customHeight="1" x14ac:dyDescent="0.2">
      <c r="A43" s="946"/>
      <c r="B43" s="945" t="s">
        <v>361</v>
      </c>
      <c r="C43" s="1123">
        <v>0</v>
      </c>
      <c r="D43" s="1017">
        <v>0</v>
      </c>
      <c r="E43" s="917"/>
      <c r="F43" s="1086">
        <v>0</v>
      </c>
      <c r="G43" s="1130">
        <v>0</v>
      </c>
      <c r="H43" s="1130">
        <v>0</v>
      </c>
      <c r="I43" s="1283">
        <v>0</v>
      </c>
      <c r="J43" s="1130">
        <v>0</v>
      </c>
      <c r="K43" s="1130">
        <v>0</v>
      </c>
      <c r="L43" s="1130">
        <v>0</v>
      </c>
      <c r="M43" s="1130">
        <v>0</v>
      </c>
      <c r="N43" s="1270">
        <v>0</v>
      </c>
      <c r="O43" s="1270"/>
      <c r="P43" s="1123">
        <v>0</v>
      </c>
      <c r="Q43" s="1186">
        <v>0</v>
      </c>
      <c r="R43" s="1123">
        <v>0</v>
      </c>
      <c r="S43" s="1283">
        <v>0</v>
      </c>
      <c r="T43" s="1130"/>
      <c r="U43" s="1285">
        <v>0</v>
      </c>
      <c r="V43" s="1285">
        <v>0</v>
      </c>
      <c r="W43" s="1285">
        <v>0</v>
      </c>
      <c r="X43" s="1285">
        <v>25880</v>
      </c>
      <c r="Y43" s="1285">
        <v>14535</v>
      </c>
      <c r="Z43" s="1286"/>
    </row>
    <row r="44" spans="1:26" s="1575" customFormat="1" ht="12.75" customHeight="1" x14ac:dyDescent="0.2">
      <c r="A44" s="946"/>
      <c r="B44" s="945" t="s">
        <v>385</v>
      </c>
      <c r="C44" s="1123">
        <v>25</v>
      </c>
      <c r="D44" s="1017">
        <v>0.23148148148148148</v>
      </c>
      <c r="E44" s="919"/>
      <c r="F44" s="1086">
        <v>133</v>
      </c>
      <c r="G44" s="1130">
        <v>230</v>
      </c>
      <c r="H44" s="1130">
        <v>151</v>
      </c>
      <c r="I44" s="1283">
        <v>151</v>
      </c>
      <c r="J44" s="1130">
        <v>108</v>
      </c>
      <c r="K44" s="1130">
        <v>120</v>
      </c>
      <c r="L44" s="1130">
        <v>81</v>
      </c>
      <c r="M44" s="1130">
        <v>245</v>
      </c>
      <c r="N44" s="1270">
        <v>228</v>
      </c>
      <c r="O44" s="1270"/>
      <c r="P44" s="1123">
        <v>665</v>
      </c>
      <c r="Q44" s="1186">
        <v>554</v>
      </c>
      <c r="R44" s="1123">
        <v>111</v>
      </c>
      <c r="S44" s="1017">
        <v>0.2003610108303249</v>
      </c>
      <c r="T44" s="1130"/>
      <c r="U44" s="1285">
        <v>665</v>
      </c>
      <c r="V44" s="1285">
        <v>554</v>
      </c>
      <c r="W44" s="1285">
        <v>1467</v>
      </c>
      <c r="X44" s="1285">
        <v>3019</v>
      </c>
      <c r="Y44" s="1285">
        <v>3364</v>
      </c>
      <c r="Z44" s="1286"/>
    </row>
    <row r="45" spans="1:26" s="1575" customFormat="1" ht="12.75" customHeight="1" x14ac:dyDescent="0.2">
      <c r="A45" s="946"/>
      <c r="B45" s="945"/>
      <c r="C45" s="1214"/>
      <c r="D45" s="1117"/>
      <c r="E45" s="917"/>
      <c r="F45" s="1086"/>
      <c r="G45" s="1130"/>
      <c r="H45" s="1130"/>
      <c r="I45" s="1283"/>
      <c r="J45" s="1130"/>
      <c r="K45" s="1130"/>
      <c r="L45" s="1130"/>
      <c r="M45" s="1130"/>
      <c r="N45" s="1270"/>
      <c r="O45" s="1285"/>
      <c r="P45" s="1214"/>
      <c r="Q45" s="1212"/>
      <c r="R45" s="1212"/>
      <c r="S45" s="1117"/>
      <c r="T45" s="1130"/>
      <c r="U45" s="1324"/>
      <c r="V45" s="1324"/>
      <c r="W45" s="1324"/>
      <c r="X45" s="1324"/>
      <c r="Y45" s="1324"/>
      <c r="Z45" s="1286"/>
    </row>
    <row r="46" spans="1:26" s="1772" customFormat="1" ht="27.75" customHeight="1" x14ac:dyDescent="0.2">
      <c r="A46" s="2404" t="s">
        <v>384</v>
      </c>
      <c r="B46" s="2405"/>
      <c r="C46" s="1120">
        <v>-151</v>
      </c>
      <c r="D46" s="1115">
        <v>0.57633587786259544</v>
      </c>
      <c r="E46" s="917"/>
      <c r="F46" s="1225">
        <v>-413</v>
      </c>
      <c r="G46" s="1269">
        <v>-460</v>
      </c>
      <c r="H46" s="1269">
        <v>-342</v>
      </c>
      <c r="I46" s="1274">
        <v>-364</v>
      </c>
      <c r="J46" s="1269">
        <v>-262</v>
      </c>
      <c r="K46" s="1269">
        <v>-306</v>
      </c>
      <c r="L46" s="1269">
        <v>-116</v>
      </c>
      <c r="M46" s="1269">
        <v>-556</v>
      </c>
      <c r="N46" s="1275">
        <v>-440</v>
      </c>
      <c r="O46" s="1285"/>
      <c r="P46" s="1275">
        <v>-1579</v>
      </c>
      <c r="Q46" s="1269">
        <v>-1240</v>
      </c>
      <c r="R46" s="1192">
        <v>-339</v>
      </c>
      <c r="S46" s="1115">
        <v>-0.27338709677419354</v>
      </c>
      <c r="T46" s="1130"/>
      <c r="U46" s="1277">
        <v>-1579</v>
      </c>
      <c r="V46" s="1277">
        <v>-1240</v>
      </c>
      <c r="W46" s="1277">
        <v>-1399</v>
      </c>
      <c r="X46" s="1277">
        <v>-31205</v>
      </c>
      <c r="Y46" s="1277">
        <v>-18956</v>
      </c>
      <c r="Z46" s="1286"/>
    </row>
    <row r="47" spans="1:26" s="1772" customFormat="1" ht="24" customHeight="1" x14ac:dyDescent="0.2">
      <c r="A47" s="2406" t="s">
        <v>168</v>
      </c>
      <c r="B47" s="2407"/>
      <c r="C47" s="1120">
        <v>5588</v>
      </c>
      <c r="D47" s="1115">
        <v>-2.2614326183731284</v>
      </c>
      <c r="E47" s="917"/>
      <c r="F47" s="1088">
        <v>3117</v>
      </c>
      <c r="G47" s="1170">
        <v>35724</v>
      </c>
      <c r="H47" s="1170">
        <v>28324</v>
      </c>
      <c r="I47" s="1293">
        <v>14401</v>
      </c>
      <c r="J47" s="1170">
        <v>-2471</v>
      </c>
      <c r="K47" s="1170">
        <v>38101</v>
      </c>
      <c r="L47" s="1170">
        <v>-2904</v>
      </c>
      <c r="M47" s="1170">
        <v>-3076</v>
      </c>
      <c r="N47" s="1292">
        <v>41191</v>
      </c>
      <c r="O47" s="1285"/>
      <c r="P47" s="1170">
        <v>81566</v>
      </c>
      <c r="Q47" s="1170">
        <v>29650</v>
      </c>
      <c r="R47" s="1212">
        <v>51916</v>
      </c>
      <c r="S47" s="1115">
        <v>1.7509612141652613</v>
      </c>
      <c r="T47" s="1130"/>
      <c r="U47" s="1277">
        <v>81566</v>
      </c>
      <c r="V47" s="1292">
        <v>29650</v>
      </c>
      <c r="W47" s="1292">
        <v>62478</v>
      </c>
      <c r="X47" s="1292">
        <v>-332023</v>
      </c>
      <c r="Y47" s="1324">
        <v>13842</v>
      </c>
      <c r="Z47" s="1286"/>
    </row>
    <row r="48" spans="1:26" s="1772" customFormat="1" ht="12.75" customHeight="1" x14ac:dyDescent="0.2">
      <c r="A48" s="1714"/>
      <c r="B48" s="1242"/>
      <c r="C48" s="2160"/>
      <c r="D48" s="1135"/>
      <c r="E48" s="919"/>
      <c r="F48" s="1654"/>
      <c r="G48" s="1130"/>
      <c r="H48" s="1130"/>
      <c r="I48" s="1283"/>
      <c r="J48" s="1130"/>
      <c r="K48" s="1130"/>
      <c r="L48" s="1130"/>
      <c r="M48" s="1130"/>
      <c r="N48" s="1270"/>
      <c r="O48" s="1441"/>
      <c r="P48" s="1270"/>
      <c r="Q48" s="1130"/>
      <c r="R48" s="1186"/>
      <c r="S48" s="1017"/>
      <c r="T48" s="1568"/>
      <c r="U48" s="1285">
        <v>0</v>
      </c>
      <c r="V48" s="1285">
        <v>0</v>
      </c>
      <c r="W48" s="1285">
        <v>0</v>
      </c>
      <c r="X48" s="1285"/>
      <c r="Y48" s="1285"/>
      <c r="Z48" s="1286"/>
    </row>
    <row r="49" spans="1:26" s="1772" customFormat="1" x14ac:dyDescent="0.2">
      <c r="A49" s="1665"/>
      <c r="B49" s="1242" t="s">
        <v>313</v>
      </c>
      <c r="C49" s="1123">
        <v>1140</v>
      </c>
      <c r="D49" s="1017">
        <v>0.25299600532623168</v>
      </c>
      <c r="E49" s="919"/>
      <c r="F49" s="1088">
        <v>5646</v>
      </c>
      <c r="G49" s="1170">
        <v>4628</v>
      </c>
      <c r="H49" s="1170">
        <v>4110</v>
      </c>
      <c r="I49" s="1293">
        <v>4305</v>
      </c>
      <c r="J49" s="1170">
        <v>4506</v>
      </c>
      <c r="K49" s="1170">
        <v>3835</v>
      </c>
      <c r="L49" s="1170">
        <v>3869</v>
      </c>
      <c r="M49" s="1170">
        <v>4314</v>
      </c>
      <c r="N49" s="1292">
        <v>5164</v>
      </c>
      <c r="O49" s="1441"/>
      <c r="P49" s="1214">
        <v>18689</v>
      </c>
      <c r="Q49" s="1170">
        <v>16524</v>
      </c>
      <c r="R49" s="1212">
        <v>2165</v>
      </c>
      <c r="S49" s="1117">
        <v>0.13102154442023722</v>
      </c>
      <c r="T49" s="1568"/>
      <c r="U49" s="1285">
        <v>18689</v>
      </c>
      <c r="V49" s="1324">
        <v>16524</v>
      </c>
      <c r="W49" s="1324">
        <v>18210</v>
      </c>
      <c r="X49" s="1324">
        <v>17087</v>
      </c>
      <c r="Y49" s="1324">
        <v>11910</v>
      </c>
      <c r="Z49" s="1286"/>
    </row>
    <row r="50" spans="1:26" s="1772" customFormat="1" ht="20.25" customHeight="1" thickBot="1" x14ac:dyDescent="0.25">
      <c r="A50" s="1122" t="s">
        <v>69</v>
      </c>
      <c r="B50" s="946"/>
      <c r="C50" s="1120">
        <v>4448</v>
      </c>
      <c r="D50" s="1115">
        <v>-0.63752329081267023</v>
      </c>
      <c r="E50" s="917"/>
      <c r="F50" s="1231">
        <v>-2529</v>
      </c>
      <c r="G50" s="1294">
        <v>31096</v>
      </c>
      <c r="H50" s="1294">
        <v>24214</v>
      </c>
      <c r="I50" s="1298">
        <v>10096</v>
      </c>
      <c r="J50" s="1294">
        <v>-6977</v>
      </c>
      <c r="K50" s="1294">
        <v>34266</v>
      </c>
      <c r="L50" s="1294">
        <v>-6773</v>
      </c>
      <c r="M50" s="1294">
        <v>-7390</v>
      </c>
      <c r="N50" s="1295">
        <v>36027</v>
      </c>
      <c r="O50" s="1441"/>
      <c r="P50" s="1294">
        <v>62877</v>
      </c>
      <c r="Q50" s="1294">
        <v>13126</v>
      </c>
      <c r="R50" s="1294">
        <v>49751</v>
      </c>
      <c r="S50" s="1125" t="s">
        <v>38</v>
      </c>
      <c r="T50" s="1130">
        <v>0</v>
      </c>
      <c r="U50" s="1300">
        <v>62877</v>
      </c>
      <c r="V50" s="1300">
        <v>13126</v>
      </c>
      <c r="W50" s="1300">
        <v>44268</v>
      </c>
      <c r="X50" s="1300">
        <v>-349110</v>
      </c>
      <c r="Y50" s="1300">
        <v>1932</v>
      </c>
      <c r="Z50" s="1286"/>
    </row>
    <row r="51" spans="1:26" ht="12.75" customHeight="1" thickTop="1" x14ac:dyDescent="0.2">
      <c r="A51" s="1126"/>
      <c r="B51" s="1126"/>
      <c r="C51" s="998"/>
      <c r="D51" s="951"/>
      <c r="E51" s="907"/>
      <c r="F51" s="1654"/>
      <c r="G51" s="1038"/>
      <c r="H51" s="1038"/>
      <c r="I51" s="1038"/>
      <c r="J51" s="1038"/>
      <c r="K51" s="1038"/>
      <c r="L51" s="1038"/>
      <c r="M51" s="1038"/>
      <c r="N51" s="1038"/>
      <c r="O51" s="1133"/>
      <c r="P51" s="1133"/>
      <c r="Q51" s="1133"/>
      <c r="R51" s="998"/>
      <c r="S51" s="951"/>
      <c r="T51" s="1133"/>
      <c r="U51" s="1133"/>
      <c r="V51" s="1133"/>
      <c r="W51" s="1133"/>
      <c r="X51" s="1133"/>
      <c r="Y51" s="1133"/>
      <c r="Z51" s="1109"/>
    </row>
    <row r="52" spans="1:26" ht="12.75" customHeight="1" x14ac:dyDescent="0.2">
      <c r="A52" s="1128" t="s">
        <v>71</v>
      </c>
      <c r="B52" s="1245"/>
      <c r="C52" s="1127">
        <v>2.9687328823457038</v>
      </c>
      <c r="D52" s="951"/>
      <c r="E52" s="907"/>
      <c r="F52" s="1099">
        <v>0.54573968896636615</v>
      </c>
      <c r="G52" s="1198">
        <v>0.53160149589488614</v>
      </c>
      <c r="H52" s="1198">
        <v>0.53198048496648653</v>
      </c>
      <c r="I52" s="1198">
        <v>0.55057244576492581</v>
      </c>
      <c r="J52" s="1198">
        <v>0.51605236014290912</v>
      </c>
      <c r="K52" s="957">
        <v>0.53924761598956183</v>
      </c>
      <c r="L52" s="1198">
        <v>0.58295760430686405</v>
      </c>
      <c r="M52" s="1198">
        <v>0.59767953623569214</v>
      </c>
      <c r="N52" s="1198">
        <v>0.52627635386523353</v>
      </c>
      <c r="O52" s="1198"/>
      <c r="P52" s="1198">
        <v>0.53911682942273886</v>
      </c>
      <c r="Q52" s="1198">
        <v>0.55125824241321542</v>
      </c>
      <c r="R52" s="1127">
        <v>-1.2141412990476552</v>
      </c>
      <c r="S52" s="951"/>
      <c r="T52" s="1133"/>
      <c r="U52" s="1198">
        <v>0.53911682942273886</v>
      </c>
      <c r="V52" s="1198">
        <v>0.55125824241321542</v>
      </c>
      <c r="W52" s="1198">
        <v>0.55200028075288565</v>
      </c>
      <c r="X52" s="1198">
        <v>0.57769177297236363</v>
      </c>
      <c r="Y52" s="1198">
        <v>0.54724068471142795</v>
      </c>
      <c r="Z52" s="1109"/>
    </row>
    <row r="53" spans="1:26" ht="13.5" customHeight="1" x14ac:dyDescent="0.2">
      <c r="A53" s="1128" t="s">
        <v>627</v>
      </c>
      <c r="B53" s="1129"/>
      <c r="C53" s="1127">
        <v>3.9515867585993458</v>
      </c>
      <c r="D53" s="951"/>
      <c r="E53" s="907"/>
      <c r="F53" s="1099">
        <v>0.58745868401157164</v>
      </c>
      <c r="G53" s="1198">
        <v>0.56120894289139478</v>
      </c>
      <c r="H53" s="1198">
        <v>0.56443653697673635</v>
      </c>
      <c r="I53" s="1198">
        <v>0.58806956432651181</v>
      </c>
      <c r="J53" s="1198">
        <v>0.54794281642557818</v>
      </c>
      <c r="K53" s="957">
        <v>0.57195353791736114</v>
      </c>
      <c r="L53" s="1198">
        <v>0.63447173620457609</v>
      </c>
      <c r="M53" s="1198">
        <v>0.65163483487428764</v>
      </c>
      <c r="N53" s="1198">
        <v>0.56053121124431582</v>
      </c>
      <c r="O53" s="1198"/>
      <c r="P53" s="1198">
        <v>0.57394871125018809</v>
      </c>
      <c r="Q53" s="1198">
        <v>0.59127355087239397</v>
      </c>
      <c r="R53" s="1127">
        <v>-1.7324839622205879</v>
      </c>
      <c r="S53" s="951"/>
      <c r="T53" s="1133"/>
      <c r="U53" s="1198">
        <v>0.57394871125018809</v>
      </c>
      <c r="V53" s="1198">
        <v>0.59127355087239397</v>
      </c>
      <c r="W53" s="1198">
        <v>0.5956139046208917</v>
      </c>
      <c r="X53" s="1198">
        <v>0.63128299547222277</v>
      </c>
      <c r="Y53" s="1198">
        <v>0.58908180491106743</v>
      </c>
      <c r="Z53" s="1109"/>
    </row>
    <row r="54" spans="1:26" ht="12.75" customHeight="1" x14ac:dyDescent="0.2">
      <c r="A54" s="1128" t="s">
        <v>72</v>
      </c>
      <c r="B54" s="1129"/>
      <c r="C54" s="1127">
        <v>-7.1317942354164447</v>
      </c>
      <c r="D54" s="951"/>
      <c r="E54" s="907"/>
      <c r="F54" s="1099">
        <v>0.39302204977287919</v>
      </c>
      <c r="G54" s="1198">
        <v>0.26813868072769648</v>
      </c>
      <c r="H54" s="1198">
        <v>0.27705976479013505</v>
      </c>
      <c r="I54" s="1198">
        <v>0.31967958404835695</v>
      </c>
      <c r="J54" s="1198">
        <v>0.46433999212704363</v>
      </c>
      <c r="K54" s="957">
        <v>0.23383434504059572</v>
      </c>
      <c r="L54" s="1198">
        <v>0.38991419919246301</v>
      </c>
      <c r="M54" s="1198">
        <v>0.37355689488118504</v>
      </c>
      <c r="N54" s="1198">
        <v>0.22658639933856967</v>
      </c>
      <c r="O54" s="1198"/>
      <c r="P54" s="1198">
        <v>0.31024411991038242</v>
      </c>
      <c r="Q54" s="1198">
        <v>0.3622207304142695</v>
      </c>
      <c r="R54" s="1127">
        <v>-5.1976610503887075</v>
      </c>
      <c r="S54" s="951"/>
      <c r="T54" s="1133"/>
      <c r="U54" s="1198">
        <v>0.31024411991038242</v>
      </c>
      <c r="V54" s="1198">
        <v>0.3622207304142695</v>
      </c>
      <c r="W54" s="1198">
        <v>0.29997610258175672</v>
      </c>
      <c r="X54" s="1198">
        <v>0.99250380446014241</v>
      </c>
      <c r="Y54" s="1198">
        <v>0.38834131184707349</v>
      </c>
      <c r="Z54" s="1109"/>
    </row>
    <row r="55" spans="1:26" ht="12.75" customHeight="1" x14ac:dyDescent="0.2">
      <c r="A55" s="1128" t="s">
        <v>73</v>
      </c>
      <c r="B55" s="1128"/>
      <c r="C55" s="1127">
        <v>-3.178823491872429</v>
      </c>
      <c r="D55" s="951"/>
      <c r="E55" s="907"/>
      <c r="F55" s="1099">
        <v>0.9805244709366624</v>
      </c>
      <c r="G55" s="1198">
        <v>0.82937628060924762</v>
      </c>
      <c r="H55" s="1198">
        <v>0.84152987120525469</v>
      </c>
      <c r="I55" s="1198">
        <v>0.90778756755372281</v>
      </c>
      <c r="J55" s="1198">
        <v>1.0123127058553867</v>
      </c>
      <c r="K55" s="957">
        <v>0.80580827000606514</v>
      </c>
      <c r="L55" s="1198">
        <v>1.0244279946164199</v>
      </c>
      <c r="M55" s="1198">
        <v>1.0252574187509238</v>
      </c>
      <c r="N55" s="1198">
        <v>0.78714861513021905</v>
      </c>
      <c r="O55" s="1198"/>
      <c r="P55" s="1198">
        <v>0.88419283116057057</v>
      </c>
      <c r="Q55" s="1198">
        <v>0.95349428128666347</v>
      </c>
      <c r="R55" s="1127">
        <v>-6.9301450126092901</v>
      </c>
      <c r="S55" s="951"/>
      <c r="T55" s="1133"/>
      <c r="U55" s="1198">
        <v>0.88419283116057057</v>
      </c>
      <c r="V55" s="1198">
        <v>0.95349428128666347</v>
      </c>
      <c r="W55" s="1198">
        <v>0.89559000720264847</v>
      </c>
      <c r="X55" s="1198">
        <v>1.6237867999323652</v>
      </c>
      <c r="Y55" s="1198">
        <v>0.97742311675814098</v>
      </c>
      <c r="Z55" s="1109"/>
    </row>
    <row r="56" spans="1:26" ht="12.75" customHeight="1" x14ac:dyDescent="0.2">
      <c r="A56" s="1128" t="s">
        <v>167</v>
      </c>
      <c r="B56" s="1128"/>
      <c r="C56" s="1127">
        <v>3.1788234918724392</v>
      </c>
      <c r="D56" s="951"/>
      <c r="E56" s="907"/>
      <c r="F56" s="1099">
        <v>1.9475529063337646E-2</v>
      </c>
      <c r="G56" s="1198">
        <v>0.17062371939075238</v>
      </c>
      <c r="H56" s="1198">
        <v>0.15847012879474526</v>
      </c>
      <c r="I56" s="1198">
        <v>9.2212432446277179E-2</v>
      </c>
      <c r="J56" s="1198">
        <v>-1.2312705855386746E-2</v>
      </c>
      <c r="K56" s="957">
        <v>0.19419172999393486</v>
      </c>
      <c r="L56" s="1198">
        <v>-2.442799461641992E-2</v>
      </c>
      <c r="M56" s="1198">
        <v>-2.525741875092375E-2</v>
      </c>
      <c r="N56" s="1198">
        <v>0.21285138486978089</v>
      </c>
      <c r="O56" s="1198"/>
      <c r="P56" s="1198">
        <v>0.11580716883942947</v>
      </c>
      <c r="Q56" s="1198">
        <v>4.6505718713336551E-2</v>
      </c>
      <c r="R56" s="1127">
        <v>6.9301450126092927</v>
      </c>
      <c r="S56" s="951"/>
      <c r="T56" s="1133"/>
      <c r="U56" s="1198">
        <v>0.11580716883942947</v>
      </c>
      <c r="V56" s="1198">
        <v>4.6505718713336551E-2</v>
      </c>
      <c r="W56" s="1198">
        <v>0.10440999279735157</v>
      </c>
      <c r="X56" s="1198">
        <v>-0.62378679993236519</v>
      </c>
      <c r="Y56" s="1198">
        <v>2.2576883241859063E-2</v>
      </c>
      <c r="Z56" s="1109"/>
    </row>
    <row r="57" spans="1:26" ht="12.75" customHeight="1" x14ac:dyDescent="0.2">
      <c r="A57" s="1128" t="s">
        <v>74</v>
      </c>
      <c r="B57" s="1128"/>
      <c r="C57" s="1127">
        <v>1.8963971954334948</v>
      </c>
      <c r="D57" s="951"/>
      <c r="E57" s="907"/>
      <c r="F57" s="1099">
        <v>-1.5801608277568463E-2</v>
      </c>
      <c r="G57" s="1198">
        <v>0.14851962765017457</v>
      </c>
      <c r="H57" s="1198">
        <v>0.1354750635021876</v>
      </c>
      <c r="I57" s="1198">
        <v>6.4646671618471943E-2</v>
      </c>
      <c r="J57" s="1198">
        <v>-3.476558023190341E-2</v>
      </c>
      <c r="K57" s="957">
        <v>0.17464564762006698</v>
      </c>
      <c r="L57" s="1198">
        <v>-5.6973418573351281E-2</v>
      </c>
      <c r="M57" s="1198">
        <v>-6.0680209547895492E-2</v>
      </c>
      <c r="N57" s="1198">
        <v>0.18616680446465481</v>
      </c>
      <c r="O57" s="1303"/>
      <c r="P57" s="1303">
        <v>8.9272581162700232E-2</v>
      </c>
      <c r="Q57" s="1303">
        <v>2.0587995407462246E-2</v>
      </c>
      <c r="R57" s="1127">
        <v>6.8684585755237988</v>
      </c>
      <c r="S57" s="951"/>
      <c r="T57" s="1299"/>
      <c r="U57" s="1198">
        <v>8.9272581162700232E-2</v>
      </c>
      <c r="V57" s="1303">
        <v>2.0587995407462246E-2</v>
      </c>
      <c r="W57" s="1303">
        <v>7.3978385370100819E-2</v>
      </c>
      <c r="X57" s="1303">
        <v>-0.6558889285512991</v>
      </c>
      <c r="Y57" s="1303">
        <v>3.1511731269521534E-3</v>
      </c>
      <c r="Z57" s="1109"/>
    </row>
    <row r="58" spans="1:26" ht="12.75" customHeight="1" x14ac:dyDescent="0.2">
      <c r="A58" s="1129"/>
      <c r="B58" s="1129"/>
      <c r="C58" s="1127"/>
      <c r="D58" s="951"/>
      <c r="E58" s="907"/>
      <c r="F58" s="907"/>
      <c r="G58" s="951"/>
      <c r="H58" s="951"/>
      <c r="I58" s="951"/>
      <c r="J58" s="951"/>
      <c r="K58" s="951"/>
      <c r="L58" s="951"/>
      <c r="M58" s="951"/>
      <c r="N58" s="951"/>
      <c r="O58" s="1133"/>
      <c r="P58" s="1133"/>
      <c r="Q58" s="1133"/>
      <c r="R58" s="998"/>
      <c r="S58" s="951"/>
      <c r="T58" s="1133"/>
      <c r="U58" s="1133"/>
      <c r="V58" s="1133"/>
      <c r="W58" s="1133"/>
      <c r="X58" s="1133"/>
      <c r="Y58" s="1018"/>
      <c r="Z58" s="1109"/>
    </row>
    <row r="59" spans="1:26" ht="12.75" customHeight="1" x14ac:dyDescent="0.2">
      <c r="A59" s="1129" t="s">
        <v>84</v>
      </c>
      <c r="B59" s="1129"/>
      <c r="C59" s="1186">
        <v>102</v>
      </c>
      <c r="D59" s="951">
        <v>0.13972602739726028</v>
      </c>
      <c r="E59" s="1075"/>
      <c r="F59" s="1090">
        <v>832</v>
      </c>
      <c r="G59" s="1176">
        <v>772</v>
      </c>
      <c r="H59" s="1176">
        <v>770</v>
      </c>
      <c r="I59" s="1176">
        <v>776</v>
      </c>
      <c r="J59" s="1176">
        <v>730</v>
      </c>
      <c r="K59" s="1176">
        <v>731</v>
      </c>
      <c r="L59" s="1176">
        <v>738</v>
      </c>
      <c r="M59" s="1176">
        <v>758</v>
      </c>
      <c r="N59" s="1176">
        <v>749</v>
      </c>
      <c r="O59" s="945"/>
      <c r="P59" s="1176">
        <v>832</v>
      </c>
      <c r="Q59" s="1176">
        <v>730</v>
      </c>
      <c r="R59" s="998">
        <v>102</v>
      </c>
      <c r="S59" s="951">
        <v>0.13972602739726028</v>
      </c>
      <c r="T59" s="1133"/>
      <c r="U59" s="1166">
        <v>832</v>
      </c>
      <c r="V59" s="1176">
        <v>730</v>
      </c>
      <c r="W59" s="1176">
        <v>749</v>
      </c>
      <c r="X59" s="1176">
        <v>841</v>
      </c>
      <c r="Y59" s="1176">
        <v>901</v>
      </c>
      <c r="Z59" s="1109"/>
    </row>
    <row r="60" spans="1:26" ht="12.75" customHeight="1" x14ac:dyDescent="0.2">
      <c r="A60" s="945"/>
      <c r="B60" s="945"/>
      <c r="C60" s="1246"/>
      <c r="D60" s="957"/>
      <c r="E60" s="1082"/>
      <c r="F60" s="1082"/>
      <c r="G60" s="1133"/>
      <c r="H60" s="1133"/>
      <c r="I60" s="1133"/>
      <c r="J60" s="1133"/>
      <c r="K60" s="945"/>
      <c r="L60" s="1133"/>
      <c r="M60" s="1133"/>
      <c r="N60" s="1133"/>
      <c r="O60" s="1133"/>
      <c r="P60" s="1133"/>
      <c r="Q60" s="1133"/>
      <c r="R60" s="1133"/>
      <c r="S60" s="1133"/>
      <c r="T60" s="1133"/>
      <c r="U60" s="1133"/>
      <c r="V60" s="1133"/>
      <c r="W60" s="1133"/>
      <c r="X60" s="1133"/>
      <c r="Y60" s="1133"/>
      <c r="Z60" s="1109"/>
    </row>
    <row r="61" spans="1:26" ht="18" customHeight="1" x14ac:dyDescent="0.2">
      <c r="A61" s="1247" t="s">
        <v>636</v>
      </c>
      <c r="B61" s="945"/>
      <c r="C61" s="1118"/>
      <c r="D61" s="1118"/>
      <c r="E61" s="1082"/>
      <c r="F61" s="1082"/>
      <c r="G61" s="1133"/>
      <c r="H61" s="1133"/>
      <c r="I61" s="1133"/>
      <c r="J61" s="1133"/>
      <c r="K61" s="945"/>
      <c r="L61" s="1133"/>
      <c r="M61" s="1133"/>
      <c r="N61" s="1133"/>
      <c r="O61" s="1133"/>
      <c r="P61" s="1304"/>
      <c r="Q61" s="1118"/>
      <c r="R61" s="1133"/>
      <c r="S61" s="1133"/>
      <c r="T61" s="1118"/>
      <c r="U61" s="1304"/>
      <c r="V61" s="1304"/>
      <c r="W61" s="1304"/>
      <c r="X61" s="1304"/>
      <c r="Y61" s="1304"/>
      <c r="Z61" s="1109"/>
    </row>
    <row r="62" spans="1:26" ht="12.75" customHeight="1" x14ac:dyDescent="0.2">
      <c r="A62" s="1248"/>
      <c r="B62" s="945"/>
      <c r="C62" s="1118"/>
      <c r="D62" s="1118"/>
      <c r="E62" s="1082"/>
      <c r="F62" s="1082"/>
      <c r="G62" s="1133"/>
      <c r="H62" s="1133"/>
      <c r="I62" s="1133"/>
      <c r="J62" s="1133"/>
      <c r="K62" s="945"/>
      <c r="L62" s="1133"/>
      <c r="M62" s="1133"/>
      <c r="N62" s="1133"/>
      <c r="O62" s="1133"/>
      <c r="P62" s="1118"/>
      <c r="Q62" s="1118"/>
      <c r="R62" s="1133"/>
      <c r="S62" s="1133"/>
      <c r="T62" s="1118"/>
      <c r="U62" s="1118"/>
      <c r="V62" s="1118"/>
      <c r="W62" s="1118"/>
      <c r="X62" s="1118"/>
      <c r="Y62" s="1118"/>
      <c r="Z62" s="1109"/>
    </row>
    <row r="63" spans="1:26" ht="12.75" customHeight="1" x14ac:dyDescent="0.2">
      <c r="A63" s="944"/>
      <c r="B63" s="945"/>
      <c r="C63" s="2306" t="s">
        <v>667</v>
      </c>
      <c r="D63" s="2307"/>
      <c r="E63" s="900"/>
      <c r="F63" s="902"/>
      <c r="G63" s="975"/>
      <c r="H63" s="975"/>
      <c r="I63" s="976"/>
      <c r="J63" s="975"/>
      <c r="K63" s="975"/>
      <c r="L63" s="975"/>
      <c r="M63" s="975"/>
      <c r="N63" s="977"/>
      <c r="O63" s="1146"/>
      <c r="P63" s="981" t="s">
        <v>668</v>
      </c>
      <c r="Q63" s="981"/>
      <c r="R63" s="981" t="s">
        <v>551</v>
      </c>
      <c r="S63" s="982"/>
      <c r="T63" s="983"/>
      <c r="U63" s="984"/>
      <c r="V63" s="984"/>
      <c r="W63" s="984"/>
      <c r="X63" s="984"/>
      <c r="Y63" s="984"/>
      <c r="Z63" s="1147"/>
    </row>
    <row r="64" spans="1:26" ht="12.75" customHeight="1" x14ac:dyDescent="0.2">
      <c r="A64" s="944" t="s">
        <v>2</v>
      </c>
      <c r="B64" s="945"/>
      <c r="C64" s="2408" t="s">
        <v>35</v>
      </c>
      <c r="D64" s="2409"/>
      <c r="E64" s="905"/>
      <c r="F64" s="906" t="s">
        <v>546</v>
      </c>
      <c r="G64" s="985" t="s">
        <v>547</v>
      </c>
      <c r="H64" s="985" t="s">
        <v>548</v>
      </c>
      <c r="I64" s="986" t="s">
        <v>549</v>
      </c>
      <c r="J64" s="985" t="s">
        <v>497</v>
      </c>
      <c r="K64" s="985" t="s">
        <v>496</v>
      </c>
      <c r="L64" s="985" t="s">
        <v>495</v>
      </c>
      <c r="M64" s="985" t="s">
        <v>494</v>
      </c>
      <c r="N64" s="987" t="s">
        <v>363</v>
      </c>
      <c r="O64" s="989"/>
      <c r="P64" s="983" t="s">
        <v>546</v>
      </c>
      <c r="Q64" s="983" t="s">
        <v>497</v>
      </c>
      <c r="R64" s="2310" t="s">
        <v>35</v>
      </c>
      <c r="S64" s="2311"/>
      <c r="T64" s="1203"/>
      <c r="U64" s="987" t="s">
        <v>550</v>
      </c>
      <c r="V64" s="987" t="s">
        <v>498</v>
      </c>
      <c r="W64" s="987" t="s">
        <v>490</v>
      </c>
      <c r="X64" s="987" t="s">
        <v>360</v>
      </c>
      <c r="Y64" s="987" t="s">
        <v>342</v>
      </c>
      <c r="Z64" s="1147"/>
    </row>
    <row r="65" spans="1:26" ht="12.75" customHeight="1" x14ac:dyDescent="0.2">
      <c r="A65" s="1132"/>
      <c r="B65" s="1133" t="s">
        <v>4</v>
      </c>
      <c r="C65" s="2160">
        <v>-40640</v>
      </c>
      <c r="D65" s="1135">
        <v>-0.20250439739494835</v>
      </c>
      <c r="E65" s="1076"/>
      <c r="F65" s="1092">
        <v>160047</v>
      </c>
      <c r="G65" s="1179">
        <v>209373</v>
      </c>
      <c r="H65" s="1179">
        <v>178734</v>
      </c>
      <c r="I65" s="1189">
        <v>156172</v>
      </c>
      <c r="J65" s="1179">
        <v>200687</v>
      </c>
      <c r="K65" s="1179">
        <v>196203</v>
      </c>
      <c r="L65" s="1179">
        <v>118880</v>
      </c>
      <c r="M65" s="1179">
        <v>121786</v>
      </c>
      <c r="N65" s="1206">
        <v>193520</v>
      </c>
      <c r="O65" s="1113"/>
      <c r="P65" s="2160">
        <v>704326</v>
      </c>
      <c r="Q65" s="1312">
        <v>637556</v>
      </c>
      <c r="R65" s="1308">
        <v>66770</v>
      </c>
      <c r="S65" s="1205">
        <v>0.10472805526102805</v>
      </c>
      <c r="T65" s="1118"/>
      <c r="U65" s="1291">
        <v>704326</v>
      </c>
      <c r="V65" s="1256">
        <v>637556</v>
      </c>
      <c r="W65" s="1256">
        <v>597198</v>
      </c>
      <c r="X65" s="1256">
        <v>532270</v>
      </c>
      <c r="Y65" s="1256">
        <v>613105</v>
      </c>
      <c r="Z65" s="1147"/>
    </row>
    <row r="66" spans="1:26" ht="12.75" customHeight="1" x14ac:dyDescent="0.2">
      <c r="A66" s="1118"/>
      <c r="B66" s="1133" t="s">
        <v>77</v>
      </c>
      <c r="C66" s="1123">
        <v>-16446</v>
      </c>
      <c r="D66" s="1017">
        <v>-0.10267199400674241</v>
      </c>
      <c r="E66" s="1968"/>
      <c r="F66" s="1092">
        <v>143734</v>
      </c>
      <c r="G66" s="1179">
        <v>173010</v>
      </c>
      <c r="H66" s="1179">
        <v>149771</v>
      </c>
      <c r="I66" s="1189">
        <v>138703</v>
      </c>
      <c r="J66" s="1179">
        <v>160180</v>
      </c>
      <c r="K66" s="1179">
        <v>157523</v>
      </c>
      <c r="L66" s="1179">
        <v>116949</v>
      </c>
      <c r="M66" s="1179">
        <v>123834</v>
      </c>
      <c r="N66" s="1206">
        <v>151499</v>
      </c>
      <c r="O66" s="1113"/>
      <c r="P66" s="1123">
        <v>605218</v>
      </c>
      <c r="Q66" s="1166">
        <v>558486</v>
      </c>
      <c r="R66" s="1186">
        <v>46732</v>
      </c>
      <c r="S66" s="1207">
        <v>8.3676224650215042E-2</v>
      </c>
      <c r="T66" s="1118"/>
      <c r="U66" s="1256">
        <v>605218</v>
      </c>
      <c r="V66" s="1256">
        <v>558486</v>
      </c>
      <c r="W66" s="1256">
        <v>532609</v>
      </c>
      <c r="X66" s="1256">
        <v>525384.6</v>
      </c>
      <c r="Y66" s="1256">
        <v>556908</v>
      </c>
      <c r="Z66" s="1147"/>
    </row>
    <row r="67" spans="1:26" ht="12.75" customHeight="1" x14ac:dyDescent="0.2">
      <c r="A67" s="1118"/>
      <c r="B67" s="1379" t="s">
        <v>313</v>
      </c>
      <c r="C67" s="1123">
        <v>1140</v>
      </c>
      <c r="D67" s="1017">
        <v>0.25299600532623168</v>
      </c>
      <c r="E67" s="1968"/>
      <c r="F67" s="1092">
        <v>5646</v>
      </c>
      <c r="G67" s="1179">
        <v>4628</v>
      </c>
      <c r="H67" s="1179">
        <v>4110</v>
      </c>
      <c r="I67" s="1189">
        <v>4305</v>
      </c>
      <c r="J67" s="1179">
        <v>4506</v>
      </c>
      <c r="K67" s="1179">
        <v>3835</v>
      </c>
      <c r="L67" s="1179">
        <v>3869</v>
      </c>
      <c r="M67" s="1179">
        <v>4314</v>
      </c>
      <c r="N67" s="1206">
        <v>5164</v>
      </c>
      <c r="O67" s="1113"/>
      <c r="P67" s="1123">
        <v>18689</v>
      </c>
      <c r="Q67" s="1166">
        <v>16524</v>
      </c>
      <c r="R67" s="1186">
        <v>2165</v>
      </c>
      <c r="S67" s="1207">
        <v>0.13102154442023722</v>
      </c>
      <c r="T67" s="1118"/>
      <c r="U67" s="1256">
        <v>18689</v>
      </c>
      <c r="V67" s="1256">
        <v>16524</v>
      </c>
      <c r="W67" s="1256">
        <v>18210</v>
      </c>
      <c r="X67" s="1256">
        <v>17087</v>
      </c>
      <c r="Y67" s="1256">
        <v>11910</v>
      </c>
      <c r="Z67" s="1147"/>
    </row>
    <row r="68" spans="1:26" x14ac:dyDescent="0.2">
      <c r="A68" s="1118"/>
      <c r="B68" s="1242" t="s">
        <v>69</v>
      </c>
      <c r="C68" s="1214">
        <v>-25334</v>
      </c>
      <c r="D68" s="1117">
        <v>-0.70370267492569649</v>
      </c>
      <c r="E68" s="1968"/>
      <c r="F68" s="1106">
        <v>10667</v>
      </c>
      <c r="G68" s="1212">
        <v>31735</v>
      </c>
      <c r="H68" s="1212">
        <v>24853</v>
      </c>
      <c r="I68" s="1171">
        <v>13164</v>
      </c>
      <c r="J68" s="1212">
        <v>36001</v>
      </c>
      <c r="K68" s="1212">
        <v>34845</v>
      </c>
      <c r="L68" s="1212">
        <v>-1938</v>
      </c>
      <c r="M68" s="1212">
        <v>-6362</v>
      </c>
      <c r="N68" s="1214">
        <v>36857</v>
      </c>
      <c r="O68" s="1113"/>
      <c r="P68" s="1214">
        <v>80419</v>
      </c>
      <c r="Q68" s="1172">
        <v>62546</v>
      </c>
      <c r="R68" s="1212">
        <v>17873</v>
      </c>
      <c r="S68" s="1216">
        <v>0.28575768234579352</v>
      </c>
      <c r="T68" s="1118"/>
      <c r="U68" s="1259">
        <v>80419</v>
      </c>
      <c r="V68" s="1190">
        <v>62546</v>
      </c>
      <c r="W68" s="1190">
        <v>46379</v>
      </c>
      <c r="X68" s="1190">
        <v>-10201.599999999977</v>
      </c>
      <c r="Y68" s="1310">
        <v>44287</v>
      </c>
      <c r="Z68" s="1147"/>
    </row>
    <row r="69" spans="1:26" ht="12.75" customHeight="1" x14ac:dyDescent="0.2">
      <c r="A69" s="1118"/>
      <c r="B69" s="1133"/>
      <c r="C69" s="999"/>
      <c r="D69" s="957"/>
      <c r="E69" s="926"/>
      <c r="F69" s="1222"/>
      <c r="G69" s="1255"/>
      <c r="H69" s="1255"/>
      <c r="I69" s="1255"/>
      <c r="J69" s="1255"/>
      <c r="K69" s="1047"/>
      <c r="L69" s="1255"/>
      <c r="M69" s="1255"/>
      <c r="N69" s="1255"/>
      <c r="O69" s="1133"/>
      <c r="P69" s="1133"/>
      <c r="Q69" s="1133"/>
      <c r="R69" s="999"/>
      <c r="S69" s="957"/>
      <c r="T69" s="1133"/>
      <c r="U69" s="1133"/>
      <c r="V69" s="1133"/>
      <c r="W69" s="1133"/>
      <c r="X69" s="1133"/>
      <c r="Y69" s="1133"/>
      <c r="Z69" s="1109"/>
    </row>
    <row r="70" spans="1:26" ht="12.75" customHeight="1" x14ac:dyDescent="0.2">
      <c r="A70" s="1118"/>
      <c r="B70" s="1128" t="s">
        <v>627</v>
      </c>
      <c r="C70" s="1127">
        <v>3.9515867585993458</v>
      </c>
      <c r="D70" s="957"/>
      <c r="E70" s="926"/>
      <c r="F70" s="1099">
        <v>0.58745868401157164</v>
      </c>
      <c r="G70" s="1198">
        <v>0.56120894289139478</v>
      </c>
      <c r="H70" s="1198">
        <v>0.56443653697673635</v>
      </c>
      <c r="I70" s="1198">
        <v>0.58806956432651181</v>
      </c>
      <c r="J70" s="1198">
        <v>0.54794281642557818</v>
      </c>
      <c r="K70" s="1198">
        <v>0.57195353791736114</v>
      </c>
      <c r="L70" s="1198">
        <v>0.63447173620457609</v>
      </c>
      <c r="M70" s="1198">
        <v>0.65163483487428764</v>
      </c>
      <c r="N70" s="1198">
        <v>0.56053121124431582</v>
      </c>
      <c r="O70" s="1133"/>
      <c r="P70" s="1198">
        <v>0.57394871125018809</v>
      </c>
      <c r="Q70" s="1198">
        <v>0.59127355087239397</v>
      </c>
      <c r="R70" s="1127">
        <v>-1.7324839622205879</v>
      </c>
      <c r="S70" s="957"/>
      <c r="T70" s="1133"/>
      <c r="U70" s="957">
        <v>0.57394871125018809</v>
      </c>
      <c r="V70" s="957">
        <v>0.59127355087239397</v>
      </c>
      <c r="W70" s="957">
        <v>0.5956139046208917</v>
      </c>
      <c r="X70" s="957">
        <v>0.63128299547222277</v>
      </c>
      <c r="Y70" s="957">
        <v>0.58908180491106743</v>
      </c>
      <c r="Z70" s="1109"/>
    </row>
    <row r="71" spans="1:26" ht="12.75" customHeight="1" x14ac:dyDescent="0.2">
      <c r="A71" s="1118"/>
      <c r="B71" s="1128" t="s">
        <v>72</v>
      </c>
      <c r="C71" s="1127">
        <v>6.0399497117642529</v>
      </c>
      <c r="D71" s="957"/>
      <c r="E71" s="926"/>
      <c r="F71" s="926">
        <v>0.31061500684174026</v>
      </c>
      <c r="G71" s="957">
        <v>0.26511536826620435</v>
      </c>
      <c r="H71" s="957">
        <v>0.27351818904069736</v>
      </c>
      <c r="I71" s="957">
        <v>0.30007299643982277</v>
      </c>
      <c r="J71" s="957">
        <v>0.25021550972409773</v>
      </c>
      <c r="K71" s="957">
        <v>0.23090370687502229</v>
      </c>
      <c r="L71" s="957">
        <v>0.34928499327052492</v>
      </c>
      <c r="M71" s="957">
        <v>0.3651815479611778</v>
      </c>
      <c r="N71" s="957">
        <v>0.22232844150475403</v>
      </c>
      <c r="O71" s="1133"/>
      <c r="P71" s="957">
        <v>0.28533803948739644</v>
      </c>
      <c r="Q71" s="957">
        <v>0.28470597092647548</v>
      </c>
      <c r="R71" s="1127">
        <v>6.3206856092096197E-2</v>
      </c>
      <c r="S71" s="957"/>
      <c r="T71" s="957"/>
      <c r="U71" s="957">
        <v>0.28533803948739644</v>
      </c>
      <c r="V71" s="957">
        <v>0.28470597092647548</v>
      </c>
      <c r="W71" s="957">
        <v>0.29445462916387444</v>
      </c>
      <c r="X71" s="957">
        <v>0.35578108854528712</v>
      </c>
      <c r="Y71" s="957">
        <v>0.31925852831081136</v>
      </c>
      <c r="Z71" s="1109"/>
    </row>
    <row r="72" spans="1:26" ht="12.75" customHeight="1" x14ac:dyDescent="0.2">
      <c r="A72" s="1118"/>
      <c r="B72" s="1128" t="s">
        <v>73</v>
      </c>
      <c r="C72" s="1127">
        <v>9.9915364703635934</v>
      </c>
      <c r="D72" s="957"/>
      <c r="E72" s="926"/>
      <c r="F72" s="926">
        <v>0.89807369085331179</v>
      </c>
      <c r="G72" s="957">
        <v>0.82632431115759908</v>
      </c>
      <c r="H72" s="957">
        <v>0.8379547260174337</v>
      </c>
      <c r="I72" s="957">
        <v>0.88814256076633458</v>
      </c>
      <c r="J72" s="957">
        <v>0.79815832614967586</v>
      </c>
      <c r="K72" s="957">
        <v>0.80285724479238341</v>
      </c>
      <c r="L72" s="957">
        <v>0.98375672947510096</v>
      </c>
      <c r="M72" s="957">
        <v>1.0168163828354655</v>
      </c>
      <c r="N72" s="957">
        <v>0.78285965274906988</v>
      </c>
      <c r="O72" s="1133"/>
      <c r="P72" s="957">
        <v>0.85928675073758454</v>
      </c>
      <c r="Q72" s="957">
        <v>0.8759795217988694</v>
      </c>
      <c r="R72" s="1127">
        <v>-1.6692771061284861</v>
      </c>
      <c r="S72" s="957"/>
      <c r="T72" s="957"/>
      <c r="U72" s="957">
        <v>0.85928675073758454</v>
      </c>
      <c r="V72" s="957">
        <v>0.8759795217988694</v>
      </c>
      <c r="W72" s="957">
        <v>0.89184659024310198</v>
      </c>
      <c r="X72" s="957">
        <v>0.98706483551580959</v>
      </c>
      <c r="Y72" s="957">
        <v>0.90834033322187879</v>
      </c>
      <c r="Z72" s="1109"/>
    </row>
    <row r="73" spans="1:26" ht="12.75" customHeight="1" x14ac:dyDescent="0.2">
      <c r="A73" s="1118"/>
      <c r="B73" s="1128" t="s">
        <v>74</v>
      </c>
      <c r="C73" s="1127">
        <v>-11.273962766802544</v>
      </c>
      <c r="D73" s="957"/>
      <c r="E73" s="926"/>
      <c r="F73" s="926">
        <v>6.6649171805782045E-2</v>
      </c>
      <c r="G73" s="957">
        <v>0.15157159710182305</v>
      </c>
      <c r="H73" s="957">
        <v>0.13905020869000861</v>
      </c>
      <c r="I73" s="957">
        <v>8.4291678405860201E-2</v>
      </c>
      <c r="J73" s="957">
        <v>0.17938879947380748</v>
      </c>
      <c r="K73" s="957">
        <v>0.17759667283374872</v>
      </c>
      <c r="L73" s="957">
        <v>-1.6302153432032302E-2</v>
      </c>
      <c r="M73" s="957">
        <v>-5.2239173632437227E-2</v>
      </c>
      <c r="N73" s="957">
        <v>0.19045576684580406</v>
      </c>
      <c r="O73" s="1133"/>
      <c r="P73" s="957">
        <v>0.11417866158568617</v>
      </c>
      <c r="Q73" s="957">
        <v>9.8102754895256258E-2</v>
      </c>
      <c r="R73" s="1127">
        <v>1.6075906690429909</v>
      </c>
      <c r="S73" s="957"/>
      <c r="T73" s="957"/>
      <c r="U73" s="957">
        <v>0.11417866158568617</v>
      </c>
      <c r="V73" s="957">
        <v>9.8102754895256258E-2</v>
      </c>
      <c r="W73" s="957">
        <v>7.7661010251206461E-2</v>
      </c>
      <c r="X73" s="957">
        <v>-1.9166212636443865E-2</v>
      </c>
      <c r="Y73" s="957">
        <v>7.2233956663214291E-2</v>
      </c>
      <c r="Z73" s="1108"/>
    </row>
    <row r="74" spans="1:26" ht="12.75" customHeight="1" x14ac:dyDescent="0.2">
      <c r="A74" s="1118"/>
      <c r="B74" s="1128"/>
      <c r="C74" s="1246"/>
      <c r="D74" s="957"/>
      <c r="E74" s="926"/>
      <c r="F74" s="926"/>
      <c r="G74" s="957"/>
      <c r="H74" s="957"/>
      <c r="I74" s="957"/>
      <c r="J74" s="957"/>
      <c r="K74" s="957"/>
      <c r="L74" s="957"/>
      <c r="M74" s="957"/>
      <c r="N74" s="957"/>
      <c r="O74" s="1133"/>
      <c r="P74" s="1133"/>
      <c r="Q74" s="1133"/>
      <c r="R74" s="1127"/>
      <c r="S74" s="957"/>
      <c r="T74" s="1133"/>
      <c r="U74" s="1018"/>
      <c r="V74" s="1018"/>
      <c r="W74" s="1018"/>
      <c r="X74" s="1018"/>
      <c r="Y74" s="1018"/>
      <c r="Z74" s="1108"/>
    </row>
    <row r="75" spans="1:26" ht="12.75" customHeight="1" x14ac:dyDescent="0.2">
      <c r="A75" s="1247" t="s">
        <v>177</v>
      </c>
      <c r="B75" s="1128"/>
      <c r="C75" s="1133"/>
      <c r="D75" s="1133"/>
      <c r="E75" s="1082"/>
      <c r="F75" s="1082"/>
      <c r="G75" s="1133"/>
      <c r="H75" s="1133"/>
      <c r="I75" s="1133"/>
      <c r="J75" s="1133"/>
      <c r="K75" s="945"/>
      <c r="L75" s="1133"/>
      <c r="M75" s="1133"/>
      <c r="N75" s="1133"/>
      <c r="O75" s="1133"/>
      <c r="P75" s="1133"/>
      <c r="Q75" s="1133"/>
      <c r="R75" s="1133"/>
      <c r="S75" s="1133"/>
      <c r="T75" s="1133"/>
      <c r="U75" s="1133"/>
      <c r="V75" s="1133"/>
      <c r="W75" s="1133"/>
      <c r="X75" s="1133"/>
      <c r="Y75" s="1133"/>
      <c r="Z75" s="1108"/>
    </row>
    <row r="76" spans="1:26" ht="12.75" customHeight="1" x14ac:dyDescent="0.2">
      <c r="C76" s="2306" t="s">
        <v>667</v>
      </c>
      <c r="D76" s="2307"/>
      <c r="E76" s="900"/>
      <c r="F76" s="902"/>
      <c r="G76" s="975"/>
      <c r="H76" s="975"/>
      <c r="I76" s="976"/>
      <c r="J76" s="975"/>
      <c r="K76" s="975"/>
      <c r="L76" s="975"/>
      <c r="M76" s="976"/>
      <c r="N76" s="975"/>
      <c r="O76" s="1146"/>
      <c r="P76" s="981" t="s">
        <v>668</v>
      </c>
      <c r="Q76" s="981"/>
      <c r="R76" s="981" t="s">
        <v>551</v>
      </c>
      <c r="S76" s="982"/>
      <c r="T76" s="1133"/>
      <c r="U76" s="984"/>
      <c r="V76" s="984"/>
      <c r="W76" s="984"/>
      <c r="X76" s="984"/>
      <c r="Y76" s="984"/>
      <c r="Z76" s="1147"/>
    </row>
    <row r="77" spans="1:26" ht="12.75" customHeight="1" x14ac:dyDescent="0.2">
      <c r="C77" s="2408" t="s">
        <v>35</v>
      </c>
      <c r="D77" s="2409"/>
      <c r="E77" s="905"/>
      <c r="F77" s="906" t="s">
        <v>546</v>
      </c>
      <c r="G77" s="985" t="s">
        <v>547</v>
      </c>
      <c r="H77" s="985" t="s">
        <v>548</v>
      </c>
      <c r="I77" s="986" t="s">
        <v>549</v>
      </c>
      <c r="J77" s="985" t="s">
        <v>497</v>
      </c>
      <c r="K77" s="985" t="s">
        <v>496</v>
      </c>
      <c r="L77" s="985" t="s">
        <v>495</v>
      </c>
      <c r="M77" s="986" t="s">
        <v>494</v>
      </c>
      <c r="N77" s="985" t="s">
        <v>363</v>
      </c>
      <c r="O77" s="989"/>
      <c r="P77" s="983" t="s">
        <v>546</v>
      </c>
      <c r="Q77" s="983" t="s">
        <v>497</v>
      </c>
      <c r="R77" s="2310" t="s">
        <v>35</v>
      </c>
      <c r="S77" s="2311"/>
      <c r="T77" s="1133"/>
      <c r="U77" s="987" t="s">
        <v>550</v>
      </c>
      <c r="V77" s="987" t="s">
        <v>498</v>
      </c>
      <c r="W77" s="987" t="s">
        <v>490</v>
      </c>
      <c r="X77" s="987" t="s">
        <v>360</v>
      </c>
      <c r="Y77" s="987" t="s">
        <v>342</v>
      </c>
      <c r="Z77" s="1147"/>
    </row>
    <row r="78" spans="1:26" ht="12.75" customHeight="1" x14ac:dyDescent="0.2">
      <c r="A78" s="1118"/>
      <c r="B78" s="945" t="s">
        <v>282</v>
      </c>
      <c r="C78" s="2160">
        <v>393</v>
      </c>
      <c r="D78" s="1135">
        <v>9.6410960920442559E-3</v>
      </c>
      <c r="E78" s="1076"/>
      <c r="F78" s="1092">
        <v>41156</v>
      </c>
      <c r="G78" s="1179">
        <v>49398</v>
      </c>
      <c r="H78" s="1179">
        <v>44850</v>
      </c>
      <c r="I78" s="1189">
        <v>40107</v>
      </c>
      <c r="J78" s="1179">
        <v>40763</v>
      </c>
      <c r="K78" s="1179">
        <v>36551</v>
      </c>
      <c r="L78" s="1179">
        <v>36039</v>
      </c>
      <c r="M78" s="1189">
        <v>41773</v>
      </c>
      <c r="N78" s="1179">
        <v>45947</v>
      </c>
      <c r="O78" s="1113"/>
      <c r="P78" s="2160">
        <v>175511</v>
      </c>
      <c r="Q78" s="1312">
        <v>155126</v>
      </c>
      <c r="R78" s="1312">
        <v>20385</v>
      </c>
      <c r="S78" s="1135">
        <v>0.13140930598352307</v>
      </c>
      <c r="T78" s="1133"/>
      <c r="U78" s="1256">
        <v>175511</v>
      </c>
      <c r="V78" s="1256">
        <v>155126</v>
      </c>
      <c r="W78" s="1256">
        <v>170532</v>
      </c>
      <c r="X78" s="1256">
        <v>156379</v>
      </c>
      <c r="Y78" s="1256">
        <v>159171</v>
      </c>
      <c r="Z78" s="1147"/>
    </row>
    <row r="79" spans="1:26" ht="12.75" customHeight="1" x14ac:dyDescent="0.2">
      <c r="A79" s="1118"/>
      <c r="B79" s="945" t="s">
        <v>57</v>
      </c>
      <c r="C79" s="1123">
        <v>-31511</v>
      </c>
      <c r="D79" s="1017">
        <v>-0.3998401197832735</v>
      </c>
      <c r="E79" s="1076"/>
      <c r="F79" s="1092">
        <v>47298</v>
      </c>
      <c r="G79" s="1179">
        <v>84399</v>
      </c>
      <c r="H79" s="1179">
        <v>55026</v>
      </c>
      <c r="I79" s="1189">
        <v>56992</v>
      </c>
      <c r="J79" s="1179">
        <v>78809</v>
      </c>
      <c r="K79" s="1179">
        <v>96198</v>
      </c>
      <c r="L79" s="1179">
        <v>27392</v>
      </c>
      <c r="M79" s="1189">
        <v>32421</v>
      </c>
      <c r="N79" s="1179">
        <v>61793</v>
      </c>
      <c r="O79" s="1113"/>
      <c r="P79" s="1123">
        <v>243715</v>
      </c>
      <c r="Q79" s="1166">
        <v>234820</v>
      </c>
      <c r="R79" s="1166">
        <v>8895</v>
      </c>
      <c r="S79" s="1017">
        <v>3.7880078357891152E-2</v>
      </c>
      <c r="T79" s="1133"/>
      <c r="U79" s="1256">
        <v>243715</v>
      </c>
      <c r="V79" s="1256">
        <v>234820</v>
      </c>
      <c r="W79" s="1256">
        <v>168910</v>
      </c>
      <c r="X79" s="1256">
        <v>120391</v>
      </c>
      <c r="Y79" s="1256">
        <v>215571</v>
      </c>
      <c r="Z79" s="1147"/>
    </row>
    <row r="80" spans="1:26" ht="12.75" customHeight="1" x14ac:dyDescent="0.2">
      <c r="A80" s="1118"/>
      <c r="B80" s="945" t="s">
        <v>188</v>
      </c>
      <c r="C80" s="1123">
        <v>-8792</v>
      </c>
      <c r="D80" s="1017">
        <v>-0.21480576594185194</v>
      </c>
      <c r="E80" s="1076"/>
      <c r="F80" s="1092">
        <v>32138</v>
      </c>
      <c r="G80" s="1179">
        <v>40049</v>
      </c>
      <c r="H80" s="1179">
        <v>43916</v>
      </c>
      <c r="I80" s="1189">
        <v>24641</v>
      </c>
      <c r="J80" s="1179">
        <v>40930</v>
      </c>
      <c r="K80" s="1179">
        <v>32097</v>
      </c>
      <c r="L80" s="1179">
        <v>30449</v>
      </c>
      <c r="M80" s="1189">
        <v>18896</v>
      </c>
      <c r="N80" s="1179">
        <v>52474</v>
      </c>
      <c r="O80" s="1113"/>
      <c r="P80" s="1123">
        <v>140744</v>
      </c>
      <c r="Q80" s="1166">
        <v>122372</v>
      </c>
      <c r="R80" s="1166">
        <v>18372</v>
      </c>
      <c r="S80" s="1017">
        <v>0.15013238322492073</v>
      </c>
      <c r="T80" s="1133"/>
      <c r="U80" s="1256">
        <v>140744</v>
      </c>
      <c r="V80" s="1256">
        <v>122372</v>
      </c>
      <c r="W80" s="1256">
        <v>130281</v>
      </c>
      <c r="X80" s="1256">
        <v>160172</v>
      </c>
      <c r="Y80" s="1256">
        <v>153215</v>
      </c>
      <c r="Z80" s="1147"/>
    </row>
    <row r="81" spans="1:26" ht="12.75" customHeight="1" x14ac:dyDescent="0.2">
      <c r="A81" s="1118"/>
      <c r="B81" s="945" t="s">
        <v>58</v>
      </c>
      <c r="C81" s="1123">
        <v>-886</v>
      </c>
      <c r="D81" s="1017">
        <v>-2.4596080173227473E-2</v>
      </c>
      <c r="E81" s="1076"/>
      <c r="F81" s="1092">
        <v>35136</v>
      </c>
      <c r="G81" s="1179">
        <v>30746</v>
      </c>
      <c r="H81" s="1179">
        <v>28977</v>
      </c>
      <c r="I81" s="1189">
        <v>30894</v>
      </c>
      <c r="J81" s="1179">
        <v>36022</v>
      </c>
      <c r="K81" s="1179">
        <v>29115</v>
      </c>
      <c r="L81" s="1179">
        <v>22746</v>
      </c>
      <c r="M81" s="1189">
        <v>25832</v>
      </c>
      <c r="N81" s="1179">
        <v>30949</v>
      </c>
      <c r="O81" s="1113"/>
      <c r="P81" s="1123">
        <v>125753</v>
      </c>
      <c r="Q81" s="1166">
        <v>113715</v>
      </c>
      <c r="R81" s="1166">
        <v>12038</v>
      </c>
      <c r="S81" s="1017">
        <v>0.10586114408829091</v>
      </c>
      <c r="T81" s="1133"/>
      <c r="U81" s="1256">
        <v>125753</v>
      </c>
      <c r="V81" s="1256">
        <v>113715</v>
      </c>
      <c r="W81" s="1256">
        <v>118514</v>
      </c>
      <c r="X81" s="1256">
        <v>89263</v>
      </c>
      <c r="Y81" s="1256">
        <v>74885</v>
      </c>
      <c r="Z81" s="1147"/>
    </row>
    <row r="82" spans="1:26" ht="12.75" customHeight="1" x14ac:dyDescent="0.2">
      <c r="A82" s="1118"/>
      <c r="B82" s="945" t="s">
        <v>59</v>
      </c>
      <c r="C82" s="1123">
        <v>-571</v>
      </c>
      <c r="D82" s="1017">
        <v>-0.14353946706887882</v>
      </c>
      <c r="E82" s="1076"/>
      <c r="F82" s="1092">
        <v>3407</v>
      </c>
      <c r="G82" s="1179">
        <v>3522</v>
      </c>
      <c r="H82" s="1179">
        <v>4752</v>
      </c>
      <c r="I82" s="1189">
        <v>2201</v>
      </c>
      <c r="J82" s="1179">
        <v>3978</v>
      </c>
      <c r="K82" s="1179">
        <v>1944</v>
      </c>
      <c r="L82" s="1179">
        <v>1814</v>
      </c>
      <c r="M82" s="1189">
        <v>1999</v>
      </c>
      <c r="N82" s="1179">
        <v>2037</v>
      </c>
      <c r="O82" s="1113"/>
      <c r="P82" s="1123">
        <v>13882</v>
      </c>
      <c r="Q82" s="1166">
        <v>9735</v>
      </c>
      <c r="R82" s="1166">
        <v>4147</v>
      </c>
      <c r="S82" s="1017">
        <v>0.42598870056497173</v>
      </c>
      <c r="T82" s="1133"/>
      <c r="U82" s="1256">
        <v>13882</v>
      </c>
      <c r="V82" s="1256">
        <v>9735</v>
      </c>
      <c r="W82" s="1256">
        <v>4944</v>
      </c>
      <c r="X82" s="1256">
        <v>3271</v>
      </c>
      <c r="Y82" s="1256">
        <v>6608</v>
      </c>
      <c r="Z82" s="1147"/>
    </row>
    <row r="83" spans="1:26" ht="12.75" customHeight="1" x14ac:dyDescent="0.2">
      <c r="A83" s="1248"/>
      <c r="B83" s="945" t="s">
        <v>60</v>
      </c>
      <c r="C83" s="1214">
        <v>727</v>
      </c>
      <c r="D83" s="1117" t="s">
        <v>38</v>
      </c>
      <c r="E83" s="2219"/>
      <c r="F83" s="1092">
        <v>912</v>
      </c>
      <c r="G83" s="1179">
        <v>1259</v>
      </c>
      <c r="H83" s="1179">
        <v>1213</v>
      </c>
      <c r="I83" s="1189">
        <v>1337</v>
      </c>
      <c r="J83" s="1179">
        <v>185</v>
      </c>
      <c r="K83" s="1179">
        <v>298</v>
      </c>
      <c r="L83" s="1179">
        <v>440</v>
      </c>
      <c r="M83" s="1189">
        <v>865</v>
      </c>
      <c r="N83" s="1179">
        <v>320</v>
      </c>
      <c r="O83" s="1113"/>
      <c r="P83" s="1214">
        <v>4721</v>
      </c>
      <c r="Q83" s="1172">
        <v>1788</v>
      </c>
      <c r="R83" s="1172">
        <v>2933</v>
      </c>
      <c r="S83" s="1117">
        <v>1.640380313199105</v>
      </c>
      <c r="T83" s="1118"/>
      <c r="U83" s="1256">
        <v>4721</v>
      </c>
      <c r="V83" s="1259">
        <v>1788</v>
      </c>
      <c r="W83" s="1259">
        <v>5210</v>
      </c>
      <c r="X83" s="1259">
        <v>2794</v>
      </c>
      <c r="Y83" s="1256">
        <v>3655</v>
      </c>
      <c r="Z83" s="1147"/>
    </row>
    <row r="84" spans="1:26" ht="12.75" customHeight="1" x14ac:dyDescent="0.2">
      <c r="A84" s="1248"/>
      <c r="B84" s="945"/>
      <c r="C84" s="955">
        <v>-40640</v>
      </c>
      <c r="D84" s="1017">
        <v>-0.20250439739494835</v>
      </c>
      <c r="E84" s="1078"/>
      <c r="F84" s="1236">
        <v>160047</v>
      </c>
      <c r="G84" s="1313">
        <v>209373</v>
      </c>
      <c r="H84" s="1313">
        <v>178734</v>
      </c>
      <c r="I84" s="1314">
        <v>156172</v>
      </c>
      <c r="J84" s="1313">
        <v>200687</v>
      </c>
      <c r="K84" s="2208">
        <v>196203</v>
      </c>
      <c r="L84" s="1313">
        <v>118880</v>
      </c>
      <c r="M84" s="1314">
        <v>121786</v>
      </c>
      <c r="N84" s="1313">
        <v>193520</v>
      </c>
      <c r="O84" s="1146"/>
      <c r="P84" s="1166">
        <v>704326</v>
      </c>
      <c r="Q84" s="1172">
        <v>637556</v>
      </c>
      <c r="R84" s="2161">
        <v>66770</v>
      </c>
      <c r="S84" s="1117">
        <v>0.10472805526102805</v>
      </c>
      <c r="T84" s="1108"/>
      <c r="U84" s="1264">
        <v>704326</v>
      </c>
      <c r="V84" s="1169">
        <v>637556</v>
      </c>
      <c r="W84" s="1169">
        <v>598391</v>
      </c>
      <c r="X84" s="1169">
        <v>532270</v>
      </c>
      <c r="Y84" s="1317">
        <v>613105</v>
      </c>
      <c r="Z84" s="1147"/>
    </row>
    <row r="85" spans="1:26" ht="11.25" customHeight="1" x14ac:dyDescent="0.2">
      <c r="A85" s="1248"/>
      <c r="B85" s="945"/>
      <c r="C85" s="1251"/>
      <c r="D85" s="1205"/>
      <c r="E85" s="1078"/>
      <c r="F85" s="1237"/>
      <c r="G85" s="1319"/>
      <c r="H85" s="1319"/>
      <c r="I85" s="1320"/>
      <c r="J85" s="1319"/>
      <c r="K85" s="1204"/>
      <c r="L85" s="1319"/>
      <c r="M85" s="1320"/>
      <c r="N85" s="1319"/>
      <c r="O85" s="1146"/>
      <c r="P85" s="1319"/>
      <c r="Q85" s="1319"/>
      <c r="R85" s="1319"/>
      <c r="S85" s="1320"/>
      <c r="T85" s="1108"/>
      <c r="U85" s="1322"/>
      <c r="V85" s="1322"/>
      <c r="W85" s="1322"/>
      <c r="X85" s="1322"/>
      <c r="Y85" s="1322"/>
      <c r="Z85" s="1147"/>
    </row>
    <row r="86" spans="1:26" ht="13.5" customHeight="1" x14ac:dyDescent="0.2">
      <c r="A86" s="1118"/>
      <c r="B86" s="945" t="s">
        <v>637</v>
      </c>
      <c r="C86" s="1116">
        <v>1266</v>
      </c>
      <c r="D86" s="1117">
        <v>0.89217758985200846</v>
      </c>
      <c r="E86" s="1081"/>
      <c r="F86" s="1106">
        <v>-153</v>
      </c>
      <c r="G86" s="1212">
        <v>-2040</v>
      </c>
      <c r="H86" s="1212">
        <v>-1580</v>
      </c>
      <c r="I86" s="1171">
        <v>-2625</v>
      </c>
      <c r="J86" s="1212">
        <v>-1419</v>
      </c>
      <c r="K86" s="1212">
        <v>-3097</v>
      </c>
      <c r="L86" s="1212">
        <v>-993</v>
      </c>
      <c r="M86" s="1171">
        <v>-2847</v>
      </c>
      <c r="N86" s="1212">
        <v>-2179</v>
      </c>
      <c r="O86" s="1169"/>
      <c r="P86" s="1172">
        <v>-6398</v>
      </c>
      <c r="Q86" s="1172">
        <v>-8356</v>
      </c>
      <c r="R86" s="1172">
        <v>1958</v>
      </c>
      <c r="S86" s="1117">
        <v>0.23432264241263762</v>
      </c>
      <c r="T86" s="1133"/>
      <c r="U86" s="1324">
        <v>-6398</v>
      </c>
      <c r="V86" s="1324">
        <v>-8356</v>
      </c>
      <c r="W86" s="1324">
        <v>-12765</v>
      </c>
      <c r="X86" s="1324">
        <v>-14260</v>
      </c>
      <c r="Y86" s="1324">
        <v>-13825</v>
      </c>
      <c r="Z86" s="1147"/>
    </row>
    <row r="87" spans="1:26" ht="12.75" customHeight="1" x14ac:dyDescent="0.2">
      <c r="A87" s="1248"/>
      <c r="B87" s="945"/>
      <c r="C87" s="999"/>
      <c r="D87" s="957"/>
      <c r="E87" s="1075"/>
      <c r="F87" s="1075"/>
      <c r="G87" s="1109"/>
      <c r="H87" s="1109"/>
      <c r="I87" s="1109"/>
      <c r="J87" s="1109"/>
      <c r="K87" s="940"/>
      <c r="L87" s="1109"/>
      <c r="M87" s="1109"/>
      <c r="N87" s="1109"/>
      <c r="O87" s="1109"/>
      <c r="P87" s="1109"/>
      <c r="Q87" s="1109"/>
      <c r="R87" s="1326"/>
      <c r="S87" s="951"/>
      <c r="T87" s="1108"/>
      <c r="U87" s="1108"/>
      <c r="V87" s="1108"/>
      <c r="W87" s="1108"/>
      <c r="X87" s="1108"/>
      <c r="Y87" s="1166"/>
      <c r="Z87" s="1108"/>
    </row>
    <row r="88" spans="1:26" ht="12.75" customHeight="1" x14ac:dyDescent="0.2">
      <c r="A88" s="945" t="s">
        <v>339</v>
      </c>
      <c r="B88" s="969"/>
      <c r="C88" s="1327"/>
      <c r="D88" s="1327"/>
      <c r="E88" s="2132"/>
      <c r="F88" s="2132"/>
      <c r="G88" s="1327"/>
      <c r="H88" s="1327"/>
      <c r="I88" s="1327"/>
      <c r="J88" s="1327"/>
      <c r="K88" s="1327"/>
      <c r="L88" s="1327"/>
      <c r="M88" s="1327"/>
      <c r="N88" s="1327"/>
      <c r="P88" s="1253"/>
      <c r="Q88" s="1253"/>
    </row>
    <row r="89" spans="1:26" x14ac:dyDescent="0.2">
      <c r="A89" s="968" t="s">
        <v>25</v>
      </c>
      <c r="B89" s="1109"/>
      <c r="C89" s="1253"/>
      <c r="D89" s="1253"/>
      <c r="K89" s="1218"/>
      <c r="P89" s="1253"/>
      <c r="Q89" s="1253"/>
      <c r="R89" s="1253"/>
      <c r="S89" s="1253"/>
      <c r="T89" s="1253"/>
      <c r="U89" s="1253"/>
      <c r="V89" s="1253"/>
      <c r="W89" s="1253"/>
      <c r="X89" s="1253"/>
      <c r="Y89" s="1253"/>
    </row>
    <row r="90" spans="1:26" x14ac:dyDescent="0.2">
      <c r="A90" s="940"/>
      <c r="K90" s="1218"/>
    </row>
    <row r="91" spans="1:26" x14ac:dyDescent="0.2">
      <c r="A91" s="945" t="s">
        <v>552</v>
      </c>
      <c r="K91" s="1218"/>
    </row>
    <row r="92" spans="1:26" x14ac:dyDescent="0.2">
      <c r="K92" s="1218"/>
    </row>
    <row r="93" spans="1:26" x14ac:dyDescent="0.2">
      <c r="K93" s="1218"/>
    </row>
    <row r="94" spans="1:26" x14ac:dyDescent="0.2">
      <c r="K94" s="1218"/>
    </row>
    <row r="95" spans="1:26" x14ac:dyDescent="0.2">
      <c r="K95" s="1218"/>
      <c r="P95" s="1253"/>
      <c r="Q95" s="1253"/>
    </row>
    <row r="96" spans="1:26" x14ac:dyDescent="0.2">
      <c r="K96" s="1218"/>
      <c r="P96" s="1253"/>
      <c r="Q96" s="1253"/>
    </row>
    <row r="97" spans="11:17" x14ac:dyDescent="0.2">
      <c r="K97" s="1218"/>
      <c r="P97" s="1253"/>
      <c r="Q97" s="1253"/>
    </row>
    <row r="98" spans="11:17" x14ac:dyDescent="0.2">
      <c r="K98" s="1218"/>
      <c r="P98" s="1253"/>
      <c r="Q98" s="1253"/>
    </row>
    <row r="99" spans="11:17" x14ac:dyDescent="0.2">
      <c r="K99" s="1218"/>
      <c r="P99" s="1253"/>
      <c r="Q99" s="1253"/>
    </row>
    <row r="100" spans="11:17" x14ac:dyDescent="0.2">
      <c r="K100" s="1218"/>
      <c r="P100" s="1253"/>
      <c r="Q100" s="1253"/>
    </row>
    <row r="101" spans="11:17" x14ac:dyDescent="0.2">
      <c r="K101" s="1218"/>
      <c r="P101" s="1253"/>
      <c r="Q101" s="1253"/>
    </row>
    <row r="102" spans="11:17" x14ac:dyDescent="0.2">
      <c r="K102" s="1218"/>
      <c r="P102" s="1253"/>
      <c r="Q102" s="1253"/>
    </row>
    <row r="103" spans="11:17" x14ac:dyDescent="0.2">
      <c r="K103" s="1218"/>
      <c r="P103" s="1253"/>
      <c r="Q103" s="1253"/>
    </row>
    <row r="104" spans="11:17" x14ac:dyDescent="0.2">
      <c r="P104" s="1253"/>
      <c r="Q104" s="1253"/>
    </row>
  </sheetData>
  <mergeCells count="11">
    <mergeCell ref="A46:B46"/>
    <mergeCell ref="A47:B47"/>
    <mergeCell ref="R77:S77"/>
    <mergeCell ref="C11:D11"/>
    <mergeCell ref="C12:D12"/>
    <mergeCell ref="R12:S12"/>
    <mergeCell ref="C63:D63"/>
    <mergeCell ref="C64:D64"/>
    <mergeCell ref="R64:S64"/>
    <mergeCell ref="C76:D76"/>
    <mergeCell ref="C77:D77"/>
  </mergeCells>
  <conditionalFormatting sqref="A87 A83:A85 A61:A62 A75 A51:B53">
    <cfRule type="cellIs" dxfId="112" priority="12" stopIfTrue="1" operator="equal">
      <formula>0</formula>
    </cfRule>
  </conditionalFormatting>
  <conditionalFormatting sqref="Y74">
    <cfRule type="cellIs" dxfId="111" priority="8" stopIfTrue="1" operator="equal">
      <formula>0</formula>
    </cfRule>
  </conditionalFormatting>
  <conditionalFormatting sqref="X74">
    <cfRule type="cellIs" dxfId="110" priority="7" stopIfTrue="1" operator="equal">
      <formula>0</formula>
    </cfRule>
  </conditionalFormatting>
  <conditionalFormatting sqref="W74">
    <cfRule type="cellIs" dxfId="109" priority="5" stopIfTrue="1" operator="equal">
      <formula>0</formula>
    </cfRule>
  </conditionalFormatting>
  <conditionalFormatting sqref="V74">
    <cfRule type="cellIs" dxfId="108" priority="4" stopIfTrue="1" operator="equal">
      <formula>0</formula>
    </cfRule>
  </conditionalFormatting>
  <conditionalFormatting sqref="B70">
    <cfRule type="cellIs" dxfId="107" priority="2" stopIfTrue="1" operator="equal">
      <formula>0</formula>
    </cfRule>
  </conditionalFormatting>
  <conditionalFormatting sqref="U74">
    <cfRule type="cellIs" dxfId="106" priority="1" stopIfTrue="1" operator="equal">
      <formula>0</formula>
    </cfRule>
  </conditionalFormatting>
  <printOptions horizontalCentered="1" verticalCentered="1"/>
  <pageMargins left="0" right="0" top="0" bottom="0" header="0" footer="0"/>
  <pageSetup scale="49" orientation="landscape" r:id="rId1"/>
  <headerFooter alignWithMargins="0">
    <oddFooter>&amp;L&amp;F&amp;CPage 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25</vt:i4>
      </vt:variant>
      <vt:variant>
        <vt:lpstr>Named Ranges</vt:lpstr>
      </vt:variant>
      <vt:variant>
        <vt:i4>27</vt:i4>
      </vt:variant>
    </vt:vector>
  </HeadingPairs>
  <TitlesOfParts>
    <vt:vector size="52" baseType="lpstr">
      <vt:lpstr>1 Cover</vt:lpstr>
      <vt:lpstr>2 Table of Contents</vt:lpstr>
      <vt:lpstr>1 Financial Highlights</vt:lpstr>
      <vt:lpstr>2 Consolidated IS</vt:lpstr>
      <vt:lpstr>MDA Tables</vt:lpstr>
      <vt:lpstr>3 Business Segments FY19</vt:lpstr>
      <vt:lpstr>4 Capital Markets North America</vt:lpstr>
      <vt:lpstr>3 Business Segments FY18</vt:lpstr>
      <vt:lpstr>4 Canaccord Genuity </vt:lpstr>
      <vt:lpstr>5 Capital Markets Canada</vt:lpstr>
      <vt:lpstr>6 CG - US</vt:lpstr>
      <vt:lpstr>7 UK &amp; Dubai</vt:lpstr>
      <vt:lpstr>8 CG - Australia</vt:lpstr>
      <vt:lpstr>9 Wealth Management</vt:lpstr>
      <vt:lpstr>CWM BGF</vt:lpstr>
      <vt:lpstr>10 CWM Canada</vt:lpstr>
      <vt:lpstr>11 CWM UK and Europe</vt:lpstr>
      <vt:lpstr>12 Other</vt:lpstr>
      <vt:lpstr>13 Balance Sheet</vt:lpstr>
      <vt:lpstr>7 Canada</vt:lpstr>
      <vt:lpstr>8 UK and Europe</vt:lpstr>
      <vt:lpstr>9 US</vt:lpstr>
      <vt:lpstr>14 Misc Operating Stats</vt:lpstr>
      <vt:lpstr>15 Notes</vt:lpstr>
      <vt:lpstr>NHI</vt:lpstr>
      <vt:lpstr>'MDA Tables'!OLE_LINK30</vt:lpstr>
      <vt:lpstr>'MDA Tables'!OLE_LINK40</vt:lpstr>
      <vt:lpstr>'1 Cover'!Print_Area</vt:lpstr>
      <vt:lpstr>'1 Financial Highlights'!Print_Area</vt:lpstr>
      <vt:lpstr>'10 CWM Canada'!Print_Area</vt:lpstr>
      <vt:lpstr>'11 CWM UK and Europe'!Print_Area</vt:lpstr>
      <vt:lpstr>'12 Other'!Print_Area</vt:lpstr>
      <vt:lpstr>'13 Balance Sheet'!Print_Area</vt:lpstr>
      <vt:lpstr>'14 Misc Operating Stats'!Print_Area</vt:lpstr>
      <vt:lpstr>'15 Notes'!Print_Area</vt:lpstr>
      <vt:lpstr>'2 Consolidated IS'!Print_Area</vt:lpstr>
      <vt:lpstr>'2 Table of Contents'!Print_Area</vt:lpstr>
      <vt:lpstr>'3 Business Segments FY18'!Print_Area</vt:lpstr>
      <vt:lpstr>'3 Business Segments FY19'!Print_Area</vt:lpstr>
      <vt:lpstr>'4 Canaccord Genuity '!Print_Area</vt:lpstr>
      <vt:lpstr>'4 Capital Markets North America'!Print_Area</vt:lpstr>
      <vt:lpstr>'5 Capital Markets Canada'!Print_Area</vt:lpstr>
      <vt:lpstr>'6 CG - US'!Print_Area</vt:lpstr>
      <vt:lpstr>'7 Canada'!Print_Area</vt:lpstr>
      <vt:lpstr>'7 UK &amp; Dubai'!Print_Area</vt:lpstr>
      <vt:lpstr>'8 CG - Australia'!Print_Area</vt:lpstr>
      <vt:lpstr>'8 UK and Europe'!Print_Area</vt:lpstr>
      <vt:lpstr>'9 US'!Print_Area</vt:lpstr>
      <vt:lpstr>'9 Wealth Management'!Print_Area</vt:lpstr>
      <vt:lpstr>'CWM BGF'!Print_Area</vt:lpstr>
      <vt:lpstr>'MDA Tables'!Print_Area</vt:lpstr>
      <vt:lpstr>NHI!Print_Area</vt:lpstr>
    </vt:vector>
  </TitlesOfParts>
  <Company>Canaccord Capital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Grisdale</dc:creator>
  <cp:lastModifiedBy>Yip, Flora</cp:lastModifiedBy>
  <cp:lastPrinted>2019-06-05T23:25:07Z</cp:lastPrinted>
  <dcterms:created xsi:type="dcterms:W3CDTF">2008-06-18T15:17:32Z</dcterms:created>
  <dcterms:modified xsi:type="dcterms:W3CDTF">2019-06-05T23:37:44Z</dcterms:modified>
</cp:coreProperties>
</file>