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sharedStrings.xml" ContentType="application/vnd.openxmlformats-officedocument.spreadsheetml.sharedStrings+xml"/>
  <Override PartName="/xl/worksheets/sheet18.xml" ContentType="application/vnd.openxmlformats-officedocument.spreadsheetml.worksheet+xml"/>
  <Default Extension="bin" ContentType="application/vnd.openxmlformats-officedocument.spreadsheetml.printerSettings"/>
  <Default Extension="png" ContentType="image/png"/>
  <Override PartName="/xl/worksheets/sheet16.xml" ContentType="application/vnd.openxmlformats-officedocument.spreadsheetml.worksheet+xml"/>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140" yWindow="6465" windowWidth="17445" windowHeight="7005" tabRatio="900"/>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6 CG - UK" sheetId="37" r:id="rId8"/>
    <sheet name="7 CG Other Foreign Loc" sheetId="34" r:id="rId9"/>
    <sheet name="8 CWM Canada" sheetId="40" r:id="rId10"/>
    <sheet name="9 CWM UK and Europe" sheetId="35" r:id="rId11"/>
    <sheet name="CWM BGF" sheetId="39" state="hidden" r:id="rId12"/>
    <sheet name="10 Other" sheetId="12" r:id="rId13"/>
    <sheet name="11 Balance Sheet" sheetId="16" r:id="rId14"/>
    <sheet name="7 Canada" sheetId="13" state="hidden" r:id="rId15"/>
    <sheet name="8 UK and Europe" sheetId="33" state="hidden" r:id="rId16"/>
    <sheet name="9 US" sheetId="15" state="hidden" r:id="rId17"/>
    <sheet name="12 Misc Operating Stats" sheetId="17" r:id="rId18"/>
    <sheet name="13 Notes" sheetId="6" r:id="rId19"/>
    <sheet name="NHI" sheetId="26" state="hidden" r:id="rId20"/>
  </sheets>
  <externalReferences>
    <externalReference r:id="rId21"/>
    <externalReference r:id="rId22"/>
    <externalReference r:id="rId23"/>
    <externalReference r:id="rId24"/>
  </externalReferences>
  <definedNames>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5">#REF!</definedName>
    <definedName name="\B" localSheetId="10">#REF!</definedName>
    <definedName name="\B" localSheetId="11">#REF!</definedName>
    <definedName name="\B">#REF!</definedName>
    <definedName name="\G" localSheetId="4">#REF!</definedName>
    <definedName name="\G" localSheetId="6">#REF!</definedName>
    <definedName name="\G" localSheetId="7">#REF!</definedName>
    <definedName name="\G" localSheetId="8">#REF!</definedName>
    <definedName name="\G" localSheetId="9">#REF!</definedName>
    <definedName name="\G" localSheetId="10">#REF!</definedName>
    <definedName name="\G" localSheetId="11">#REF!</definedName>
    <definedName name="\G">#REF!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 localSheetId="11">#REF!</definedName>
    <definedName name="\S">#REF!</definedName>
    <definedName name="_2_OR" localSheetId="4">#REF!</definedName>
    <definedName name="_2_OR" localSheetId="6">#REF!</definedName>
    <definedName name="_2_OR" localSheetId="7">#REF!</definedName>
    <definedName name="_2_OR" localSheetId="8">#REF!</definedName>
    <definedName name="_2_OR" localSheetId="9">#REF!</definedName>
    <definedName name="_2_OR" localSheetId="10">#REF!</definedName>
    <definedName name="_2_OR" localSheetId="11">#REF!</definedName>
    <definedName name="_2_OR">#REF!</definedName>
    <definedName name="_APR95" localSheetId="4">#REF!</definedName>
    <definedName name="_APR95" localSheetId="6">#REF!</definedName>
    <definedName name="_APR95" localSheetId="7">#REF!</definedName>
    <definedName name="_APR95" localSheetId="8">#REF!</definedName>
    <definedName name="_APR95" localSheetId="9">#REF!</definedName>
    <definedName name="_APR95" localSheetId="10">#REF!</definedName>
    <definedName name="_APR95" localSheetId="11">#REF!</definedName>
    <definedName name="_APR95">#REF!</definedName>
    <definedName name="_APR96" localSheetId="4">#REF!</definedName>
    <definedName name="_APR96" localSheetId="6">#REF!</definedName>
    <definedName name="_APR96" localSheetId="7">#REF!</definedName>
    <definedName name="_APR96" localSheetId="8">#REF!</definedName>
    <definedName name="_APR96" localSheetId="9">#REF!</definedName>
    <definedName name="_APR96" localSheetId="10">#REF!</definedName>
    <definedName name="_APR96" localSheetId="11">#REF!</definedName>
    <definedName name="_APR96">#REF!</definedName>
    <definedName name="_APR97" localSheetId="4">#REF!</definedName>
    <definedName name="_APR97" localSheetId="6">#REF!</definedName>
    <definedName name="_APR97" localSheetId="7">#REF!</definedName>
    <definedName name="_APR97" localSheetId="8">#REF!</definedName>
    <definedName name="_APR97" localSheetId="9">#REF!</definedName>
    <definedName name="_APR97" localSheetId="10">#REF!</definedName>
    <definedName name="_APR97" localSheetId="11">#REF!</definedName>
    <definedName name="_APR97">#REF!</definedName>
    <definedName name="_AUG94" localSheetId="4">#REF!</definedName>
    <definedName name="_AUG94" localSheetId="6">#REF!</definedName>
    <definedName name="_AUG94" localSheetId="7">#REF!</definedName>
    <definedName name="_AUG94" localSheetId="8">#REF!</definedName>
    <definedName name="_AUG94" localSheetId="9">#REF!</definedName>
    <definedName name="_AUG94" localSheetId="10">#REF!</definedName>
    <definedName name="_AUG94" localSheetId="11">#REF!</definedName>
    <definedName name="_AUG94">#REF!</definedName>
    <definedName name="_AUG95" localSheetId="4">#REF!</definedName>
    <definedName name="_AUG95" localSheetId="6">#REF!</definedName>
    <definedName name="_AUG95" localSheetId="7">#REF!</definedName>
    <definedName name="_AUG95" localSheetId="8">#REF!</definedName>
    <definedName name="_AUG95" localSheetId="9">#REF!</definedName>
    <definedName name="_AUG95" localSheetId="10">#REF!</definedName>
    <definedName name="_AUG95" localSheetId="11">#REF!</definedName>
    <definedName name="_AUG95">#REF!</definedName>
    <definedName name="_AUG96" localSheetId="4">#REF!</definedName>
    <definedName name="_AUG96" localSheetId="6">#REF!</definedName>
    <definedName name="_AUG96" localSheetId="7">#REF!</definedName>
    <definedName name="_AUG96" localSheetId="8">#REF!</definedName>
    <definedName name="_AUG96" localSheetId="9">#REF!</definedName>
    <definedName name="_AUG96" localSheetId="10">#REF!</definedName>
    <definedName name="_AUG96" localSheetId="11">#REF!</definedName>
    <definedName name="_AUG96">#REF!</definedName>
    <definedName name="_AUG97" localSheetId="4">#REF!</definedName>
    <definedName name="_AUG97" localSheetId="6">#REF!</definedName>
    <definedName name="_AUG97" localSheetId="7">#REF!</definedName>
    <definedName name="_AUG97" localSheetId="8">#REF!</definedName>
    <definedName name="_AUG97" localSheetId="9">#REF!</definedName>
    <definedName name="_AUG97" localSheetId="10">#REF!</definedName>
    <definedName name="_AUG97" localSheetId="11">#REF!</definedName>
    <definedName name="_AUG97">#REF!</definedName>
    <definedName name="_DEC94" localSheetId="4">#REF!</definedName>
    <definedName name="_DEC94" localSheetId="6">#REF!</definedName>
    <definedName name="_DEC94" localSheetId="7">#REF!</definedName>
    <definedName name="_DEC94" localSheetId="8">#REF!</definedName>
    <definedName name="_DEC94" localSheetId="9">#REF!</definedName>
    <definedName name="_DEC94" localSheetId="10">#REF!</definedName>
    <definedName name="_DEC94" localSheetId="11">#REF!</definedName>
    <definedName name="_DEC94">#REF!</definedName>
    <definedName name="_DEC95" localSheetId="4">#REF!</definedName>
    <definedName name="_DEC95" localSheetId="6">#REF!</definedName>
    <definedName name="_DEC95" localSheetId="7">#REF!</definedName>
    <definedName name="_DEC95" localSheetId="8">#REF!</definedName>
    <definedName name="_DEC95" localSheetId="9">#REF!</definedName>
    <definedName name="_DEC95" localSheetId="10">#REF!</definedName>
    <definedName name="_DEC95" localSheetId="11">#REF!</definedName>
    <definedName name="_DEC95">#REF!</definedName>
    <definedName name="_DEC96" localSheetId="4">#REF!</definedName>
    <definedName name="_DEC96" localSheetId="6">#REF!</definedName>
    <definedName name="_DEC96" localSheetId="7">#REF!</definedName>
    <definedName name="_DEC96" localSheetId="8">#REF!</definedName>
    <definedName name="_DEC96" localSheetId="9">#REF!</definedName>
    <definedName name="_DEC96" localSheetId="10">#REF!</definedName>
    <definedName name="_DEC96" localSheetId="11">#REF!</definedName>
    <definedName name="_DEC96">#REF!</definedName>
    <definedName name="_FEB95" localSheetId="4">#REF!</definedName>
    <definedName name="_FEB95" localSheetId="6">#REF!</definedName>
    <definedName name="_FEB95" localSheetId="7">#REF!</definedName>
    <definedName name="_FEB95" localSheetId="8">#REF!</definedName>
    <definedName name="_FEB95" localSheetId="9">#REF!</definedName>
    <definedName name="_FEB95" localSheetId="10">#REF!</definedName>
    <definedName name="_FEB95" localSheetId="11">#REF!</definedName>
    <definedName name="_FEB95">#REF!</definedName>
    <definedName name="_FEB96" localSheetId="4">#REF!</definedName>
    <definedName name="_FEB96" localSheetId="6">#REF!</definedName>
    <definedName name="_FEB96" localSheetId="7">#REF!</definedName>
    <definedName name="_FEB96" localSheetId="8">#REF!</definedName>
    <definedName name="_FEB96" localSheetId="9">#REF!</definedName>
    <definedName name="_FEB96" localSheetId="10">#REF!</definedName>
    <definedName name="_FEB96" localSheetId="11">#REF!</definedName>
    <definedName name="_FEB96">#REF!</definedName>
    <definedName name="_FEB97" localSheetId="4">#REF!</definedName>
    <definedName name="_FEB97" localSheetId="6">#REF!</definedName>
    <definedName name="_FEB97" localSheetId="7">#REF!</definedName>
    <definedName name="_FEB97" localSheetId="8">#REF!</definedName>
    <definedName name="_FEB97" localSheetId="9">#REF!</definedName>
    <definedName name="_FEB97" localSheetId="10">#REF!</definedName>
    <definedName name="_FEB97" localSheetId="11">#REF!</definedName>
    <definedName name="_FEB97">#REF!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JAN95" localSheetId="4">#REF!</definedName>
    <definedName name="_JAN95" localSheetId="6">#REF!</definedName>
    <definedName name="_JAN95" localSheetId="7">#REF!</definedName>
    <definedName name="_JAN95" localSheetId="8">#REF!</definedName>
    <definedName name="_JAN95" localSheetId="9">#REF!</definedName>
    <definedName name="_JAN95" localSheetId="10">#REF!</definedName>
    <definedName name="_JAN95" localSheetId="11">#REF!</definedName>
    <definedName name="_JAN95">#REF!</definedName>
    <definedName name="_JAN96" localSheetId="4">#REF!</definedName>
    <definedName name="_JAN96" localSheetId="6">#REF!</definedName>
    <definedName name="_JAN96" localSheetId="7">#REF!</definedName>
    <definedName name="_JAN96" localSheetId="8">#REF!</definedName>
    <definedName name="_JAN96" localSheetId="9">#REF!</definedName>
    <definedName name="_JAN96" localSheetId="10">#REF!</definedName>
    <definedName name="_JAN96" localSheetId="11">#REF!</definedName>
    <definedName name="_JAN96">#REF!</definedName>
    <definedName name="_JAN97" localSheetId="4">#REF!</definedName>
    <definedName name="_JAN97" localSheetId="6">#REF!</definedName>
    <definedName name="_JAN97" localSheetId="7">#REF!</definedName>
    <definedName name="_JAN97" localSheetId="8">#REF!</definedName>
    <definedName name="_JAN97" localSheetId="9">#REF!</definedName>
    <definedName name="_JAN97" localSheetId="10">#REF!</definedName>
    <definedName name="_JAN97" localSheetId="11">#REF!</definedName>
    <definedName name="_JAN97">#REF!</definedName>
    <definedName name="_JUL94" localSheetId="4">#REF!</definedName>
    <definedName name="_JUL94" localSheetId="6">#REF!</definedName>
    <definedName name="_JUL94" localSheetId="7">#REF!</definedName>
    <definedName name="_JUL94" localSheetId="8">#REF!</definedName>
    <definedName name="_JUL94" localSheetId="9">#REF!</definedName>
    <definedName name="_JUL94" localSheetId="10">#REF!</definedName>
    <definedName name="_JUL94" localSheetId="11">#REF!</definedName>
    <definedName name="_JUL94">#REF!</definedName>
    <definedName name="_JUL95" localSheetId="4">#REF!</definedName>
    <definedName name="_JUL95" localSheetId="6">#REF!</definedName>
    <definedName name="_JUL95" localSheetId="7">#REF!</definedName>
    <definedName name="_JUL95" localSheetId="8">#REF!</definedName>
    <definedName name="_JUL95" localSheetId="9">#REF!</definedName>
    <definedName name="_JUL95" localSheetId="10">#REF!</definedName>
    <definedName name="_JUL95" localSheetId="11">#REF!</definedName>
    <definedName name="_JUL95">#REF!</definedName>
    <definedName name="_JUL96" localSheetId="4">#REF!</definedName>
    <definedName name="_JUL96" localSheetId="6">#REF!</definedName>
    <definedName name="_JUL96" localSheetId="7">#REF!</definedName>
    <definedName name="_JUL96" localSheetId="8">#REF!</definedName>
    <definedName name="_JUL96" localSheetId="9">#REF!</definedName>
    <definedName name="_JUL96" localSheetId="10">#REF!</definedName>
    <definedName name="_JUL96" localSheetId="11">#REF!</definedName>
    <definedName name="_JUL96">#REF!</definedName>
    <definedName name="_JUL97" localSheetId="4">#REF!</definedName>
    <definedName name="_JUL97" localSheetId="6">#REF!</definedName>
    <definedName name="_JUL97" localSheetId="7">#REF!</definedName>
    <definedName name="_JUL97" localSheetId="8">#REF!</definedName>
    <definedName name="_JUL97" localSheetId="9">#REF!</definedName>
    <definedName name="_JUL97" localSheetId="10">#REF!</definedName>
    <definedName name="_JUL97" localSheetId="11">#REF!</definedName>
    <definedName name="_JUL97">#REF!</definedName>
    <definedName name="_JUN94" localSheetId="4">#REF!</definedName>
    <definedName name="_JUN94" localSheetId="6">#REF!</definedName>
    <definedName name="_JUN94" localSheetId="7">#REF!</definedName>
    <definedName name="_JUN94" localSheetId="8">#REF!</definedName>
    <definedName name="_JUN94" localSheetId="9">#REF!</definedName>
    <definedName name="_JUN94" localSheetId="10">#REF!</definedName>
    <definedName name="_JUN94" localSheetId="11">#REF!</definedName>
    <definedName name="_JUN94">#REF!</definedName>
    <definedName name="_JUN95" localSheetId="4">#REF!</definedName>
    <definedName name="_JUN95" localSheetId="6">#REF!</definedName>
    <definedName name="_JUN95" localSheetId="7">#REF!</definedName>
    <definedName name="_JUN95" localSheetId="8">#REF!</definedName>
    <definedName name="_JUN95" localSheetId="9">#REF!</definedName>
    <definedName name="_JUN95" localSheetId="10">#REF!</definedName>
    <definedName name="_JUN95" localSheetId="11">#REF!</definedName>
    <definedName name="_JUN95">#REF!</definedName>
    <definedName name="_JUN96" localSheetId="4">#REF!</definedName>
    <definedName name="_JUN96" localSheetId="6">#REF!</definedName>
    <definedName name="_JUN96" localSheetId="7">#REF!</definedName>
    <definedName name="_JUN96" localSheetId="8">#REF!</definedName>
    <definedName name="_JUN96" localSheetId="9">#REF!</definedName>
    <definedName name="_JUN96" localSheetId="10">#REF!</definedName>
    <definedName name="_JUN96" localSheetId="11">#REF!</definedName>
    <definedName name="_JUN96">#REF!</definedName>
    <definedName name="_JUN97" localSheetId="4">#REF!</definedName>
    <definedName name="_JUN97" localSheetId="6">#REF!</definedName>
    <definedName name="_JUN97" localSheetId="7">#REF!</definedName>
    <definedName name="_JUN97" localSheetId="8">#REF!</definedName>
    <definedName name="_JUN97" localSheetId="9">#REF!</definedName>
    <definedName name="_JUN97" localSheetId="10">#REF!</definedName>
    <definedName name="_JUN97" localSheetId="11">#REF!</definedName>
    <definedName name="_JUN97">#REF!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hidden="1">#REF!</definedName>
    <definedName name="_Key2" localSheetId="4"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0" hidden="1">#REF!</definedName>
    <definedName name="_Key2" localSheetId="11" hidden="1">#REF!</definedName>
    <definedName name="_Key2" hidden="1">#REF!</definedName>
    <definedName name="_MAR95" localSheetId="4">#REF!</definedName>
    <definedName name="_MAR95" localSheetId="6">#REF!</definedName>
    <definedName name="_MAR95" localSheetId="7">#REF!</definedName>
    <definedName name="_MAR95" localSheetId="8">#REF!</definedName>
    <definedName name="_MAR95" localSheetId="9">#REF!</definedName>
    <definedName name="_MAR95" localSheetId="10">#REF!</definedName>
    <definedName name="_MAR95" localSheetId="11">#REF!</definedName>
    <definedName name="_MAR95">#REF!</definedName>
    <definedName name="_MAR96" localSheetId="4">#REF!</definedName>
    <definedName name="_MAR96" localSheetId="6">#REF!</definedName>
    <definedName name="_MAR96" localSheetId="7">#REF!</definedName>
    <definedName name="_MAR96" localSheetId="8">#REF!</definedName>
    <definedName name="_MAR96" localSheetId="9">#REF!</definedName>
    <definedName name="_MAR96" localSheetId="10">#REF!</definedName>
    <definedName name="_MAR96" localSheetId="11">#REF!</definedName>
    <definedName name="_MAR96">#REF!</definedName>
    <definedName name="_MAR97" localSheetId="4">#REF!</definedName>
    <definedName name="_MAR97" localSheetId="6">#REF!</definedName>
    <definedName name="_MAR97" localSheetId="7">#REF!</definedName>
    <definedName name="_MAR97" localSheetId="8">#REF!</definedName>
    <definedName name="_MAR97" localSheetId="9">#REF!</definedName>
    <definedName name="_MAR97" localSheetId="10">#REF!</definedName>
    <definedName name="_MAR97" localSheetId="11">#REF!</definedName>
    <definedName name="_MAR97">#REF!</definedName>
    <definedName name="_MAY94" localSheetId="4">#REF!</definedName>
    <definedName name="_MAY94" localSheetId="6">#REF!</definedName>
    <definedName name="_MAY94" localSheetId="7">#REF!</definedName>
    <definedName name="_MAY94" localSheetId="8">#REF!</definedName>
    <definedName name="_MAY94" localSheetId="9">#REF!</definedName>
    <definedName name="_MAY94" localSheetId="10">#REF!</definedName>
    <definedName name="_MAY94" localSheetId="11">#REF!</definedName>
    <definedName name="_MAY94">#REF!</definedName>
    <definedName name="_MAY95" localSheetId="4">#REF!</definedName>
    <definedName name="_MAY95" localSheetId="6">#REF!</definedName>
    <definedName name="_MAY95" localSheetId="7">#REF!</definedName>
    <definedName name="_MAY95" localSheetId="8">#REF!</definedName>
    <definedName name="_MAY95" localSheetId="9">#REF!</definedName>
    <definedName name="_MAY95" localSheetId="10">#REF!</definedName>
    <definedName name="_MAY95" localSheetId="11">#REF!</definedName>
    <definedName name="_MAY95">#REF!</definedName>
    <definedName name="_MAY96" localSheetId="4">#REF!</definedName>
    <definedName name="_MAY96" localSheetId="6">#REF!</definedName>
    <definedName name="_MAY96" localSheetId="7">#REF!</definedName>
    <definedName name="_MAY96" localSheetId="8">#REF!</definedName>
    <definedName name="_MAY96" localSheetId="9">#REF!</definedName>
    <definedName name="_MAY96" localSheetId="10">#REF!</definedName>
    <definedName name="_MAY96" localSheetId="11">#REF!</definedName>
    <definedName name="_MAY96">#REF!</definedName>
    <definedName name="_NCF2" localSheetId="4">#REF!</definedName>
    <definedName name="_NCF2" localSheetId="6">#REF!</definedName>
    <definedName name="_NCF2" localSheetId="7">#REF!</definedName>
    <definedName name="_NCF2" localSheetId="8">#REF!</definedName>
    <definedName name="_NCF2" localSheetId="9">#REF!</definedName>
    <definedName name="_NCF2" localSheetId="10">#REF!</definedName>
    <definedName name="_NCF2" localSheetId="11">#REF!</definedName>
    <definedName name="_NCF2">#REF!</definedName>
    <definedName name="_NO94" localSheetId="4">#REF!</definedName>
    <definedName name="_NO94" localSheetId="6">#REF!</definedName>
    <definedName name="_NO94" localSheetId="7">#REF!</definedName>
    <definedName name="_NO94" localSheetId="8">#REF!</definedName>
    <definedName name="_NO94" localSheetId="9">#REF!</definedName>
    <definedName name="_NO94" localSheetId="10">#REF!</definedName>
    <definedName name="_NO94" localSheetId="11">#REF!</definedName>
    <definedName name="_NO94">#REF!</definedName>
    <definedName name="_NOV94" localSheetId="4">#REF!</definedName>
    <definedName name="_NOV94" localSheetId="6">#REF!</definedName>
    <definedName name="_NOV94" localSheetId="7">#REF!</definedName>
    <definedName name="_NOV94" localSheetId="8">#REF!</definedName>
    <definedName name="_NOV94" localSheetId="9">#REF!</definedName>
    <definedName name="_NOV94" localSheetId="10">#REF!</definedName>
    <definedName name="_NOV94" localSheetId="11">#REF!</definedName>
    <definedName name="_NOV94">#REF!</definedName>
    <definedName name="_NOV95" localSheetId="4">#REF!</definedName>
    <definedName name="_NOV95" localSheetId="6">#REF!</definedName>
    <definedName name="_NOV95" localSheetId="7">#REF!</definedName>
    <definedName name="_NOV95" localSheetId="8">#REF!</definedName>
    <definedName name="_NOV95" localSheetId="9">#REF!</definedName>
    <definedName name="_NOV95" localSheetId="10">#REF!</definedName>
    <definedName name="_NOV95" localSheetId="11">#REF!</definedName>
    <definedName name="_NOV95">#REF!</definedName>
    <definedName name="_NOV97" localSheetId="4">#REF!</definedName>
    <definedName name="_NOV97" localSheetId="6">#REF!</definedName>
    <definedName name="_NOV97" localSheetId="7">#REF!</definedName>
    <definedName name="_NOV97" localSheetId="8">#REF!</definedName>
    <definedName name="_NOV97" localSheetId="9">#REF!</definedName>
    <definedName name="_NOV97" localSheetId="10">#REF!</definedName>
    <definedName name="_NOV97" localSheetId="11">#REF!</definedName>
    <definedName name="_NOV97">#REF!</definedName>
    <definedName name="_OCT94" localSheetId="4">#REF!</definedName>
    <definedName name="_OCT94" localSheetId="6">#REF!</definedName>
    <definedName name="_OCT94" localSheetId="7">#REF!</definedName>
    <definedName name="_OCT94" localSheetId="8">#REF!</definedName>
    <definedName name="_OCT94" localSheetId="9">#REF!</definedName>
    <definedName name="_OCT94" localSheetId="10">#REF!</definedName>
    <definedName name="_OCT94" localSheetId="11">#REF!</definedName>
    <definedName name="_OCT94">#REF!</definedName>
    <definedName name="_OCT95" localSheetId="4">#REF!</definedName>
    <definedName name="_OCT95" localSheetId="6">#REF!</definedName>
    <definedName name="_OCT95" localSheetId="7">#REF!</definedName>
    <definedName name="_OCT95" localSheetId="8">#REF!</definedName>
    <definedName name="_OCT95" localSheetId="9">#REF!</definedName>
    <definedName name="_OCT95" localSheetId="10">#REF!</definedName>
    <definedName name="_OCT95" localSheetId="11">#REF!</definedName>
    <definedName name="_OCT95">#REF!</definedName>
    <definedName name="_OCT97" localSheetId="4">#REF!</definedName>
    <definedName name="_OCT97" localSheetId="6">#REF!</definedName>
    <definedName name="_OCT97" localSheetId="7">#REF!</definedName>
    <definedName name="_OCT97" localSheetId="8">#REF!</definedName>
    <definedName name="_OCT97" localSheetId="9">#REF!</definedName>
    <definedName name="_OCT97" localSheetId="10">#REF!</definedName>
    <definedName name="_OCT97" localSheetId="11">#REF!</definedName>
    <definedName name="_OCT97">#REF!</definedName>
    <definedName name="_Order1" hidden="1">0</definedName>
    <definedName name="_Order2" hidden="1">255</definedName>
    <definedName name="_SEP94" localSheetId="4">#REF!</definedName>
    <definedName name="_SEP94" localSheetId="6">#REF!</definedName>
    <definedName name="_SEP94" localSheetId="7">#REF!</definedName>
    <definedName name="_SEP94" localSheetId="8">#REF!</definedName>
    <definedName name="_SEP94" localSheetId="9">#REF!</definedName>
    <definedName name="_SEP94" localSheetId="15">#REF!</definedName>
    <definedName name="_SEP94" localSheetId="10">#REF!</definedName>
    <definedName name="_SEP94" localSheetId="11">#REF!</definedName>
    <definedName name="_SEP94">#REF!</definedName>
    <definedName name="_SEP95" localSheetId="4">#REF!</definedName>
    <definedName name="_SEP95" localSheetId="6">#REF!</definedName>
    <definedName name="_SEP95" localSheetId="7">#REF!</definedName>
    <definedName name="_SEP95" localSheetId="8">#REF!</definedName>
    <definedName name="_SEP95" localSheetId="9">#REF!</definedName>
    <definedName name="_SEP95" localSheetId="10">#REF!</definedName>
    <definedName name="_SEP95" localSheetId="11">#REF!</definedName>
    <definedName name="_SEP95">#REF!</definedName>
    <definedName name="_SEP97" localSheetId="4">#REF!</definedName>
    <definedName name="_SEP97" localSheetId="6">#REF!</definedName>
    <definedName name="_SEP97" localSheetId="7">#REF!</definedName>
    <definedName name="_SEP97" localSheetId="8">#REF!</definedName>
    <definedName name="_SEP97" localSheetId="9">#REF!</definedName>
    <definedName name="_SEP97" localSheetId="10">#REF!</definedName>
    <definedName name="_SEP97" localSheetId="11">#REF!</definedName>
    <definedName name="_SEP97">#REF!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hidden="1">#REF!</definedName>
    <definedName name="BD" localSheetId="4">#REF!</definedName>
    <definedName name="BD" localSheetId="6">#REF!</definedName>
    <definedName name="BD" localSheetId="7">#REF!</definedName>
    <definedName name="BD" localSheetId="8">#REF!</definedName>
    <definedName name="BD" localSheetId="9">#REF!</definedName>
    <definedName name="BD" localSheetId="10">#REF!</definedName>
    <definedName name="BD" localSheetId="11">#REF!</definedName>
    <definedName name="BD">#REF!</definedName>
    <definedName name="BDS" localSheetId="4">#REF!</definedName>
    <definedName name="BDS" localSheetId="6">#REF!</definedName>
    <definedName name="BDS" localSheetId="7">#REF!</definedName>
    <definedName name="BDS" localSheetId="8">#REF!</definedName>
    <definedName name="BDS" localSheetId="9">#REF!</definedName>
    <definedName name="BDS" localSheetId="10">#REF!</definedName>
    <definedName name="BDS" localSheetId="11">#REF!</definedName>
    <definedName name="BDS">#REF!</definedName>
    <definedName name="BRPFT" localSheetId="4">#REF!</definedName>
    <definedName name="BRPFT" localSheetId="6">#REF!</definedName>
    <definedName name="BRPFT" localSheetId="7">#REF!</definedName>
    <definedName name="BRPFT" localSheetId="8">#REF!</definedName>
    <definedName name="BRPFT" localSheetId="9">#REF!</definedName>
    <definedName name="BRPFT" localSheetId="10">#REF!</definedName>
    <definedName name="BRPFT" localSheetId="11">#REF!</definedName>
    <definedName name="BRPFT">#REF!</definedName>
    <definedName name="CALGARY" localSheetId="4">#REF!</definedName>
    <definedName name="CALGARY" localSheetId="6">#REF!</definedName>
    <definedName name="CALGARY" localSheetId="7">#REF!</definedName>
    <definedName name="CALGARY" localSheetId="8">#REF!</definedName>
    <definedName name="CALGARY" localSheetId="9">#REF!</definedName>
    <definedName name="CALGARY" localSheetId="10">#REF!</definedName>
    <definedName name="CALGARY" localSheetId="11">#REF!</definedName>
    <definedName name="CALGARY">#REF!</definedName>
    <definedName name="cci_end_price_Q206" localSheetId="5">'[1]CCI Stock Prices'!$I$39</definedName>
    <definedName name="cci_end_price_Q206" localSheetId="6">'[1]CCI Stock Prices'!$I$39</definedName>
    <definedName name="cci_end_price_Q206" localSheetId="7">'[1]CCI Stock Prices'!$I$39</definedName>
    <definedName name="cci_end_price_Q206" localSheetId="8">'[1]CCI Stock Prices'!$I$39</definedName>
    <definedName name="cci_end_price_Q206" localSheetId="15">'[1]CCI Stock Prices'!$I$39</definedName>
    <definedName name="cci_end_price_Q206">'[2]CCI Stock Prices'!$I$39</definedName>
    <definedName name="com" localSheetId="4">#REF!</definedName>
    <definedName name="com" localSheetId="6">#REF!</definedName>
    <definedName name="com" localSheetId="7">#REF!</definedName>
    <definedName name="com" localSheetId="8">#REF!</definedName>
    <definedName name="com" localSheetId="9">#REF!</definedName>
    <definedName name="com" localSheetId="15">#REF!</definedName>
    <definedName name="com" localSheetId="10">#REF!</definedName>
    <definedName name="com" localSheetId="11">#REF!</definedName>
    <definedName name="com">#REF!</definedName>
    <definedName name="INCTAX" localSheetId="4">#REF!</definedName>
    <definedName name="INCTAX" localSheetId="6">#REF!</definedName>
    <definedName name="INCTAX" localSheetId="7">#REF!</definedName>
    <definedName name="INCTAX" localSheetId="8">#REF!</definedName>
    <definedName name="INCTAX" localSheetId="9">#REF!</definedName>
    <definedName name="INCTAX" localSheetId="10">#REF!</definedName>
    <definedName name="INCTAX" localSheetId="11">#REF!</definedName>
    <definedName name="INCTAX">#REF!</definedName>
    <definedName name="NCF" localSheetId="4">#REF!</definedName>
    <definedName name="NCF" localSheetId="6">#REF!</definedName>
    <definedName name="NCF" localSheetId="7">#REF!</definedName>
    <definedName name="NCF" localSheetId="8">#REF!</definedName>
    <definedName name="NCF" localSheetId="9">#REF!</definedName>
    <definedName name="NCF" localSheetId="10">#REF!</definedName>
    <definedName name="NCF" localSheetId="11">#REF!</definedName>
    <definedName name="NCF">#REF!</definedName>
    <definedName name="p" localSheetId="4">#REF!</definedName>
    <definedName name="p" localSheetId="6">#REF!</definedName>
    <definedName name="p" localSheetId="7">#REF!</definedName>
    <definedName name="p" localSheetId="8">#REF!</definedName>
    <definedName name="p" localSheetId="9">#REF!</definedName>
    <definedName name="p" localSheetId="10">#REF!</definedName>
    <definedName name="p" localSheetId="11">#REF!</definedName>
    <definedName name="p">#REF!</definedName>
    <definedName name="PAGE_" localSheetId="4">#REF!</definedName>
    <definedName name="PAGE_" localSheetId="6">#REF!</definedName>
    <definedName name="PAGE_" localSheetId="7">#REF!</definedName>
    <definedName name="PAGE_" localSheetId="8">#REF!</definedName>
    <definedName name="PAGE_" localSheetId="9">#REF!</definedName>
    <definedName name="PAGE_" localSheetId="10">#REF!</definedName>
    <definedName name="PAGE_" localSheetId="11">#REF!</definedName>
    <definedName name="PAGE_">#REF!</definedName>
    <definedName name="PAGE1" localSheetId="4">#REF!</definedName>
    <definedName name="PAGE1" localSheetId="6">#REF!</definedName>
    <definedName name="PAGE1" localSheetId="7">#REF!</definedName>
    <definedName name="PAGE1" localSheetId="8">#REF!</definedName>
    <definedName name="PAGE1" localSheetId="9">#REF!</definedName>
    <definedName name="PAGE1" localSheetId="10">#REF!</definedName>
    <definedName name="PAGE1" localSheetId="11">#REF!</definedName>
    <definedName name="PAGE1">#REF!</definedName>
    <definedName name="PAGE2" localSheetId="4">#REF!</definedName>
    <definedName name="PAGE2" localSheetId="6">#REF!</definedName>
    <definedName name="PAGE2" localSheetId="7">#REF!</definedName>
    <definedName name="PAGE2" localSheetId="8">#REF!</definedName>
    <definedName name="PAGE2" localSheetId="9">#REF!</definedName>
    <definedName name="PAGE2" localSheetId="10">#REF!</definedName>
    <definedName name="PAGE2" localSheetId="11">#REF!</definedName>
    <definedName name="PAGE2">#REF!</definedName>
    <definedName name="PAGE3" localSheetId="4">#REF!</definedName>
    <definedName name="PAGE3" localSheetId="6">#REF!</definedName>
    <definedName name="PAGE3" localSheetId="7">#REF!</definedName>
    <definedName name="PAGE3" localSheetId="8">#REF!</definedName>
    <definedName name="PAGE3" localSheetId="9">#REF!</definedName>
    <definedName name="PAGE3" localSheetId="10">#REF!</definedName>
    <definedName name="PAGE3" localSheetId="11">#REF!</definedName>
    <definedName name="PAGE3">#REF!</definedName>
    <definedName name="PAGE4" localSheetId="4">#REF!</definedName>
    <definedName name="PAGE4" localSheetId="6">#REF!</definedName>
    <definedName name="PAGE4" localSheetId="7">#REF!</definedName>
    <definedName name="PAGE4" localSheetId="8">#REF!</definedName>
    <definedName name="PAGE4" localSheetId="9">#REF!</definedName>
    <definedName name="PAGE4" localSheetId="10">#REF!</definedName>
    <definedName name="PAGE4" localSheetId="11">#REF!</definedName>
    <definedName name="PAGE4">#REF!</definedName>
    <definedName name="PAGE6" localSheetId="4">#REF!</definedName>
    <definedName name="PAGE6" localSheetId="6">#REF!</definedName>
    <definedName name="PAGE6" localSheetId="7">#REF!</definedName>
    <definedName name="PAGE6" localSheetId="8">#REF!</definedName>
    <definedName name="PAGE6" localSheetId="9">#REF!</definedName>
    <definedName name="PAGE6" localSheetId="10">#REF!</definedName>
    <definedName name="PAGE6" localSheetId="11">#REF!</definedName>
    <definedName name="PAGE6">#REF!</definedName>
    <definedName name="PAGEALPH" localSheetId="4">#REF!</definedName>
    <definedName name="PAGEALPH" localSheetId="6">#REF!</definedName>
    <definedName name="PAGEALPH" localSheetId="7">#REF!</definedName>
    <definedName name="PAGEALPH" localSheetId="8">#REF!</definedName>
    <definedName name="PAGEALPH" localSheetId="9">#REF!</definedName>
    <definedName name="PAGEALPH" localSheetId="10">#REF!</definedName>
    <definedName name="PAGEALPH" localSheetId="11">#REF!</definedName>
    <definedName name="PAGEALPH">#REF!</definedName>
    <definedName name="PFTTSF" localSheetId="4">#REF!</definedName>
    <definedName name="PFTTSF" localSheetId="6">#REF!</definedName>
    <definedName name="PFTTSF" localSheetId="7">#REF!</definedName>
    <definedName name="PFTTSF" localSheetId="8">#REF!</definedName>
    <definedName name="PFTTSF" localSheetId="9">#REF!</definedName>
    <definedName name="PFTTSF" localSheetId="10">#REF!</definedName>
    <definedName name="PFTTSF" localSheetId="11">#REF!</definedName>
    <definedName name="PFTTSF">#REF!</definedName>
    <definedName name="POOLALL" localSheetId="4">#REF!</definedName>
    <definedName name="POOLALL" localSheetId="6">#REF!</definedName>
    <definedName name="POOLALL" localSheetId="7">#REF!</definedName>
    <definedName name="POOLALL" localSheetId="8">#REF!</definedName>
    <definedName name="POOLALL" localSheetId="9">#REF!</definedName>
    <definedName name="POOLALL" localSheetId="10">#REF!</definedName>
    <definedName name="POOLALL" localSheetId="11">#REF!</definedName>
    <definedName name="POOLALL">#REF!</definedName>
    <definedName name="POOLREC" localSheetId="4">#REF!</definedName>
    <definedName name="POOLREC" localSheetId="6">#REF!</definedName>
    <definedName name="POOLREC" localSheetId="7">#REF!</definedName>
    <definedName name="POOLREC" localSheetId="8">#REF!</definedName>
    <definedName name="POOLREC" localSheetId="9">#REF!</definedName>
    <definedName name="POOLREC" localSheetId="10">#REF!</definedName>
    <definedName name="POOLREC" localSheetId="11">#REF!</definedName>
    <definedName name="POOLREC">#REF!</definedName>
    <definedName name="_xlnm.Print_Area" localSheetId="0">'1 Cover'!$A$1:$I$37</definedName>
    <definedName name="_xlnm.Print_Area" localSheetId="2">'1 Financial Highlights'!$A$1:$BH$96</definedName>
    <definedName name="_xlnm.Print_Area" localSheetId="12">'10 Other'!$A$1:$BH$55</definedName>
    <definedName name="_xlnm.Print_Area" localSheetId="13">'11 Balance Sheet'!$A$1:$BE$42</definedName>
    <definedName name="_xlnm.Print_Area" localSheetId="17">'12 Misc Operating Stats'!$A$1:$BH$53</definedName>
    <definedName name="_xlnm.Print_Area" localSheetId="18">'13 Notes'!$A$1:$L$51</definedName>
    <definedName name="_xlnm.Print_Area" localSheetId="3">'2 Consolidated IS'!$A$1:$BH$89</definedName>
    <definedName name="_xlnm.Print_Area" localSheetId="4">'3 Canaccord Genuity '!$A$1:$BH$90</definedName>
    <definedName name="_xlnm.Print_Area" localSheetId="5">'4 Capital Markets Canada'!$A$1:$BH$79</definedName>
    <definedName name="_xlnm.Print_Area" localSheetId="6">'5 CG - US'!$A$1:$BH$78</definedName>
    <definedName name="_xlnm.Print_Area" localSheetId="7">'6 CG - UK'!$A$1:$BH$75</definedName>
    <definedName name="_xlnm.Print_Area" localSheetId="14">'7 Canada'!$A$1:$BB$79</definedName>
    <definedName name="_xlnm.Print_Area" localSheetId="8">'7 CG Other Foreign Loc'!$A$1:$BH$70</definedName>
    <definedName name="_xlnm.Print_Area" localSheetId="9">'8 CWM Canada'!$A$1:$BH$82</definedName>
    <definedName name="_xlnm.Print_Area" localSheetId="15">'8 UK and Europe'!$A$1:$BB$77</definedName>
    <definedName name="_xlnm.Print_Area" localSheetId="10">'9 CWM UK and Europe'!$A$1:$BH$78</definedName>
    <definedName name="_xlnm.Print_Area" localSheetId="16">'9 US'!$A$1:$BB$75</definedName>
    <definedName name="_xlnm.Print_Area" localSheetId="11">'CWM BGF'!$A$1:$BB$84</definedName>
    <definedName name="_xlnm.Print_Area" localSheetId="19">NHI!$A$1:$K$51</definedName>
    <definedName name="test" localSheetId="4">#REF!</definedName>
    <definedName name="test" localSheetId="6">#REF!</definedName>
    <definedName name="test" localSheetId="7">#REF!</definedName>
    <definedName name="test" localSheetId="8">#REF!</definedName>
    <definedName name="test" localSheetId="9">#REF!</definedName>
    <definedName name="test" localSheetId="15">#REF!</definedName>
    <definedName name="test" localSheetId="10">#REF!</definedName>
    <definedName name="test" localSheetId="11">#REF!</definedName>
    <definedName name="test">#REF!</definedName>
    <definedName name="test1" localSheetId="4">#REF!</definedName>
    <definedName name="test1" localSheetId="6">#REF!</definedName>
    <definedName name="test1" localSheetId="7">#REF!</definedName>
    <definedName name="test1" localSheetId="8">#REF!</definedName>
    <definedName name="test1" localSheetId="9">#REF!</definedName>
    <definedName name="test1" localSheetId="10">#REF!</definedName>
    <definedName name="test1" localSheetId="11">#REF!</definedName>
    <definedName name="test1">#REF!</definedName>
    <definedName name="tina" localSheetId="4">#REF!</definedName>
    <definedName name="tina" localSheetId="6">#REF!</definedName>
    <definedName name="tina" localSheetId="7">#REF!</definedName>
    <definedName name="tina" localSheetId="8">#REF!</definedName>
    <definedName name="tina" localSheetId="9">#REF!</definedName>
    <definedName name="tina" localSheetId="10">#REF!</definedName>
    <definedName name="tina" localSheetId="11">#REF!</definedName>
    <definedName name="tina">#REF!</definedName>
    <definedName name="TOP_" localSheetId="4">#REF!</definedName>
    <definedName name="TOP_" localSheetId="6">#REF!</definedName>
    <definedName name="TOP_" localSheetId="7">#REF!</definedName>
    <definedName name="TOP_" localSheetId="8">#REF!</definedName>
    <definedName name="TOP_" localSheetId="9">#REF!</definedName>
    <definedName name="TOP_" localSheetId="10">#REF!</definedName>
    <definedName name="TOP_" localSheetId="11">#REF!</definedName>
    <definedName name="TOP_">#REF!</definedName>
    <definedName name="TOPALPH" localSheetId="4">#REF!</definedName>
    <definedName name="TOPALPH" localSheetId="6">#REF!</definedName>
    <definedName name="TOPALPH" localSheetId="7">#REF!</definedName>
    <definedName name="TOPALPH" localSheetId="8">#REF!</definedName>
    <definedName name="TOPALPH" localSheetId="9">#REF!</definedName>
    <definedName name="TOPALPH" localSheetId="10">#REF!</definedName>
    <definedName name="TOPALPH" localSheetId="11">#REF!</definedName>
    <definedName name="TOPALPH">#REF!</definedName>
    <definedName name="TORONTO" localSheetId="4">#REF!</definedName>
    <definedName name="TORONTO" localSheetId="6">#REF!</definedName>
    <definedName name="TORONTO" localSheetId="7">#REF!</definedName>
    <definedName name="TORONTO" localSheetId="8">#REF!</definedName>
    <definedName name="TORONTO" localSheetId="9">#REF!</definedName>
    <definedName name="TORONTO" localSheetId="10">#REF!</definedName>
    <definedName name="TORONTO" localSheetId="11">#REF!</definedName>
    <definedName name="TORONTO">#REF!</definedName>
    <definedName name="TORPFT" localSheetId="4">#REF!</definedName>
    <definedName name="TORPFT" localSheetId="6">#REF!</definedName>
    <definedName name="TORPFT" localSheetId="7">#REF!</definedName>
    <definedName name="TORPFT" localSheetId="8">#REF!</definedName>
    <definedName name="TORPFT" localSheetId="9">#REF!</definedName>
    <definedName name="TORPFT" localSheetId="10">#REF!</definedName>
    <definedName name="TORPFT" localSheetId="11">#REF!</definedName>
    <definedName name="TORPFT">#REF!</definedName>
    <definedName name="VANPFT" localSheetId="4">#REF!</definedName>
    <definedName name="VANPFT" localSheetId="6">#REF!</definedName>
    <definedName name="VANPFT" localSheetId="7">#REF!</definedName>
    <definedName name="VANPFT" localSheetId="8">#REF!</definedName>
    <definedName name="VANPFT" localSheetId="9">#REF!</definedName>
    <definedName name="VANPFT" localSheetId="10">#REF!</definedName>
    <definedName name="VANPFT" localSheetId="11">#REF!</definedName>
    <definedName name="VANPFT">#REF!</definedName>
  </definedNames>
  <calcPr calcId="145621"/>
</workbook>
</file>

<file path=xl/calcChain.xml><?xml version="1.0" encoding="utf-8"?>
<calcChain xmlns="http://schemas.openxmlformats.org/spreadsheetml/2006/main">
  <c r="M19" i="39" l="1"/>
  <c r="J67" i="39"/>
  <c r="K67" i="39"/>
  <c r="I67" i="39"/>
  <c r="O15" i="39"/>
  <c r="P15" i="39"/>
  <c r="Q15" i="39"/>
  <c r="Q82" i="39"/>
  <c r="P82" i="39"/>
  <c r="O82" i="39"/>
  <c r="N82" i="39"/>
  <c r="M82" i="39"/>
  <c r="L82" i="39"/>
  <c r="K82" i="39"/>
  <c r="J82" i="39"/>
  <c r="I82" i="39"/>
  <c r="H82" i="39"/>
  <c r="G82" i="39"/>
  <c r="F82" i="39"/>
  <c r="AS81" i="39"/>
  <c r="AR81" i="39"/>
  <c r="AN81" i="39"/>
  <c r="AM81" i="39"/>
  <c r="AS80" i="39"/>
  <c r="AR80" i="39"/>
  <c r="AN80" i="39"/>
  <c r="AM80" i="39"/>
  <c r="AS79" i="39"/>
  <c r="AR79" i="39"/>
  <c r="AN79" i="39"/>
  <c r="AM79" i="39"/>
  <c r="AS78" i="39"/>
  <c r="AR78" i="39"/>
  <c r="AN78" i="39"/>
  <c r="AM78" i="39"/>
  <c r="AS77" i="39"/>
  <c r="AR77" i="39"/>
  <c r="AN77" i="39"/>
  <c r="AM77" i="39"/>
  <c r="AS76" i="39"/>
  <c r="AR76" i="39"/>
  <c r="AN76" i="39"/>
  <c r="AM76" i="39"/>
  <c r="S66" i="39"/>
  <c r="S71" i="39" s="1"/>
  <c r="R65" i="39"/>
  <c r="U64" i="39"/>
  <c r="T64" i="39"/>
  <c r="T69" i="39" s="1"/>
  <c r="S64" i="39"/>
  <c r="S69" i="39" s="1"/>
  <c r="R64" i="39"/>
  <c r="K64" i="39"/>
  <c r="AR38" i="39"/>
  <c r="AR37" i="39"/>
  <c r="AN37" i="39"/>
  <c r="AM37" i="39"/>
  <c r="I37" i="39"/>
  <c r="AR36" i="39"/>
  <c r="AR35" i="39"/>
  <c r="AR34" i="39"/>
  <c r="AR33" i="39"/>
  <c r="S32" i="39"/>
  <c r="U31" i="39"/>
  <c r="T31" i="39"/>
  <c r="S31" i="39"/>
  <c r="S65" i="39" s="1"/>
  <c r="R31" i="39"/>
  <c r="P65" i="39"/>
  <c r="O65" i="39"/>
  <c r="N65" i="39"/>
  <c r="F31" i="39"/>
  <c r="AR30" i="39"/>
  <c r="AN30" i="39"/>
  <c r="AM30" i="39"/>
  <c r="AR29" i="39"/>
  <c r="AO29" i="39" s="1"/>
  <c r="AN29" i="39"/>
  <c r="AM29" i="39"/>
  <c r="AR28" i="39"/>
  <c r="AN28" i="39"/>
  <c r="AM28" i="39"/>
  <c r="AR27" i="39"/>
  <c r="AN27" i="39"/>
  <c r="AM27" i="39"/>
  <c r="AR26" i="39"/>
  <c r="AN26" i="39"/>
  <c r="AM26" i="39"/>
  <c r="AR25" i="39"/>
  <c r="AN25" i="39"/>
  <c r="AM25" i="39"/>
  <c r="AR24" i="39"/>
  <c r="AO24" i="39" s="1"/>
  <c r="AP24" i="39" s="1"/>
  <c r="AN24" i="39"/>
  <c r="AM24" i="39"/>
  <c r="AR23" i="39"/>
  <c r="AO23" i="39" s="1"/>
  <c r="AP23" i="39" s="1"/>
  <c r="AN23" i="39"/>
  <c r="AM23" i="39"/>
  <c r="AR22" i="39"/>
  <c r="AN22" i="39"/>
  <c r="AM22" i="39"/>
  <c r="AR21" i="39"/>
  <c r="AO21" i="39" s="1"/>
  <c r="AP21" i="39" s="1"/>
  <c r="AN21" i="39"/>
  <c r="AM21" i="39"/>
  <c r="AR20" i="39"/>
  <c r="AO20" i="39" s="1"/>
  <c r="AP20" i="39" s="1"/>
  <c r="AN20" i="39"/>
  <c r="AM20" i="39"/>
  <c r="AN19" i="39"/>
  <c r="J19" i="39"/>
  <c r="I19" i="39"/>
  <c r="I31" i="39" s="1"/>
  <c r="I65" i="39" s="1"/>
  <c r="I69" i="39" s="1"/>
  <c r="H19" i="39"/>
  <c r="G19" i="39"/>
  <c r="G31" i="39" s="1"/>
  <c r="F19" i="39"/>
  <c r="AN18" i="39"/>
  <c r="AM18" i="39"/>
  <c r="AN17" i="39"/>
  <c r="N15" i="39"/>
  <c r="N64" i="39" s="1"/>
  <c r="M15" i="39"/>
  <c r="L15" i="39"/>
  <c r="K15" i="39"/>
  <c r="J15" i="39"/>
  <c r="J64" i="39" s="1"/>
  <c r="I15" i="39"/>
  <c r="H15" i="39"/>
  <c r="G15" i="39"/>
  <c r="F15" i="39"/>
  <c r="AR14" i="39"/>
  <c r="AO14" i="39" s="1"/>
  <c r="AN14" i="39"/>
  <c r="AM14" i="39"/>
  <c r="AM15" i="39" s="1"/>
  <c r="AO79" i="39" l="1"/>
  <c r="AP79" i="39" s="1"/>
  <c r="AM82" i="39"/>
  <c r="AO27" i="39"/>
  <c r="AP27" i="39" s="1"/>
  <c r="AO26" i="39"/>
  <c r="AP26" i="39" s="1"/>
  <c r="AN82" i="39"/>
  <c r="AO77" i="39"/>
  <c r="AP77" i="39" s="1"/>
  <c r="P64" i="39"/>
  <c r="P70" i="39" s="1"/>
  <c r="AR82" i="39"/>
  <c r="AO82" i="39" s="1"/>
  <c r="AP82" i="39" s="1"/>
  <c r="K19" i="39"/>
  <c r="K31" i="39" s="1"/>
  <c r="K32" i="39" s="1"/>
  <c r="AO28" i="39"/>
  <c r="AP28" i="39" s="1"/>
  <c r="S70" i="39"/>
  <c r="AO37" i="39"/>
  <c r="AP37" i="39" s="1"/>
  <c r="R66" i="39"/>
  <c r="AO76" i="39"/>
  <c r="AP76" i="39" s="1"/>
  <c r="AO80" i="39"/>
  <c r="AP80" i="39" s="1"/>
  <c r="F32" i="39"/>
  <c r="F39" i="39" s="1"/>
  <c r="U65" i="39"/>
  <c r="U70" i="39" s="1"/>
  <c r="AO81" i="39"/>
  <c r="AP81" i="39" s="1"/>
  <c r="H31" i="39"/>
  <c r="R32" i="39"/>
  <c r="R39" i="39" s="1"/>
  <c r="AO25" i="39"/>
  <c r="AP25" i="39" s="1"/>
  <c r="U32" i="39"/>
  <c r="AO22" i="39"/>
  <c r="AP22" i="39" s="1"/>
  <c r="AO78" i="39"/>
  <c r="AP78" i="39" s="1"/>
  <c r="AS82" i="39"/>
  <c r="G32" i="39"/>
  <c r="R67" i="39"/>
  <c r="R71" i="39"/>
  <c r="Q64" i="39"/>
  <c r="S67" i="39"/>
  <c r="AM17" i="39"/>
  <c r="T65" i="39"/>
  <c r="T32" i="39"/>
  <c r="U66" i="39"/>
  <c r="U71" i="39" s="1"/>
  <c r="U69" i="39"/>
  <c r="S39" i="39"/>
  <c r="Q65" i="39"/>
  <c r="Q70" i="39" s="1"/>
  <c r="P69" i="39"/>
  <c r="I32" i="39"/>
  <c r="I64" i="39"/>
  <c r="I70" i="39" s="1"/>
  <c r="AN15" i="39"/>
  <c r="AR15" i="39"/>
  <c r="J31" i="39"/>
  <c r="AR17" i="39"/>
  <c r="L19" i="39"/>
  <c r="N70" i="39"/>
  <c r="AN31" i="39"/>
  <c r="M64" i="39"/>
  <c r="R70" i="39"/>
  <c r="AR18" i="39"/>
  <c r="L64" i="39"/>
  <c r="N69" i="39"/>
  <c r="N66" i="39"/>
  <c r="O64" i="39"/>
  <c r="AS64" i="39" s="1"/>
  <c r="R69" i="39"/>
  <c r="K65" i="39" l="1"/>
  <c r="K66" i="39" s="1"/>
  <c r="K71" i="39" s="1"/>
  <c r="AS65" i="39"/>
  <c r="AS66" i="39" s="1"/>
  <c r="P66" i="39"/>
  <c r="P67" i="39" s="1"/>
  <c r="O70" i="39"/>
  <c r="U39" i="39"/>
  <c r="AM64" i="39"/>
  <c r="H32" i="39"/>
  <c r="AS69" i="39"/>
  <c r="M31" i="39"/>
  <c r="J65" i="39"/>
  <c r="N71" i="39"/>
  <c r="N67" i="39"/>
  <c r="J32" i="39"/>
  <c r="L31" i="39"/>
  <c r="AN32" i="39"/>
  <c r="AM19" i="39"/>
  <c r="T39" i="39"/>
  <c r="Q69" i="39"/>
  <c r="Q66" i="39"/>
  <c r="AO18" i="39"/>
  <c r="AP18" i="39" s="1"/>
  <c r="K39" i="39"/>
  <c r="G39" i="39"/>
  <c r="O66" i="39"/>
  <c r="AN64" i="39"/>
  <c r="O69" i="39"/>
  <c r="AO17" i="39"/>
  <c r="AP17" i="39" s="1"/>
  <c r="AR19" i="39"/>
  <c r="T70" i="39"/>
  <c r="T66" i="39"/>
  <c r="AO15" i="39"/>
  <c r="AP15" i="39" s="1"/>
  <c r="M69" i="39"/>
  <c r="I66" i="39"/>
  <c r="AR64" i="39"/>
  <c r="I39" i="39"/>
  <c r="AN65" i="39"/>
  <c r="K70" i="39" l="1"/>
  <c r="K69" i="39"/>
  <c r="P71" i="39"/>
  <c r="AS70" i="39"/>
  <c r="H39" i="39"/>
  <c r="O67" i="39"/>
  <c r="O71" i="39"/>
  <c r="T71" i="39"/>
  <c r="J39" i="39"/>
  <c r="AO64" i="39"/>
  <c r="AP64" i="39" s="1"/>
  <c r="AR69" i="39"/>
  <c r="AO69" i="39" s="1"/>
  <c r="Q71" i="39"/>
  <c r="Q67" i="39"/>
  <c r="AN39" i="39"/>
  <c r="M65" i="39"/>
  <c r="M32" i="39"/>
  <c r="AN66" i="39"/>
  <c r="AN69" i="39"/>
  <c r="J70" i="39"/>
  <c r="J69" i="39"/>
  <c r="J66" i="39"/>
  <c r="I71" i="39"/>
  <c r="AR31" i="39"/>
  <c r="AO19" i="39"/>
  <c r="AP19" i="39" s="1"/>
  <c r="L65" i="39"/>
  <c r="L32" i="39"/>
  <c r="AM31" i="39"/>
  <c r="AN70" i="39"/>
  <c r="AS71" i="39"/>
  <c r="AS67" i="39"/>
  <c r="J71" i="39" l="1"/>
  <c r="M70" i="39"/>
  <c r="M66" i="39"/>
  <c r="M67" i="39" s="1"/>
  <c r="AO31" i="39"/>
  <c r="AP31" i="39" s="1"/>
  <c r="AR32" i="39"/>
  <c r="L39" i="39"/>
  <c r="AN71" i="39"/>
  <c r="AN67" i="39"/>
  <c r="L69" i="39"/>
  <c r="L70" i="39"/>
  <c r="L66" i="39"/>
  <c r="L67" i="39" s="1"/>
  <c r="AM65" i="39"/>
  <c r="M39" i="39"/>
  <c r="AM32" i="39"/>
  <c r="AR65" i="39"/>
  <c r="AR67" i="39" l="1"/>
  <c r="AO67" i="39" s="1"/>
  <c r="AP67" i="39" s="1"/>
  <c r="L71" i="39"/>
  <c r="AO65" i="39"/>
  <c r="AP65" i="39" s="1"/>
  <c r="AR70" i="39"/>
  <c r="AO70" i="39" s="1"/>
  <c r="AM39" i="39"/>
  <c r="M71" i="39"/>
  <c r="AM69" i="39"/>
  <c r="AM70" i="39"/>
  <c r="AM66" i="39"/>
  <c r="AR39" i="39"/>
  <c r="AO32" i="39"/>
  <c r="AP32" i="39" s="1"/>
  <c r="AR66" i="39"/>
  <c r="AO39" i="39" l="1"/>
  <c r="AP39" i="39" s="1"/>
  <c r="AM71" i="39"/>
  <c r="AM67" i="39"/>
  <c r="AO66" i="39"/>
  <c r="AP66" i="39" s="1"/>
  <c r="AR71" i="39"/>
  <c r="AO71" i="39" s="1"/>
  <c r="I40" i="13" l="1"/>
  <c r="C40" i="13" s="1"/>
  <c r="I40" i="33"/>
  <c r="C40" i="33"/>
  <c r="I39" i="13" l="1"/>
  <c r="C39" i="33" l="1"/>
  <c r="C38" i="33"/>
  <c r="C38" i="15"/>
  <c r="AV41" i="15"/>
  <c r="AU41" i="15"/>
  <c r="AV42" i="33"/>
  <c r="Q42" i="33"/>
  <c r="P42" i="33"/>
  <c r="AV42" i="13"/>
  <c r="AU42" i="13"/>
  <c r="U42" i="13"/>
  <c r="V42" i="13"/>
  <c r="W42" i="13"/>
  <c r="X42" i="13"/>
  <c r="Y42" i="13"/>
  <c r="Z42" i="13"/>
  <c r="AA42" i="13"/>
  <c r="AB42" i="13"/>
  <c r="AC42" i="13"/>
  <c r="AD42" i="13"/>
  <c r="AE42" i="13"/>
  <c r="AF42" i="13"/>
  <c r="AG42" i="13"/>
  <c r="AH42" i="13"/>
  <c r="AI42" i="13"/>
  <c r="AJ42" i="13"/>
  <c r="AK42" i="13"/>
  <c r="I20" i="13"/>
  <c r="C39" i="13"/>
  <c r="I38" i="13"/>
  <c r="I38" i="33"/>
  <c r="I52" i="33"/>
  <c r="I51" i="15"/>
  <c r="C38" i="13"/>
  <c r="I37" i="15" l="1"/>
  <c r="I39" i="15" s="1"/>
  <c r="C39" i="15" s="1"/>
  <c r="I52" i="13"/>
  <c r="C37" i="15" l="1"/>
  <c r="C110" i="26" l="1"/>
  <c r="C112" i="26" s="1"/>
  <c r="E109" i="26"/>
  <c r="E117" i="26" s="1"/>
  <c r="D109" i="26"/>
  <c r="D110" i="26" s="1"/>
  <c r="D112" i="26" s="1"/>
  <c r="C109" i="26"/>
  <c r="C117" i="26" s="1"/>
  <c r="B109" i="26"/>
  <c r="B110" i="26" s="1"/>
  <c r="B112" i="26" s="1"/>
  <c r="I21" i="33" s="1"/>
  <c r="H13" i="13"/>
  <c r="F59" i="13"/>
  <c r="G59" i="13"/>
  <c r="H59" i="13"/>
  <c r="F75" i="13"/>
  <c r="G75" i="13"/>
  <c r="H75" i="13"/>
  <c r="I75" i="13"/>
  <c r="F13" i="13"/>
  <c r="G13" i="13"/>
  <c r="F14" i="13"/>
  <c r="G14" i="13"/>
  <c r="H14" i="13"/>
  <c r="I14" i="13"/>
  <c r="F15" i="13"/>
  <c r="G15" i="13"/>
  <c r="H15" i="13"/>
  <c r="I15" i="13"/>
  <c r="F35" i="13"/>
  <c r="G35" i="13"/>
  <c r="H35" i="13"/>
  <c r="I35" i="13"/>
  <c r="I59" i="13" s="1"/>
  <c r="I18" i="33" l="1"/>
  <c r="I19" i="33"/>
  <c r="F16" i="13"/>
  <c r="F58" i="13" s="1"/>
  <c r="F60" i="13" s="1"/>
  <c r="F64" i="13" s="1"/>
  <c r="B117" i="26"/>
  <c r="I13" i="13"/>
  <c r="I16" i="13" s="1"/>
  <c r="I58" i="13" s="1"/>
  <c r="I60" i="13" s="1"/>
  <c r="I64" i="13" s="1"/>
  <c r="G16" i="13"/>
  <c r="G58" i="13" s="1"/>
  <c r="H16" i="13"/>
  <c r="H58" i="13" s="1"/>
  <c r="H60" i="13" s="1"/>
  <c r="H64" i="13" s="1"/>
  <c r="E110" i="26"/>
  <c r="E112" i="26" s="1"/>
  <c r="B114" i="26" s="1"/>
  <c r="D117" i="26"/>
  <c r="I35" i="33"/>
  <c r="I20" i="33"/>
  <c r="I15" i="33"/>
  <c r="I14" i="33"/>
  <c r="H15" i="33"/>
  <c r="H14" i="33"/>
  <c r="G15" i="33"/>
  <c r="G14" i="33"/>
  <c r="G16" i="33" s="1"/>
  <c r="G58" i="33" s="1"/>
  <c r="F15" i="33"/>
  <c r="F14" i="33"/>
  <c r="H59" i="33"/>
  <c r="G59" i="33"/>
  <c r="F59" i="33"/>
  <c r="G71" i="33"/>
  <c r="H71" i="33"/>
  <c r="I71" i="33"/>
  <c r="C71" i="33" s="1"/>
  <c r="D71" i="33" s="1"/>
  <c r="F71" i="33"/>
  <c r="F70" i="15"/>
  <c r="G70" i="15"/>
  <c r="H70" i="15"/>
  <c r="I70" i="15"/>
  <c r="C70" i="15" s="1"/>
  <c r="D70" i="15" s="1"/>
  <c r="F58" i="15"/>
  <c r="G58" i="15"/>
  <c r="H58" i="15"/>
  <c r="F34" i="15"/>
  <c r="G34" i="15"/>
  <c r="H34" i="15"/>
  <c r="F21" i="15"/>
  <c r="G21" i="15"/>
  <c r="H21" i="15"/>
  <c r="I21" i="15"/>
  <c r="C21" i="15" s="1"/>
  <c r="D21" i="15" s="1"/>
  <c r="F14" i="15"/>
  <c r="G14" i="15"/>
  <c r="H14" i="15"/>
  <c r="I14" i="15"/>
  <c r="F15" i="15"/>
  <c r="G15" i="15"/>
  <c r="H15" i="15"/>
  <c r="I15" i="15"/>
  <c r="D74" i="13"/>
  <c r="D71" i="13"/>
  <c r="D70" i="13"/>
  <c r="D70" i="33"/>
  <c r="D66" i="33"/>
  <c r="D68" i="15"/>
  <c r="D66" i="15"/>
  <c r="D25" i="15"/>
  <c r="C73" i="33"/>
  <c r="C70" i="33"/>
  <c r="C69" i="33"/>
  <c r="D69" i="33" s="1"/>
  <c r="C68" i="33"/>
  <c r="D68" i="33" s="1"/>
  <c r="C67" i="33"/>
  <c r="D67" i="33" s="1"/>
  <c r="C66" i="33"/>
  <c r="C65" i="33"/>
  <c r="D65" i="33" s="1"/>
  <c r="C33" i="33"/>
  <c r="C32" i="33"/>
  <c r="C31" i="33"/>
  <c r="C30" i="33"/>
  <c r="D30" i="33" s="1"/>
  <c r="C29" i="33"/>
  <c r="D29" i="33" s="1"/>
  <c r="C28" i="33"/>
  <c r="D28" i="33" s="1"/>
  <c r="C27" i="33"/>
  <c r="D27" i="33" s="1"/>
  <c r="C26" i="33"/>
  <c r="D26" i="33" s="1"/>
  <c r="C25" i="33"/>
  <c r="D25" i="33" s="1"/>
  <c r="C24" i="33"/>
  <c r="D24" i="33" s="1"/>
  <c r="C23" i="33"/>
  <c r="D23" i="33" s="1"/>
  <c r="C22" i="33"/>
  <c r="D22" i="33" s="1"/>
  <c r="C19" i="33"/>
  <c r="D19" i="33" s="1"/>
  <c r="C18" i="33"/>
  <c r="D18" i="33" s="1"/>
  <c r="C72" i="15"/>
  <c r="D72" i="15" s="1"/>
  <c r="C69" i="15"/>
  <c r="D69" i="15" s="1"/>
  <c r="C68" i="15"/>
  <c r="C67" i="15"/>
  <c r="D67" i="15" s="1"/>
  <c r="C66" i="15"/>
  <c r="C65" i="15"/>
  <c r="D65" i="15" s="1"/>
  <c r="C64" i="15"/>
  <c r="D64" i="15" s="1"/>
  <c r="C33" i="15"/>
  <c r="C32" i="15"/>
  <c r="C31" i="15"/>
  <c r="C30" i="15"/>
  <c r="D30" i="15" s="1"/>
  <c r="C29" i="15"/>
  <c r="D29" i="15" s="1"/>
  <c r="C28" i="15"/>
  <c r="D28" i="15" s="1"/>
  <c r="C27" i="15"/>
  <c r="D27" i="15" s="1"/>
  <c r="C26" i="15"/>
  <c r="D26" i="15" s="1"/>
  <c r="C25" i="15"/>
  <c r="C24" i="15"/>
  <c r="D24" i="15" s="1"/>
  <c r="C23" i="15"/>
  <c r="D23" i="15" s="1"/>
  <c r="C22" i="15"/>
  <c r="D22" i="15" s="1"/>
  <c r="C20" i="15"/>
  <c r="D20" i="15" s="1"/>
  <c r="C19" i="15"/>
  <c r="D19" i="15" s="1"/>
  <c r="C16" i="15"/>
  <c r="D16" i="15" s="1"/>
  <c r="C75" i="13"/>
  <c r="D75" i="13" s="1"/>
  <c r="C74" i="13"/>
  <c r="C73" i="13"/>
  <c r="D73" i="13" s="1"/>
  <c r="C72" i="13"/>
  <c r="D72" i="13" s="1"/>
  <c r="C71" i="13"/>
  <c r="C70" i="13"/>
  <c r="C69" i="13"/>
  <c r="D69" i="13" s="1"/>
  <c r="C59" i="13"/>
  <c r="D59" i="13" s="1"/>
  <c r="C35" i="13"/>
  <c r="D35" i="13" s="1"/>
  <c r="C34" i="13"/>
  <c r="C33" i="13"/>
  <c r="C32" i="13"/>
  <c r="C31" i="13"/>
  <c r="C30" i="13"/>
  <c r="C29" i="13"/>
  <c r="D29" i="13" s="1"/>
  <c r="C28" i="13"/>
  <c r="D28" i="13" s="1"/>
  <c r="C27" i="13"/>
  <c r="D27" i="13" s="1"/>
  <c r="C26" i="13"/>
  <c r="D26" i="13" s="1"/>
  <c r="C25" i="13"/>
  <c r="D25" i="13" s="1"/>
  <c r="C24" i="13"/>
  <c r="D24" i="13" s="1"/>
  <c r="C23" i="13"/>
  <c r="D23" i="13" s="1"/>
  <c r="C22" i="13"/>
  <c r="D22" i="13" s="1"/>
  <c r="C21" i="13"/>
  <c r="D21" i="13" s="1"/>
  <c r="C20" i="13"/>
  <c r="D20" i="13" s="1"/>
  <c r="C19" i="13"/>
  <c r="D19" i="13" s="1"/>
  <c r="C18" i="13"/>
  <c r="D18" i="13" s="1"/>
  <c r="F62" i="13" l="1"/>
  <c r="F49" i="13"/>
  <c r="F36" i="13"/>
  <c r="F50" i="13" s="1"/>
  <c r="F47" i="13"/>
  <c r="F63" i="13"/>
  <c r="F44" i="13"/>
  <c r="F45" i="13"/>
  <c r="F48" i="13"/>
  <c r="I34" i="15"/>
  <c r="I58" i="15" s="1"/>
  <c r="C58" i="15" s="1"/>
  <c r="D58" i="15" s="1"/>
  <c r="F46" i="13"/>
  <c r="H45" i="13"/>
  <c r="H36" i="13"/>
  <c r="H50" i="13" s="1"/>
  <c r="H49" i="13"/>
  <c r="H44" i="13"/>
  <c r="H47" i="13"/>
  <c r="H63" i="13"/>
  <c r="H46" i="13"/>
  <c r="I59" i="33"/>
  <c r="C59" i="33" s="1"/>
  <c r="D59" i="33" s="1"/>
  <c r="C35" i="33"/>
  <c r="D35" i="33" s="1"/>
  <c r="H17" i="15"/>
  <c r="H43" i="15" s="1"/>
  <c r="I16" i="33"/>
  <c r="I49" i="33" s="1"/>
  <c r="G17" i="15"/>
  <c r="G57" i="15" s="1"/>
  <c r="G59" i="15" s="1"/>
  <c r="H16" i="33"/>
  <c r="H58" i="33" s="1"/>
  <c r="H60" i="33" s="1"/>
  <c r="G47" i="13"/>
  <c r="G48" i="13"/>
  <c r="G36" i="13"/>
  <c r="G50" i="13" s="1"/>
  <c r="H62" i="13"/>
  <c r="G49" i="13"/>
  <c r="G44" i="13"/>
  <c r="G46" i="13"/>
  <c r="I36" i="13"/>
  <c r="I42" i="13" s="1"/>
  <c r="G60" i="13"/>
  <c r="G64" i="13" s="1"/>
  <c r="G63" i="13"/>
  <c r="H48" i="13"/>
  <c r="G45" i="13"/>
  <c r="G62" i="13"/>
  <c r="I63" i="13"/>
  <c r="I49" i="13"/>
  <c r="I46" i="13"/>
  <c r="I48" i="13"/>
  <c r="I44" i="13"/>
  <c r="I47" i="13"/>
  <c r="I62" i="13"/>
  <c r="I45" i="13"/>
  <c r="I17" i="15"/>
  <c r="I57" i="15" s="1"/>
  <c r="F17" i="15"/>
  <c r="F44" i="15" s="1"/>
  <c r="F16" i="33"/>
  <c r="F58" i="33" s="1"/>
  <c r="F60" i="33" s="1"/>
  <c r="G60" i="33"/>
  <c r="H57" i="15" l="1"/>
  <c r="H59" i="15" s="1"/>
  <c r="C34" i="15"/>
  <c r="D34" i="15" s="1"/>
  <c r="H35" i="15"/>
  <c r="H49" i="15" s="1"/>
  <c r="H46" i="15"/>
  <c r="I45" i="33"/>
  <c r="I47" i="33"/>
  <c r="I48" i="33"/>
  <c r="I59" i="15"/>
  <c r="G48" i="15"/>
  <c r="H48" i="15"/>
  <c r="H44" i="15"/>
  <c r="H47" i="15"/>
  <c r="H45" i="15"/>
  <c r="I58" i="33"/>
  <c r="I60" i="33" s="1"/>
  <c r="I36" i="33"/>
  <c r="I42" i="33" s="1"/>
  <c r="I46" i="33"/>
  <c r="I44" i="33"/>
  <c r="G35" i="15"/>
  <c r="G49" i="15" s="1"/>
  <c r="G43" i="15"/>
  <c r="G47" i="15"/>
  <c r="G44" i="15"/>
  <c r="G45" i="15"/>
  <c r="G46" i="15"/>
  <c r="I50" i="13"/>
  <c r="I44" i="15"/>
  <c r="I47" i="15"/>
  <c r="I46" i="15"/>
  <c r="I43" i="15"/>
  <c r="I35" i="15"/>
  <c r="I45" i="15"/>
  <c r="I48" i="15"/>
  <c r="F45" i="15"/>
  <c r="F48" i="15"/>
  <c r="F35" i="15"/>
  <c r="F49" i="15" s="1"/>
  <c r="F43" i="15"/>
  <c r="F57" i="15"/>
  <c r="F59" i="15" s="1"/>
  <c r="F46" i="15"/>
  <c r="F47" i="15"/>
  <c r="I50" i="33" l="1"/>
  <c r="I49" i="15"/>
  <c r="I41" i="15"/>
  <c r="E92" i="26" l="1"/>
  <c r="AU46" i="33" l="1"/>
  <c r="AP72" i="15" l="1"/>
  <c r="J70" i="33" l="1"/>
  <c r="J66" i="33"/>
  <c r="M70" i="33"/>
  <c r="M66" i="33"/>
  <c r="M65" i="33"/>
  <c r="L70" i="33"/>
  <c r="L66" i="33"/>
  <c r="L65" i="33"/>
  <c r="K70" i="33"/>
  <c r="K66" i="33"/>
  <c r="K65" i="33"/>
  <c r="J65" i="33"/>
  <c r="C102" i="26" l="1"/>
  <c r="D102" i="26"/>
  <c r="E102" i="26"/>
  <c r="B102" i="26"/>
  <c r="AR70" i="13" l="1"/>
  <c r="AR72" i="15"/>
  <c r="AR65" i="15"/>
  <c r="AR66" i="15"/>
  <c r="AR67" i="15"/>
  <c r="AR68" i="15"/>
  <c r="AR69" i="15"/>
  <c r="AR64" i="15"/>
  <c r="AR26" i="15"/>
  <c r="AO72" i="15" l="1"/>
  <c r="AO69" i="15"/>
  <c r="AP69" i="15" s="1"/>
  <c r="AO68" i="15"/>
  <c r="AP68" i="15" s="1"/>
  <c r="AO67" i="15"/>
  <c r="AO66" i="15"/>
  <c r="AP66" i="15" s="1"/>
  <c r="AO65" i="15"/>
  <c r="AP65" i="15" s="1"/>
  <c r="AO64" i="15"/>
  <c r="AP64" i="15" s="1"/>
  <c r="AO50" i="15"/>
  <c r="AO16" i="15"/>
  <c r="AP16" i="15" s="1"/>
  <c r="AR33" i="15"/>
  <c r="AR32" i="15"/>
  <c r="AR31" i="15"/>
  <c r="AR30" i="15"/>
  <c r="AR29" i="15"/>
  <c r="AR28" i="15"/>
  <c r="AR27" i="15"/>
  <c r="AR25" i="15"/>
  <c r="AR24" i="15"/>
  <c r="AR23" i="15"/>
  <c r="AR22" i="15"/>
  <c r="AR19" i="15"/>
  <c r="AR20" i="15"/>
  <c r="AO20" i="15" s="1"/>
  <c r="AP20" i="15" s="1"/>
  <c r="AR70" i="15"/>
  <c r="AO70" i="15" s="1"/>
  <c r="AP70" i="15" s="1"/>
  <c r="J70" i="15"/>
  <c r="J51" i="15"/>
  <c r="AR51" i="15" s="1"/>
  <c r="J21" i="15"/>
  <c r="J14" i="15"/>
  <c r="J15" i="15"/>
  <c r="AO67" i="33"/>
  <c r="AP67" i="33" s="1"/>
  <c r="AO73" i="33"/>
  <c r="AR23" i="33"/>
  <c r="AR22" i="33"/>
  <c r="AO22" i="33" s="1"/>
  <c r="AP22" i="33" s="1"/>
  <c r="AR73" i="33"/>
  <c r="AR70" i="33"/>
  <c r="AO70" i="33" s="1"/>
  <c r="AP70" i="33" s="1"/>
  <c r="AR69" i="33"/>
  <c r="AO69" i="33" s="1"/>
  <c r="AP69" i="33" s="1"/>
  <c r="AR68" i="33"/>
  <c r="AO68" i="33" s="1"/>
  <c r="AP68" i="33" s="1"/>
  <c r="AR67" i="33"/>
  <c r="AR66" i="33"/>
  <c r="AO66" i="33" s="1"/>
  <c r="AP66" i="33" s="1"/>
  <c r="AR65" i="33"/>
  <c r="AO65" i="33" s="1"/>
  <c r="AP65" i="33" s="1"/>
  <c r="AR33" i="33"/>
  <c r="AR32" i="33"/>
  <c r="AR31" i="33"/>
  <c r="AR30" i="33"/>
  <c r="AR29" i="33"/>
  <c r="AR28" i="33"/>
  <c r="AR27" i="33"/>
  <c r="AR26" i="33"/>
  <c r="AR25" i="33"/>
  <c r="AR24" i="33"/>
  <c r="J35" i="33"/>
  <c r="J14" i="33"/>
  <c r="J52" i="33"/>
  <c r="AR52" i="33" s="1"/>
  <c r="J71" i="33"/>
  <c r="AR71" i="13"/>
  <c r="AO72" i="13"/>
  <c r="AP72" i="13" s="1"/>
  <c r="AO73" i="13"/>
  <c r="AP73" i="13" s="1"/>
  <c r="AO71" i="13"/>
  <c r="AP71" i="13" s="1"/>
  <c r="AO70" i="13"/>
  <c r="AP70" i="13" s="1"/>
  <c r="AR72" i="13"/>
  <c r="AR73" i="13"/>
  <c r="AR74" i="13"/>
  <c r="AO74" i="13" s="1"/>
  <c r="AP74" i="13" s="1"/>
  <c r="AR69" i="13"/>
  <c r="AO69" i="13" s="1"/>
  <c r="AP69" i="13" s="1"/>
  <c r="AR34" i="13"/>
  <c r="AR33" i="13"/>
  <c r="AR32" i="13"/>
  <c r="AR31" i="13"/>
  <c r="AR30" i="13"/>
  <c r="AO30" i="13" s="1"/>
  <c r="AP30" i="13" s="1"/>
  <c r="AR29" i="13"/>
  <c r="AR28" i="13"/>
  <c r="AR27" i="13"/>
  <c r="AR26" i="13"/>
  <c r="AR25" i="13"/>
  <c r="AR24" i="13"/>
  <c r="AR23" i="13"/>
  <c r="AR22" i="13"/>
  <c r="AR21" i="13"/>
  <c r="AR19" i="13"/>
  <c r="AO19" i="13" s="1"/>
  <c r="AP19" i="13" s="1"/>
  <c r="AR18" i="13"/>
  <c r="J14" i="13"/>
  <c r="J15" i="13"/>
  <c r="J75" i="13"/>
  <c r="J52" i="13"/>
  <c r="AR52" i="13" s="1"/>
  <c r="J20" i="13"/>
  <c r="AR20" i="13" l="1"/>
  <c r="AO20" i="13" s="1"/>
  <c r="AP20" i="13" s="1"/>
  <c r="J59" i="33"/>
  <c r="AR21" i="15"/>
  <c r="AR34" i="15" s="1"/>
  <c r="J34" i="15"/>
  <c r="J58" i="15" s="1"/>
  <c r="AO19" i="15"/>
  <c r="AP19" i="15" s="1"/>
  <c r="AR71" i="33"/>
  <c r="AO71" i="33" s="1"/>
  <c r="AP71" i="33" s="1"/>
  <c r="AR35" i="33"/>
  <c r="AR75" i="13"/>
  <c r="AO75" i="13" s="1"/>
  <c r="AP75" i="13" s="1"/>
  <c r="J35" i="13"/>
  <c r="AO18" i="13"/>
  <c r="AP18" i="13" s="1"/>
  <c r="J15" i="33"/>
  <c r="J17" i="15"/>
  <c r="J43" i="15" s="1"/>
  <c r="J13" i="13"/>
  <c r="J16" i="13" s="1"/>
  <c r="J47" i="13" s="1"/>
  <c r="J45" i="15" l="1"/>
  <c r="J46" i="15"/>
  <c r="AR35" i="13"/>
  <c r="J59" i="13"/>
  <c r="AR59" i="13" s="1"/>
  <c r="AO59" i="13" s="1"/>
  <c r="AP59" i="13" s="1"/>
  <c r="J16" i="33"/>
  <c r="J48" i="15"/>
  <c r="J47" i="15"/>
  <c r="AR59" i="33"/>
  <c r="J57" i="15"/>
  <c r="J35" i="15"/>
  <c r="J44" i="15"/>
  <c r="J49" i="13"/>
  <c r="J48" i="13"/>
  <c r="J36" i="13"/>
  <c r="J44" i="13"/>
  <c r="J45" i="13"/>
  <c r="J58" i="13"/>
  <c r="J46" i="13"/>
  <c r="J50" i="13" l="1"/>
  <c r="J42" i="13"/>
  <c r="J49" i="15"/>
  <c r="J41" i="15"/>
  <c r="J58" i="33"/>
  <c r="J60" i="33" s="1"/>
  <c r="J47" i="33"/>
  <c r="J48" i="33"/>
  <c r="J49" i="33"/>
  <c r="J62" i="13"/>
  <c r="J63" i="13"/>
  <c r="J46" i="33"/>
  <c r="J36" i="33"/>
  <c r="AR58" i="15"/>
  <c r="AO58" i="15" s="1"/>
  <c r="AP58" i="15" s="1"/>
  <c r="J59" i="15"/>
  <c r="J60" i="13"/>
  <c r="J64" i="13" s="1"/>
  <c r="J50" i="33" l="1"/>
  <c r="J42" i="33"/>
  <c r="K51" i="15" l="1"/>
  <c r="K52" i="33"/>
  <c r="K20" i="13" l="1"/>
  <c r="K27" i="15"/>
  <c r="K21" i="15"/>
  <c r="N35" i="33"/>
  <c r="N59" i="33" s="1"/>
  <c r="K35" i="33"/>
  <c r="K59" i="33" s="1"/>
  <c r="AT33" i="33"/>
  <c r="AS33" i="33"/>
  <c r="AO33" i="33" s="1"/>
  <c r="AP33" i="33" s="1"/>
  <c r="AN33" i="33"/>
  <c r="AM33" i="33"/>
  <c r="AU32" i="33"/>
  <c r="AT32" i="33"/>
  <c r="AS32" i="33"/>
  <c r="AO32" i="33" s="1"/>
  <c r="AP32" i="33" s="1"/>
  <c r="AN32" i="33"/>
  <c r="AM32" i="33"/>
  <c r="AU31" i="33"/>
  <c r="AT31" i="33"/>
  <c r="AS31" i="33"/>
  <c r="AO31" i="33" s="1"/>
  <c r="AP31" i="33" s="1"/>
  <c r="AN31" i="33"/>
  <c r="AM31" i="33"/>
  <c r="K52" i="13" l="1"/>
  <c r="AM52" i="13" s="1"/>
  <c r="AN72" i="15"/>
  <c r="AM72" i="15"/>
  <c r="AM65" i="15"/>
  <c r="AN68" i="15"/>
  <c r="AM33" i="15"/>
  <c r="AM32" i="15"/>
  <c r="AM31" i="15"/>
  <c r="AM30" i="15"/>
  <c r="AM29" i="15"/>
  <c r="AM28" i="15"/>
  <c r="AM27" i="15"/>
  <c r="AM26" i="15"/>
  <c r="AM25" i="15"/>
  <c r="AM24" i="15"/>
  <c r="AM23" i="15"/>
  <c r="AM22" i="15"/>
  <c r="AM21" i="15"/>
  <c r="AM20" i="15"/>
  <c r="AM19" i="15"/>
  <c r="AM51" i="15"/>
  <c r="AM69" i="15"/>
  <c r="AM68" i="15"/>
  <c r="AM67" i="15"/>
  <c r="AM66" i="15"/>
  <c r="AM64" i="15"/>
  <c r="AN33" i="15"/>
  <c r="AN32" i="15"/>
  <c r="AN31" i="15"/>
  <c r="AN30" i="15"/>
  <c r="AN29" i="15"/>
  <c r="AN28" i="15"/>
  <c r="AN27" i="15"/>
  <c r="AN26" i="15"/>
  <c r="AN25" i="15"/>
  <c r="AN24" i="15"/>
  <c r="AN23" i="15"/>
  <c r="AN21" i="15"/>
  <c r="AN20" i="15"/>
  <c r="AN19" i="15"/>
  <c r="AN69" i="15"/>
  <c r="AN67" i="15"/>
  <c r="AN66" i="15"/>
  <c r="AN65" i="15"/>
  <c r="AN64" i="15"/>
  <c r="K70" i="15"/>
  <c r="K34" i="15"/>
  <c r="K58" i="15" s="1"/>
  <c r="K14" i="15"/>
  <c r="K15" i="15"/>
  <c r="AN14" i="33"/>
  <c r="AN30" i="33"/>
  <c r="AN29" i="33"/>
  <c r="AN28" i="33"/>
  <c r="AN27" i="33"/>
  <c r="AN26" i="33"/>
  <c r="AN25" i="33"/>
  <c r="AN24" i="33"/>
  <c r="AN22" i="33"/>
  <c r="AN19" i="33"/>
  <c r="AN18" i="33"/>
  <c r="AN73" i="33"/>
  <c r="AN70" i="33"/>
  <c r="AN69" i="33"/>
  <c r="AN68" i="33"/>
  <c r="AN67" i="33"/>
  <c r="AN66" i="33"/>
  <c r="AN65" i="33"/>
  <c r="AM30" i="33"/>
  <c r="AM29" i="33"/>
  <c r="AM28" i="33"/>
  <c r="AM27" i="33"/>
  <c r="AM26" i="33"/>
  <c r="AM25" i="33"/>
  <c r="AM24" i="33"/>
  <c r="AM23" i="33"/>
  <c r="AM22" i="33"/>
  <c r="AM52" i="33"/>
  <c r="AM73" i="33"/>
  <c r="AM70" i="33"/>
  <c r="AM68" i="33"/>
  <c r="AM67" i="33"/>
  <c r="AM66" i="33"/>
  <c r="AM65" i="33"/>
  <c r="K71" i="33"/>
  <c r="K14" i="33"/>
  <c r="AM71" i="13"/>
  <c r="AM34" i="13"/>
  <c r="AM33" i="13"/>
  <c r="AM32" i="13"/>
  <c r="AM31" i="13"/>
  <c r="AM30" i="13"/>
  <c r="AM29" i="13"/>
  <c r="AM28" i="13"/>
  <c r="AM27" i="13"/>
  <c r="AM26" i="13"/>
  <c r="AM25" i="13"/>
  <c r="AM24" i="13"/>
  <c r="AM23" i="13"/>
  <c r="AM22" i="13"/>
  <c r="AM21" i="13"/>
  <c r="AM20" i="13"/>
  <c r="AM19" i="13"/>
  <c r="AM18" i="13"/>
  <c r="AM73" i="13"/>
  <c r="AM72" i="13"/>
  <c r="AM70" i="13"/>
  <c r="AM69" i="13"/>
  <c r="AN34" i="13"/>
  <c r="AN33" i="13"/>
  <c r="AN32" i="13"/>
  <c r="AN31" i="13"/>
  <c r="AN29" i="13"/>
  <c r="AN27" i="13"/>
  <c r="AN26" i="13"/>
  <c r="AN25" i="13"/>
  <c r="AN24" i="13"/>
  <c r="AN23" i="13"/>
  <c r="AN22" i="13"/>
  <c r="AN19" i="13"/>
  <c r="AN18" i="13"/>
  <c r="AN74" i="13"/>
  <c r="AN73" i="13"/>
  <c r="AN72" i="13"/>
  <c r="AN71" i="13"/>
  <c r="AN70" i="13"/>
  <c r="AN69" i="13"/>
  <c r="K75" i="13"/>
  <c r="K35" i="13"/>
  <c r="K14" i="13"/>
  <c r="K15" i="13"/>
  <c r="K17" i="15" l="1"/>
  <c r="K44" i="15" s="1"/>
  <c r="K59" i="13"/>
  <c r="K46" i="15" l="1"/>
  <c r="K45" i="15"/>
  <c r="K48" i="15"/>
  <c r="K47" i="15"/>
  <c r="K43" i="15"/>
  <c r="K35" i="15"/>
  <c r="K57" i="15"/>
  <c r="K59" i="15" s="1"/>
  <c r="K13" i="13"/>
  <c r="K15" i="33"/>
  <c r="K49" i="15" l="1"/>
  <c r="K41" i="15"/>
  <c r="K16" i="13"/>
  <c r="K36" i="13" s="1"/>
  <c r="K16" i="33"/>
  <c r="K48" i="33" s="1"/>
  <c r="AW44" i="15"/>
  <c r="AW43" i="15"/>
  <c r="AV44" i="15"/>
  <c r="AV43" i="15"/>
  <c r="AU44" i="15"/>
  <c r="AU43" i="15"/>
  <c r="AT44" i="15"/>
  <c r="AT43" i="15"/>
  <c r="AT44" i="13"/>
  <c r="AU44" i="13"/>
  <c r="AV44" i="13"/>
  <c r="AW44" i="13"/>
  <c r="AT45" i="13"/>
  <c r="AU45" i="13"/>
  <c r="AV45" i="13"/>
  <c r="AW45" i="13"/>
  <c r="K47" i="13" l="1"/>
  <c r="K58" i="13"/>
  <c r="K63" i="13" s="1"/>
  <c r="K48" i="13"/>
  <c r="K44" i="13"/>
  <c r="K46" i="13"/>
  <c r="K62" i="13"/>
  <c r="K50" i="13"/>
  <c r="K42" i="13"/>
  <c r="K45" i="13"/>
  <c r="K49" i="13"/>
  <c r="K47" i="33"/>
  <c r="K49" i="33"/>
  <c r="K36" i="33"/>
  <c r="K58" i="33"/>
  <c r="K46" i="33"/>
  <c r="K60" i="13" l="1"/>
  <c r="K50" i="33"/>
  <c r="K42" i="33"/>
  <c r="K64" i="13"/>
  <c r="K60" i="33"/>
  <c r="AN16" i="33"/>
  <c r="AN44" i="33" l="1"/>
  <c r="AN45" i="33"/>
  <c r="L52" i="33"/>
  <c r="L74" i="13" l="1"/>
  <c r="AM74" i="13" s="1"/>
  <c r="L35" i="33"/>
  <c r="L59" i="33" s="1"/>
  <c r="L15" i="15"/>
  <c r="L14" i="15"/>
  <c r="L69" i="33"/>
  <c r="AM69" i="33" s="1"/>
  <c r="L14" i="13"/>
  <c r="L13" i="13"/>
  <c r="L15" i="13" l="1"/>
  <c r="AN15" i="33"/>
  <c r="L51" i="15"/>
  <c r="L17" i="15"/>
  <c r="L34" i="15"/>
  <c r="L70" i="15"/>
  <c r="L71" i="33"/>
  <c r="L14" i="33"/>
  <c r="AN75" i="13"/>
  <c r="L75" i="13"/>
  <c r="L52" i="13"/>
  <c r="L35" i="13"/>
  <c r="L59" i="13" s="1"/>
  <c r="L16" i="13"/>
  <c r="L48" i="13" s="1"/>
  <c r="L47" i="15" l="1"/>
  <c r="L15" i="33"/>
  <c r="L45" i="13"/>
  <c r="L44" i="13"/>
  <c r="L44" i="15"/>
  <c r="L43" i="15"/>
  <c r="L45" i="15"/>
  <c r="L57" i="15"/>
  <c r="L58" i="15"/>
  <c r="AM35" i="13"/>
  <c r="L62" i="13"/>
  <c r="L35" i="15"/>
  <c r="L41" i="15" s="1"/>
  <c r="L48" i="15"/>
  <c r="L46" i="15"/>
  <c r="L46" i="13"/>
  <c r="L58" i="13"/>
  <c r="L36" i="13"/>
  <c r="L49" i="13"/>
  <c r="L47" i="13"/>
  <c r="L50" i="13" l="1"/>
  <c r="L42" i="13"/>
  <c r="L16" i="33"/>
  <c r="L46" i="33" s="1"/>
  <c r="L59" i="15"/>
  <c r="L49" i="15"/>
  <c r="L63" i="13"/>
  <c r="L60" i="13"/>
  <c r="L58" i="33" l="1"/>
  <c r="L60" i="33" s="1"/>
  <c r="L44" i="33"/>
  <c r="L45" i="33"/>
  <c r="L48" i="33"/>
  <c r="L47" i="33"/>
  <c r="L64" i="13"/>
  <c r="L36" i="33" l="1"/>
  <c r="L49" i="33"/>
  <c r="L50" i="33" l="1"/>
  <c r="L42" i="33"/>
  <c r="M52" i="33" l="1"/>
  <c r="C52" i="33" s="1"/>
  <c r="D52" i="33" s="1"/>
  <c r="M51" i="15" l="1"/>
  <c r="C51" i="15" s="1"/>
  <c r="D51" i="15" s="1"/>
  <c r="E94" i="26" l="1"/>
  <c r="E95" i="26" s="1"/>
  <c r="D94" i="26"/>
  <c r="D95" i="26" s="1"/>
  <c r="K21" i="33" s="1"/>
  <c r="C94" i="26"/>
  <c r="C95" i="26" s="1"/>
  <c r="M70" i="15"/>
  <c r="M34" i="15"/>
  <c r="M58" i="15" s="1"/>
  <c r="AM58" i="15" s="1"/>
  <c r="M15" i="15"/>
  <c r="C15" i="15" s="1"/>
  <c r="D15" i="15" s="1"/>
  <c r="M14" i="15"/>
  <c r="C14" i="15" s="1"/>
  <c r="D14" i="15" s="1"/>
  <c r="M71" i="33"/>
  <c r="M15" i="33"/>
  <c r="M14" i="33"/>
  <c r="C14" i="33" s="1"/>
  <c r="D14" i="33" s="1"/>
  <c r="M75" i="13"/>
  <c r="M35" i="13"/>
  <c r="M59" i="13" s="1"/>
  <c r="AM59" i="13" s="1"/>
  <c r="M77" i="13"/>
  <c r="AT73" i="33"/>
  <c r="AS73" i="33"/>
  <c r="M14" i="13"/>
  <c r="C14" i="13" s="1"/>
  <c r="D14" i="13" s="1"/>
  <c r="M52" i="13"/>
  <c r="C52" i="13" s="1"/>
  <c r="D52" i="13" s="1"/>
  <c r="N15" i="33"/>
  <c r="B94" i="26"/>
  <c r="B95" i="26" s="1"/>
  <c r="M15" i="13" l="1"/>
  <c r="C15" i="13" s="1"/>
  <c r="D15" i="13" s="1"/>
  <c r="AR15" i="33"/>
  <c r="C15" i="33"/>
  <c r="AR77" i="13"/>
  <c r="C77" i="13"/>
  <c r="D77" i="13" s="1"/>
  <c r="AM14" i="15"/>
  <c r="AR14" i="15"/>
  <c r="AM14" i="33"/>
  <c r="AR14" i="33"/>
  <c r="AM15" i="15"/>
  <c r="AR15" i="15"/>
  <c r="AM14" i="13"/>
  <c r="AR14" i="13"/>
  <c r="M13" i="13"/>
  <c r="C13" i="13" s="1"/>
  <c r="D13" i="13" s="1"/>
  <c r="K19" i="33"/>
  <c r="K18" i="33"/>
  <c r="K20" i="33" s="1"/>
  <c r="AM77" i="13"/>
  <c r="AM15" i="33"/>
  <c r="M16" i="33"/>
  <c r="M17" i="15"/>
  <c r="C17" i="15" s="1"/>
  <c r="D17" i="15" s="1"/>
  <c r="E97" i="26"/>
  <c r="J21" i="33" s="1"/>
  <c r="J18" i="33" s="1"/>
  <c r="B97" i="26"/>
  <c r="M21" i="33" s="1"/>
  <c r="D97" i="26"/>
  <c r="C97" i="26"/>
  <c r="L21" i="33" s="1"/>
  <c r="AR15" i="13" l="1"/>
  <c r="AM15" i="13"/>
  <c r="M58" i="33"/>
  <c r="C58" i="33" s="1"/>
  <c r="D58" i="33" s="1"/>
  <c r="C16" i="33"/>
  <c r="D16" i="33" s="1"/>
  <c r="M20" i="33"/>
  <c r="C20" i="33" s="1"/>
  <c r="D20" i="33" s="1"/>
  <c r="C21" i="33"/>
  <c r="D21" i="33" s="1"/>
  <c r="J19" i="33"/>
  <c r="AR21" i="33"/>
  <c r="AM13" i="13"/>
  <c r="AR13" i="13"/>
  <c r="AR16" i="33"/>
  <c r="AR49" i="33" s="1"/>
  <c r="AR17" i="15"/>
  <c r="AM58" i="33"/>
  <c r="AR58" i="33"/>
  <c r="M46" i="33"/>
  <c r="C46" i="33" s="1"/>
  <c r="M16" i="13"/>
  <c r="AM18" i="33"/>
  <c r="K44" i="33"/>
  <c r="AM19" i="33"/>
  <c r="K45" i="33"/>
  <c r="M45" i="15"/>
  <c r="C45" i="15" s="1"/>
  <c r="M47" i="15"/>
  <c r="C47" i="15" s="1"/>
  <c r="AM16" i="33"/>
  <c r="L20" i="33"/>
  <c r="AM20" i="33" s="1"/>
  <c r="AM21" i="33"/>
  <c r="M46" i="15"/>
  <c r="C46" i="15" s="1"/>
  <c r="M43" i="15"/>
  <c r="C43" i="15" s="1"/>
  <c r="M44" i="15"/>
  <c r="C44" i="15" s="1"/>
  <c r="M35" i="33"/>
  <c r="M59" i="33" s="1"/>
  <c r="AM59" i="33" s="1"/>
  <c r="M45" i="33"/>
  <c r="C45" i="33" s="1"/>
  <c r="M44" i="33"/>
  <c r="C44" i="33" s="1"/>
  <c r="M48" i="15"/>
  <c r="C48" i="15" s="1"/>
  <c r="M47" i="33"/>
  <c r="C47" i="33" s="1"/>
  <c r="M57" i="15"/>
  <c r="C57" i="15" s="1"/>
  <c r="D57" i="15" s="1"/>
  <c r="M36" i="33"/>
  <c r="M42" i="33" s="1"/>
  <c r="C42" i="33" s="1"/>
  <c r="D42" i="33" s="1"/>
  <c r="M35" i="15"/>
  <c r="M41" i="15" s="1"/>
  <c r="C41" i="15" s="1"/>
  <c r="D41" i="15" s="1"/>
  <c r="B99" i="26"/>
  <c r="M49" i="15" l="1"/>
  <c r="C49" i="15" s="1"/>
  <c r="C35" i="15"/>
  <c r="D35" i="15" s="1"/>
  <c r="M44" i="13"/>
  <c r="C44" i="13" s="1"/>
  <c r="C16" i="13"/>
  <c r="D16" i="13" s="1"/>
  <c r="M50" i="33"/>
  <c r="C50" i="33" s="1"/>
  <c r="C36" i="33"/>
  <c r="D36" i="33" s="1"/>
  <c r="AR47" i="33"/>
  <c r="AR48" i="33"/>
  <c r="AM45" i="33"/>
  <c r="AR19" i="33"/>
  <c r="AO19" i="33" s="1"/>
  <c r="AP19" i="33" s="1"/>
  <c r="J45" i="33"/>
  <c r="J20" i="33"/>
  <c r="AR18" i="33"/>
  <c r="J44" i="33"/>
  <c r="AR46" i="33"/>
  <c r="M45" i="13"/>
  <c r="C45" i="13" s="1"/>
  <c r="M58" i="13"/>
  <c r="AR58" i="13" s="1"/>
  <c r="AR36" i="33"/>
  <c r="M62" i="13"/>
  <c r="C62" i="13" s="1"/>
  <c r="AR16" i="13"/>
  <c r="AR36" i="13" s="1"/>
  <c r="AR42" i="13" s="1"/>
  <c r="AM57" i="15"/>
  <c r="AR57" i="15"/>
  <c r="AR48" i="15"/>
  <c r="AR43" i="15"/>
  <c r="AR45" i="15"/>
  <c r="AR46" i="15"/>
  <c r="AR35" i="15"/>
  <c r="AR41" i="15" s="1"/>
  <c r="AR47" i="15"/>
  <c r="AR44" i="15"/>
  <c r="AM58" i="13"/>
  <c r="M47" i="13"/>
  <c r="C47" i="13" s="1"/>
  <c r="M49" i="13"/>
  <c r="C49" i="13" s="1"/>
  <c r="M48" i="13"/>
  <c r="C48" i="13" s="1"/>
  <c r="M36" i="13"/>
  <c r="M42" i="13" s="1"/>
  <c r="C42" i="13" s="1"/>
  <c r="D42" i="13" s="1"/>
  <c r="M46" i="13"/>
  <c r="C46" i="13" s="1"/>
  <c r="M49" i="33"/>
  <c r="C49" i="33" s="1"/>
  <c r="M48" i="33"/>
  <c r="C48" i="33" s="1"/>
  <c r="AM44" i="33"/>
  <c r="M59" i="15"/>
  <c r="C59" i="15" s="1"/>
  <c r="D59" i="15" s="1"/>
  <c r="M60" i="33"/>
  <c r="AR50" i="33" l="1"/>
  <c r="AR42" i="33"/>
  <c r="M63" i="13"/>
  <c r="C63" i="13" s="1"/>
  <c r="M60" i="13"/>
  <c r="C60" i="13" s="1"/>
  <c r="D60" i="13" s="1"/>
  <c r="C58" i="13"/>
  <c r="D58" i="13" s="1"/>
  <c r="AR45" i="13"/>
  <c r="M50" i="13"/>
  <c r="C50" i="13" s="1"/>
  <c r="C36" i="13"/>
  <c r="D36" i="13" s="1"/>
  <c r="AR60" i="33"/>
  <c r="C60" i="33"/>
  <c r="D60" i="33" s="1"/>
  <c r="AR45" i="33"/>
  <c r="AO18" i="33"/>
  <c r="AP18" i="33" s="1"/>
  <c r="AR20" i="33"/>
  <c r="AR44" i="33"/>
  <c r="AR46" i="13"/>
  <c r="AR48" i="13"/>
  <c r="AR49" i="13"/>
  <c r="AR62" i="13"/>
  <c r="AR44" i="13"/>
  <c r="AR47" i="13"/>
  <c r="AR49" i="15"/>
  <c r="AR59" i="15"/>
  <c r="AR63" i="13"/>
  <c r="AR50" i="13"/>
  <c r="AR60" i="13" l="1"/>
  <c r="AR64" i="13" s="1"/>
  <c r="M64" i="13"/>
  <c r="C64" i="13" s="1"/>
  <c r="AS32" i="15" l="1"/>
  <c r="AO32" i="15" s="1"/>
  <c r="E74" i="26" l="1"/>
  <c r="E75" i="26"/>
  <c r="E76" i="26"/>
  <c r="E77" i="26"/>
  <c r="E73" i="26"/>
  <c r="N15" i="15" l="1"/>
  <c r="N14" i="33" l="1"/>
  <c r="N51" i="15"/>
  <c r="AS14" i="33" l="1"/>
  <c r="AO14" i="33" s="1"/>
  <c r="AP14" i="33" s="1"/>
  <c r="AS15" i="33"/>
  <c r="AO15" i="33" s="1"/>
  <c r="N16" i="33"/>
  <c r="N70" i="15"/>
  <c r="AS69" i="15"/>
  <c r="AS68" i="15"/>
  <c r="AS67" i="15"/>
  <c r="AS66" i="15"/>
  <c r="AS65" i="15"/>
  <c r="AS64" i="15"/>
  <c r="AS33" i="15"/>
  <c r="AO33" i="15" s="1"/>
  <c r="AS31" i="15"/>
  <c r="AO31" i="15" s="1"/>
  <c r="AS30" i="15"/>
  <c r="AO30" i="15" s="1"/>
  <c r="AP30" i="15" s="1"/>
  <c r="AS29" i="15"/>
  <c r="AO29" i="15" s="1"/>
  <c r="AP29" i="15" s="1"/>
  <c r="AS28" i="15"/>
  <c r="AO28" i="15" s="1"/>
  <c r="AP28" i="15" s="1"/>
  <c r="AS27" i="15"/>
  <c r="AO27" i="15" s="1"/>
  <c r="AP27" i="15" s="1"/>
  <c r="AS26" i="15"/>
  <c r="AO26" i="15" s="1"/>
  <c r="AP26" i="15" s="1"/>
  <c r="AS25" i="15"/>
  <c r="AO25" i="15" s="1"/>
  <c r="AP25" i="15" s="1"/>
  <c r="AS24" i="15"/>
  <c r="AO24" i="15" s="1"/>
  <c r="AP24" i="15" s="1"/>
  <c r="AS23" i="15"/>
  <c r="AO23" i="15" s="1"/>
  <c r="AP23" i="15" s="1"/>
  <c r="AS21" i="15"/>
  <c r="AO21" i="15" s="1"/>
  <c r="AP21" i="15" s="1"/>
  <c r="N34" i="15"/>
  <c r="N58" i="15" s="1"/>
  <c r="N17" i="15"/>
  <c r="AS72" i="15"/>
  <c r="AS67" i="33"/>
  <c r="AS68" i="33"/>
  <c r="AS69" i="33"/>
  <c r="AS70" i="33"/>
  <c r="AS66" i="33"/>
  <c r="AS65" i="33"/>
  <c r="R35" i="33"/>
  <c r="S35" i="33"/>
  <c r="T35" i="33"/>
  <c r="U35" i="33"/>
  <c r="V35" i="33"/>
  <c r="AS24" i="33"/>
  <c r="AO24" i="33" s="1"/>
  <c r="AP24" i="33" s="1"/>
  <c r="AS25" i="33"/>
  <c r="AO25" i="33" s="1"/>
  <c r="AP25" i="33" s="1"/>
  <c r="AS26" i="33"/>
  <c r="AO26" i="33" s="1"/>
  <c r="AP26" i="33" s="1"/>
  <c r="AS27" i="33"/>
  <c r="AO27" i="33" s="1"/>
  <c r="AP27" i="33" s="1"/>
  <c r="AS28" i="33"/>
  <c r="AO28" i="33" s="1"/>
  <c r="AP28" i="33" s="1"/>
  <c r="AS29" i="33"/>
  <c r="AO29" i="33" s="1"/>
  <c r="AP29" i="33" s="1"/>
  <c r="AS30" i="33"/>
  <c r="AO30" i="33" s="1"/>
  <c r="AP30" i="33" s="1"/>
  <c r="N52" i="33"/>
  <c r="AS22" i="33"/>
  <c r="AS70" i="13"/>
  <c r="AS71" i="13"/>
  <c r="AS72" i="13"/>
  <c r="AS73" i="13"/>
  <c r="AS74" i="13"/>
  <c r="AS69" i="13"/>
  <c r="N77" i="13"/>
  <c r="AS22" i="13"/>
  <c r="AO22" i="13" s="1"/>
  <c r="AP22" i="13" s="1"/>
  <c r="AS23" i="13"/>
  <c r="AO23" i="13" s="1"/>
  <c r="AP23" i="13" s="1"/>
  <c r="AS24" i="13"/>
  <c r="AO24" i="13" s="1"/>
  <c r="AP24" i="13" s="1"/>
  <c r="AS25" i="13"/>
  <c r="AO25" i="13" s="1"/>
  <c r="AP25" i="13" s="1"/>
  <c r="AS26" i="13"/>
  <c r="AO26" i="13" s="1"/>
  <c r="AP26" i="13" s="1"/>
  <c r="AS27" i="13"/>
  <c r="AO27" i="13" s="1"/>
  <c r="AP27" i="13" s="1"/>
  <c r="AS29" i="13"/>
  <c r="AO29" i="13" s="1"/>
  <c r="AP29" i="13" s="1"/>
  <c r="AS31" i="13"/>
  <c r="AO31" i="13" s="1"/>
  <c r="AP31" i="13" s="1"/>
  <c r="AS32" i="13"/>
  <c r="AS33" i="13"/>
  <c r="AS34" i="13"/>
  <c r="N47" i="15" l="1"/>
  <c r="N48" i="33"/>
  <c r="AS52" i="33"/>
  <c r="AO52" i="33" s="1"/>
  <c r="AS70" i="15"/>
  <c r="N57" i="15"/>
  <c r="N43" i="15"/>
  <c r="N44" i="15"/>
  <c r="N47" i="33"/>
  <c r="N44" i="33"/>
  <c r="N45" i="33"/>
  <c r="N46" i="33"/>
  <c r="AS16" i="33"/>
  <c r="AO16" i="33" s="1"/>
  <c r="AP16" i="33" s="1"/>
  <c r="N58" i="33"/>
  <c r="N35" i="15"/>
  <c r="N41" i="15" s="1"/>
  <c r="AS51" i="15"/>
  <c r="AO51" i="15" s="1"/>
  <c r="AP51" i="15" s="1"/>
  <c r="N45" i="15"/>
  <c r="N46" i="15"/>
  <c r="N48" i="15"/>
  <c r="N71" i="33"/>
  <c r="AS71" i="33"/>
  <c r="AS75" i="13"/>
  <c r="N59" i="15" l="1"/>
  <c r="N49" i="15"/>
  <c r="AS45" i="33"/>
  <c r="AO45" i="33" s="1"/>
  <c r="AS44" i="33"/>
  <c r="AO44" i="33" s="1"/>
  <c r="AS46" i="33"/>
  <c r="AO46" i="33" s="1"/>
  <c r="O28" i="13" l="1"/>
  <c r="O30" i="13"/>
  <c r="O22" i="15"/>
  <c r="O23" i="33"/>
  <c r="O21" i="13"/>
  <c r="O20" i="13"/>
  <c r="AS21" i="13" l="1"/>
  <c r="AO21" i="13" s="1"/>
  <c r="AP21" i="13" s="1"/>
  <c r="AN21" i="13"/>
  <c r="AS22" i="15"/>
  <c r="AO22" i="15" s="1"/>
  <c r="AP22" i="15" s="1"/>
  <c r="AN22" i="15"/>
  <c r="AS20" i="13"/>
  <c r="AN20" i="13"/>
  <c r="AS23" i="33"/>
  <c r="AO23" i="33" s="1"/>
  <c r="AP23" i="33" s="1"/>
  <c r="AN23" i="33"/>
  <c r="AS30" i="13"/>
  <c r="AN30" i="13"/>
  <c r="AS28" i="13"/>
  <c r="AO28" i="13" s="1"/>
  <c r="AP28" i="13" s="1"/>
  <c r="AN28" i="13"/>
  <c r="AS47" i="33"/>
  <c r="AO47" i="33" s="1"/>
  <c r="AS34" i="15"/>
  <c r="AO34" i="15" s="1"/>
  <c r="AP34" i="15" s="1"/>
  <c r="AS35" i="13" l="1"/>
  <c r="AO35" i="13" s="1"/>
  <c r="AP35" i="13" s="1"/>
  <c r="AN35" i="13"/>
  <c r="O15" i="15" l="1"/>
  <c r="O14" i="15"/>
  <c r="O77" i="13"/>
  <c r="O70" i="15"/>
  <c r="O51" i="15"/>
  <c r="O34" i="15"/>
  <c r="O71" i="33"/>
  <c r="O52" i="33"/>
  <c r="O16" i="33"/>
  <c r="O46" i="33"/>
  <c r="O75" i="13"/>
  <c r="O58" i="15" l="1"/>
  <c r="O44" i="33"/>
  <c r="O45" i="33"/>
  <c r="AN51" i="15"/>
  <c r="AN77" i="13"/>
  <c r="AN52" i="33"/>
  <c r="O17" i="15"/>
  <c r="O44" i="15" s="1"/>
  <c r="O47" i="33"/>
  <c r="AN34" i="15"/>
  <c r="AS77" i="13"/>
  <c r="AO77" i="13" s="1"/>
  <c r="AP77" i="13" s="1"/>
  <c r="AM34" i="15"/>
  <c r="O58" i="33"/>
  <c r="AM35" i="33"/>
  <c r="AM48" i="33" s="1"/>
  <c r="P52" i="33"/>
  <c r="AK71" i="33"/>
  <c r="AJ71" i="33"/>
  <c r="AI71" i="33"/>
  <c r="AH71" i="33"/>
  <c r="AG71" i="33"/>
  <c r="AF71" i="33"/>
  <c r="AE71" i="33"/>
  <c r="AD71" i="33"/>
  <c r="AC71" i="33"/>
  <c r="AB71" i="33"/>
  <c r="AA71" i="33"/>
  <c r="Z71" i="33"/>
  <c r="U71" i="33"/>
  <c r="T71" i="33"/>
  <c r="S71" i="33"/>
  <c r="R71" i="33"/>
  <c r="Q71" i="33"/>
  <c r="P71" i="33"/>
  <c r="AU70" i="33"/>
  <c r="AT70" i="33"/>
  <c r="AU69" i="33"/>
  <c r="AT69" i="33"/>
  <c r="AU68" i="33"/>
  <c r="AT68" i="33"/>
  <c r="AU67" i="33"/>
  <c r="AT67" i="33"/>
  <c r="AY66" i="33"/>
  <c r="AY71" i="33" s="1"/>
  <c r="AX66" i="33"/>
  <c r="AX71" i="33" s="1"/>
  <c r="AW66" i="33"/>
  <c r="AW71" i="33" s="1"/>
  <c r="AV66" i="33"/>
  <c r="AV71" i="33" s="1"/>
  <c r="AT66" i="33"/>
  <c r="Y66" i="33"/>
  <c r="Y71" i="33" s="1"/>
  <c r="X66" i="33"/>
  <c r="X71" i="33" s="1"/>
  <c r="W66" i="33"/>
  <c r="W71" i="33" s="1"/>
  <c r="V66" i="33"/>
  <c r="V71" i="33" s="1"/>
  <c r="AU65" i="33"/>
  <c r="AT65" i="33"/>
  <c r="AN71" i="33"/>
  <c r="AM71" i="33"/>
  <c r="BB59" i="33"/>
  <c r="BA59" i="33"/>
  <c r="AZ59" i="33"/>
  <c r="AY59" i="33"/>
  <c r="BA58" i="33"/>
  <c r="AZ58" i="33"/>
  <c r="AY58" i="33"/>
  <c r="AX52" i="33"/>
  <c r="AW52" i="33"/>
  <c r="AV52" i="33"/>
  <c r="AK52" i="33"/>
  <c r="AJ52" i="33"/>
  <c r="AI52" i="33"/>
  <c r="AH52" i="33"/>
  <c r="AG52" i="33"/>
  <c r="AF52" i="33"/>
  <c r="AE52" i="33"/>
  <c r="AD52" i="33"/>
  <c r="AC52" i="33"/>
  <c r="AB52" i="33"/>
  <c r="AA52" i="33"/>
  <c r="Z52" i="33"/>
  <c r="Y52" i="33"/>
  <c r="X52" i="33"/>
  <c r="W52" i="33"/>
  <c r="V52" i="33"/>
  <c r="AU52" i="33" s="1"/>
  <c r="U52" i="33"/>
  <c r="T52" i="33"/>
  <c r="S52" i="33"/>
  <c r="R52" i="33"/>
  <c r="Q52" i="33"/>
  <c r="AZ36" i="33"/>
  <c r="AZ50" i="33" s="1"/>
  <c r="AY36" i="33"/>
  <c r="AY50" i="33" s="1"/>
  <c r="AX35" i="33"/>
  <c r="AX59" i="33" s="1"/>
  <c r="AW35" i="33"/>
  <c r="AV35" i="33"/>
  <c r="AK35" i="33"/>
  <c r="AJ35" i="33"/>
  <c r="AJ59" i="33" s="1"/>
  <c r="AI35" i="33"/>
  <c r="AH35" i="33"/>
  <c r="AH59" i="33" s="1"/>
  <c r="AG35" i="33"/>
  <c r="AF35" i="33"/>
  <c r="AF59" i="33" s="1"/>
  <c r="AE35" i="33"/>
  <c r="AD35" i="33"/>
  <c r="AD59" i="33" s="1"/>
  <c r="AC35" i="33"/>
  <c r="AB35" i="33"/>
  <c r="AB59" i="33" s="1"/>
  <c r="AA35" i="33"/>
  <c r="Z35" i="33"/>
  <c r="Z59" i="33" s="1"/>
  <c r="Y35" i="33"/>
  <c r="X35" i="33"/>
  <c r="X59" i="33" s="1"/>
  <c r="W35" i="33"/>
  <c r="V59" i="33"/>
  <c r="T59" i="33"/>
  <c r="AU30" i="33"/>
  <c r="AT30" i="33"/>
  <c r="AU29" i="33"/>
  <c r="AT29" i="33"/>
  <c r="AU28" i="33"/>
  <c r="AT28" i="33"/>
  <c r="AU27" i="33"/>
  <c r="AT27" i="33"/>
  <c r="AU26" i="33"/>
  <c r="AT26" i="33"/>
  <c r="AU25" i="33"/>
  <c r="AT25" i="33"/>
  <c r="AU24" i="33"/>
  <c r="AT24" i="33"/>
  <c r="AU23" i="33"/>
  <c r="AT23" i="33"/>
  <c r="Q21" i="33"/>
  <c r="Q20" i="33" s="1"/>
  <c r="Q35" i="33" s="1"/>
  <c r="P21" i="33"/>
  <c r="P20" i="33" s="1"/>
  <c r="AX20" i="33"/>
  <c r="AW20" i="33"/>
  <c r="AV20" i="33"/>
  <c r="AU20" i="33"/>
  <c r="AT20" i="33"/>
  <c r="AK20" i="33"/>
  <c r="AJ20" i="33"/>
  <c r="AI20" i="33"/>
  <c r="AH20" i="33"/>
  <c r="AG20" i="33"/>
  <c r="AF20" i="33"/>
  <c r="AE20" i="33"/>
  <c r="AD20" i="33"/>
  <c r="AC20" i="33"/>
  <c r="AB20" i="33"/>
  <c r="AA20" i="33"/>
  <c r="Z20" i="33"/>
  <c r="Y20" i="33"/>
  <c r="X20" i="33"/>
  <c r="W20" i="33"/>
  <c r="V20" i="33"/>
  <c r="U20" i="33"/>
  <c r="T20" i="33"/>
  <c r="S20" i="33"/>
  <c r="R20" i="33"/>
  <c r="AX16" i="33"/>
  <c r="AW16" i="33"/>
  <c r="AV16" i="33"/>
  <c r="AK16" i="33"/>
  <c r="AJ16" i="33"/>
  <c r="AI16" i="33"/>
  <c r="AH16" i="33"/>
  <c r="AG16" i="33"/>
  <c r="AF16" i="33"/>
  <c r="AE16" i="33"/>
  <c r="AD16" i="33"/>
  <c r="AC16" i="33"/>
  <c r="AB16" i="33"/>
  <c r="AA16" i="33"/>
  <c r="Z16" i="33"/>
  <c r="Y16" i="33"/>
  <c r="X16" i="33"/>
  <c r="W16" i="33"/>
  <c r="V16" i="33"/>
  <c r="U16" i="33"/>
  <c r="T16" i="33"/>
  <c r="S16" i="33"/>
  <c r="R16" i="33"/>
  <c r="Q16" i="33"/>
  <c r="P16" i="33"/>
  <c r="AU14" i="33"/>
  <c r="AU16" i="33" s="1"/>
  <c r="AT14" i="33"/>
  <c r="AT16" i="33" s="1"/>
  <c r="AN47" i="33"/>
  <c r="AT35" i="33" l="1"/>
  <c r="O46" i="15"/>
  <c r="O57" i="15"/>
  <c r="O59" i="15" s="1"/>
  <c r="O48" i="15"/>
  <c r="O35" i="15"/>
  <c r="O43" i="15"/>
  <c r="O45" i="15"/>
  <c r="Q44" i="33"/>
  <c r="Q45" i="33"/>
  <c r="S44" i="33"/>
  <c r="S45" i="33"/>
  <c r="S48" i="33"/>
  <c r="U44" i="33"/>
  <c r="U45" i="33"/>
  <c r="W44" i="33"/>
  <c r="W45" i="33"/>
  <c r="Y58" i="33"/>
  <c r="Y44" i="33"/>
  <c r="Y45" i="33"/>
  <c r="AA58" i="33"/>
  <c r="AA44" i="33"/>
  <c r="AA45" i="33"/>
  <c r="AC58" i="33"/>
  <c r="AC44" i="33"/>
  <c r="AC45" i="33"/>
  <c r="AE58" i="33"/>
  <c r="AE44" i="33"/>
  <c r="AE45" i="33"/>
  <c r="AG58" i="33"/>
  <c r="AG44" i="33"/>
  <c r="AG45" i="33"/>
  <c r="AI58" i="33"/>
  <c r="AI44" i="33"/>
  <c r="AI45" i="33"/>
  <c r="AK58" i="33"/>
  <c r="AK44" i="33"/>
  <c r="AK45" i="33"/>
  <c r="AW45" i="33"/>
  <c r="AW44" i="33"/>
  <c r="Q48" i="33"/>
  <c r="AT48" i="33"/>
  <c r="AW59" i="33"/>
  <c r="AW48" i="33"/>
  <c r="AU45" i="33"/>
  <c r="AU44" i="33"/>
  <c r="AT45" i="33"/>
  <c r="AT44" i="33"/>
  <c r="P45" i="33"/>
  <c r="P44" i="33"/>
  <c r="R45" i="33"/>
  <c r="R44" i="33"/>
  <c r="R48" i="33"/>
  <c r="T45" i="33"/>
  <c r="T44" i="33"/>
  <c r="V45" i="33"/>
  <c r="V44" i="33"/>
  <c r="X36" i="33"/>
  <c r="X50" i="33" s="1"/>
  <c r="X45" i="33"/>
  <c r="X44" i="33"/>
  <c r="Z36" i="33"/>
  <c r="Z50" i="33" s="1"/>
  <c r="Z45" i="33"/>
  <c r="Z44" i="33"/>
  <c r="AB36" i="33"/>
  <c r="AB50" i="33" s="1"/>
  <c r="AB45" i="33"/>
  <c r="AB44" i="33"/>
  <c r="AD36" i="33"/>
  <c r="AD50" i="33" s="1"/>
  <c r="AD45" i="33"/>
  <c r="AD44" i="33"/>
  <c r="AF36" i="33"/>
  <c r="AF50" i="33" s="1"/>
  <c r="AF45" i="33"/>
  <c r="AF44" i="33"/>
  <c r="AH36" i="33"/>
  <c r="AH50" i="33" s="1"/>
  <c r="AH45" i="33"/>
  <c r="AH44" i="33"/>
  <c r="AJ36" i="33"/>
  <c r="AJ50" i="33" s="1"/>
  <c r="AJ45" i="33"/>
  <c r="AJ44" i="33"/>
  <c r="AV44" i="33"/>
  <c r="AV45" i="33"/>
  <c r="AV59" i="33"/>
  <c r="AV48" i="33"/>
  <c r="O47" i="15"/>
  <c r="AY60" i="33"/>
  <c r="BA60" i="33"/>
  <c r="AT71" i="33"/>
  <c r="P35" i="33"/>
  <c r="P48" i="33" s="1"/>
  <c r="R36" i="33"/>
  <c r="R50" i="33" s="1"/>
  <c r="V36" i="33"/>
  <c r="V50" i="33" s="1"/>
  <c r="Q58" i="33"/>
  <c r="S58" i="33"/>
  <c r="U58" i="33"/>
  <c r="W58" i="33"/>
  <c r="Q49" i="33"/>
  <c r="AZ60" i="33"/>
  <c r="V82" i="33"/>
  <c r="X82" i="33"/>
  <c r="U82" i="33"/>
  <c r="AA82" i="33"/>
  <c r="AC82" i="33"/>
  <c r="AE82" i="33"/>
  <c r="AG82" i="33"/>
  <c r="AI82" i="33"/>
  <c r="AK82" i="33"/>
  <c r="P36" i="33"/>
  <c r="T36" i="33"/>
  <c r="T50" i="33" s="1"/>
  <c r="AV58" i="33"/>
  <c r="AX58" i="33"/>
  <c r="AX60" i="33" s="1"/>
  <c r="S49" i="33"/>
  <c r="U49" i="33"/>
  <c r="W49" i="33"/>
  <c r="Y49" i="33"/>
  <c r="AA49" i="33"/>
  <c r="AC49" i="33"/>
  <c r="AE49" i="33"/>
  <c r="AG49" i="33"/>
  <c r="AI49" i="33"/>
  <c r="AK49" i="33"/>
  <c r="W82" i="33"/>
  <c r="Y82" i="33"/>
  <c r="Z82" i="33"/>
  <c r="AB82" i="33"/>
  <c r="AD82" i="33"/>
  <c r="AF82" i="33"/>
  <c r="AH82" i="33"/>
  <c r="AJ82" i="33"/>
  <c r="R59" i="33"/>
  <c r="AT52" i="33"/>
  <c r="AM46" i="33"/>
  <c r="AM47" i="33"/>
  <c r="AM36" i="33"/>
  <c r="AT58" i="33"/>
  <c r="AT46" i="33"/>
  <c r="AT36" i="33"/>
  <c r="AT42" i="33" s="1"/>
  <c r="P50" i="33"/>
  <c r="AT59" i="33"/>
  <c r="AT49" i="33"/>
  <c r="AU58" i="33"/>
  <c r="AU47" i="33"/>
  <c r="AU35" i="33"/>
  <c r="Q36" i="33"/>
  <c r="S36" i="33"/>
  <c r="S50" i="33" s="1"/>
  <c r="U36" i="33"/>
  <c r="U50" i="33" s="1"/>
  <c r="W36" i="33"/>
  <c r="W50" i="33" s="1"/>
  <c r="Y36" i="33"/>
  <c r="Y50" i="33" s="1"/>
  <c r="AA36" i="33"/>
  <c r="AA50" i="33" s="1"/>
  <c r="AC36" i="33"/>
  <c r="AC50" i="33" s="1"/>
  <c r="AE36" i="33"/>
  <c r="AE50" i="33" s="1"/>
  <c r="AG36" i="33"/>
  <c r="AG50" i="33" s="1"/>
  <c r="AI36" i="33"/>
  <c r="AI50" i="33" s="1"/>
  <c r="AK36" i="33"/>
  <c r="AK50" i="33" s="1"/>
  <c r="AV36" i="33"/>
  <c r="AV50" i="33" s="1"/>
  <c r="AX36" i="33"/>
  <c r="AX50" i="33" s="1"/>
  <c r="AZ42" i="33"/>
  <c r="P46" i="33"/>
  <c r="R46" i="33"/>
  <c r="T46" i="33"/>
  <c r="V46" i="33"/>
  <c r="X46" i="33"/>
  <c r="Z46" i="33"/>
  <c r="AB46" i="33"/>
  <c r="AD46" i="33"/>
  <c r="AF46" i="33"/>
  <c r="AH46" i="33"/>
  <c r="AJ46" i="33"/>
  <c r="AN46" i="33"/>
  <c r="AV46" i="33"/>
  <c r="AX46" i="33"/>
  <c r="P47" i="33"/>
  <c r="R47" i="33"/>
  <c r="T47" i="33"/>
  <c r="V47" i="33"/>
  <c r="X47" i="33"/>
  <c r="Z47" i="33"/>
  <c r="AB47" i="33"/>
  <c r="AD47" i="33"/>
  <c r="AF47" i="33"/>
  <c r="AH47" i="33"/>
  <c r="AJ47" i="33"/>
  <c r="AT47" i="33"/>
  <c r="AV47" i="33"/>
  <c r="AX47" i="33"/>
  <c r="T48" i="33"/>
  <c r="V48" i="33"/>
  <c r="X48" i="33"/>
  <c r="Z48" i="33"/>
  <c r="AB48" i="33"/>
  <c r="AD48" i="33"/>
  <c r="AF48" i="33"/>
  <c r="AH48" i="33"/>
  <c r="AJ48" i="33"/>
  <c r="AX48" i="33"/>
  <c r="P49" i="33"/>
  <c r="R49" i="33"/>
  <c r="T49" i="33"/>
  <c r="V49" i="33"/>
  <c r="X49" i="33"/>
  <c r="Z49" i="33"/>
  <c r="AB49" i="33"/>
  <c r="AD49" i="33"/>
  <c r="AF49" i="33"/>
  <c r="AH49" i="33"/>
  <c r="AJ49" i="33"/>
  <c r="AV49" i="33"/>
  <c r="AX49" i="33"/>
  <c r="P58" i="33"/>
  <c r="AN58" i="33" s="1"/>
  <c r="R58" i="33"/>
  <c r="R60" i="33" s="1"/>
  <c r="T58" i="33"/>
  <c r="V58" i="33"/>
  <c r="V60" i="33" s="1"/>
  <c r="X58" i="33"/>
  <c r="X60" i="33" s="1"/>
  <c r="Z58" i="33"/>
  <c r="Z60" i="33" s="1"/>
  <c r="AB58" i="33"/>
  <c r="AB60" i="33" s="1"/>
  <c r="AD58" i="33"/>
  <c r="AD60" i="33" s="1"/>
  <c r="AF58" i="33"/>
  <c r="AF60" i="33" s="1"/>
  <c r="AH58" i="33"/>
  <c r="AH60" i="33" s="1"/>
  <c r="AJ58" i="33"/>
  <c r="AJ60" i="33" s="1"/>
  <c r="AW58" i="33"/>
  <c r="Q59" i="33"/>
  <c r="S59" i="33"/>
  <c r="U59" i="33"/>
  <c r="W59" i="33"/>
  <c r="W60" i="33" s="1"/>
  <c r="Y59" i="33"/>
  <c r="Y60" i="33" s="1"/>
  <c r="AA59" i="33"/>
  <c r="AA60" i="33" s="1"/>
  <c r="AC59" i="33"/>
  <c r="AC60" i="33" s="1"/>
  <c r="AE59" i="33"/>
  <c r="AG59" i="33"/>
  <c r="AG60" i="33" s="1"/>
  <c r="AI59" i="33"/>
  <c r="AK59" i="33"/>
  <c r="AU66" i="33"/>
  <c r="AU71" i="33" s="1"/>
  <c r="AW36" i="33"/>
  <c r="AW50" i="33" s="1"/>
  <c r="AY42" i="33"/>
  <c r="Q46" i="33"/>
  <c r="S46" i="33"/>
  <c r="U46" i="33"/>
  <c r="W46" i="33"/>
  <c r="Y46" i="33"/>
  <c r="AA46" i="33"/>
  <c r="AC46" i="33"/>
  <c r="AE46" i="33"/>
  <c r="AG46" i="33"/>
  <c r="AI46" i="33"/>
  <c r="AK46" i="33"/>
  <c r="AW46" i="33"/>
  <c r="Q47" i="33"/>
  <c r="S47" i="33"/>
  <c r="U47" i="33"/>
  <c r="W47" i="33"/>
  <c r="Y47" i="33"/>
  <c r="AA47" i="33"/>
  <c r="AC47" i="33"/>
  <c r="AE47" i="33"/>
  <c r="AG47" i="33"/>
  <c r="AI47" i="33"/>
  <c r="AK47" i="33"/>
  <c r="AW47" i="33"/>
  <c r="U48" i="33"/>
  <c r="W48" i="33"/>
  <c r="Y48" i="33"/>
  <c r="AA48" i="33"/>
  <c r="AC48" i="33"/>
  <c r="AE48" i="33"/>
  <c r="AG48" i="33"/>
  <c r="AI48" i="33"/>
  <c r="AK48" i="33"/>
  <c r="AW49" i="33"/>
  <c r="O49" i="15" l="1"/>
  <c r="O41" i="15"/>
  <c r="AK60" i="33"/>
  <c r="AI60" i="33"/>
  <c r="AV60" i="33"/>
  <c r="AE60" i="33"/>
  <c r="AW60" i="33"/>
  <c r="AU36" i="33"/>
  <c r="AU48" i="33"/>
  <c r="AS58" i="33"/>
  <c r="AO58" i="33" s="1"/>
  <c r="AP58" i="33" s="1"/>
  <c r="P59" i="33"/>
  <c r="Q50" i="33"/>
  <c r="S60" i="33"/>
  <c r="AT50" i="33"/>
  <c r="AT60" i="33"/>
  <c r="AM50" i="33"/>
  <c r="T60" i="33"/>
  <c r="P60" i="33"/>
  <c r="U60" i="33"/>
  <c r="Q60" i="33"/>
  <c r="AM49" i="33"/>
  <c r="AU59" i="33"/>
  <c r="AU60" i="33" s="1"/>
  <c r="AU49" i="33"/>
  <c r="AU50" i="33" l="1"/>
  <c r="AU42" i="33"/>
  <c r="AN35" i="33"/>
  <c r="AN48" i="33" s="1"/>
  <c r="AN49" i="33" l="1"/>
  <c r="AN36" i="33"/>
  <c r="AN50" i="33" l="1"/>
  <c r="P34" i="15" l="1"/>
  <c r="P58" i="15" s="1"/>
  <c r="P15" i="15"/>
  <c r="P14" i="15"/>
  <c r="P51" i="15"/>
  <c r="P70" i="15"/>
  <c r="AN70" i="15"/>
  <c r="P75" i="13"/>
  <c r="P35" i="13"/>
  <c r="P17" i="15" l="1"/>
  <c r="P47" i="15" s="1"/>
  <c r="P59" i="13"/>
  <c r="AM70" i="15"/>
  <c r="AM75" i="13"/>
  <c r="AT72" i="15"/>
  <c r="AT77" i="13"/>
  <c r="P43" i="15" l="1"/>
  <c r="P44" i="15"/>
  <c r="P45" i="15"/>
  <c r="P35" i="15"/>
  <c r="P41" i="15" s="1"/>
  <c r="P57" i="15"/>
  <c r="P46" i="15"/>
  <c r="P48" i="15"/>
  <c r="P59" i="15" l="1"/>
  <c r="P49" i="15"/>
  <c r="AT22" i="15" l="1"/>
  <c r="AT23" i="15"/>
  <c r="AT24" i="15"/>
  <c r="AT25" i="15"/>
  <c r="AT26" i="15"/>
  <c r="AT27" i="15"/>
  <c r="AT28" i="15"/>
  <c r="AT29" i="15"/>
  <c r="AT30" i="15"/>
  <c r="AT21" i="15"/>
  <c r="AT21" i="13"/>
  <c r="AT22" i="13"/>
  <c r="AT23" i="13"/>
  <c r="AT24" i="13"/>
  <c r="AT25" i="13"/>
  <c r="AT26" i="13"/>
  <c r="AT27" i="13"/>
  <c r="AT28" i="13"/>
  <c r="AT29" i="13"/>
  <c r="AT31" i="13"/>
  <c r="AT20" i="13"/>
  <c r="R35" i="13"/>
  <c r="AT47" i="15" l="1"/>
  <c r="AT34" i="15"/>
  <c r="AT45" i="15"/>
  <c r="AT46" i="15"/>
  <c r="AT35" i="15"/>
  <c r="AT48" i="15"/>
  <c r="AT47" i="13"/>
  <c r="AT46" i="13"/>
  <c r="AT48" i="13"/>
  <c r="AT35" i="13"/>
  <c r="R14" i="13"/>
  <c r="S14" i="13"/>
  <c r="R15" i="13"/>
  <c r="S15" i="13"/>
  <c r="T15" i="13"/>
  <c r="T14" i="13"/>
  <c r="Q51" i="15"/>
  <c r="Q15" i="15"/>
  <c r="Q14" i="15"/>
  <c r="AN14" i="15" s="1"/>
  <c r="R17" i="15"/>
  <c r="S17" i="15"/>
  <c r="T17" i="15"/>
  <c r="U17" i="15"/>
  <c r="U57" i="15" s="1"/>
  <c r="R34" i="15"/>
  <c r="R47" i="15" s="1"/>
  <c r="S34" i="15"/>
  <c r="S47" i="15" s="1"/>
  <c r="T34" i="15"/>
  <c r="T58" i="15" s="1"/>
  <c r="U34" i="15"/>
  <c r="U58" i="15" s="1"/>
  <c r="R45" i="15"/>
  <c r="S45" i="15"/>
  <c r="T45" i="15"/>
  <c r="R46" i="15"/>
  <c r="S46" i="15"/>
  <c r="T46" i="15"/>
  <c r="T47" i="15"/>
  <c r="U47" i="15"/>
  <c r="R48" i="15"/>
  <c r="R59" i="13"/>
  <c r="S35" i="13"/>
  <c r="S59" i="13" s="1"/>
  <c r="T35" i="13"/>
  <c r="T59" i="13" s="1"/>
  <c r="U35" i="13"/>
  <c r="U16" i="13"/>
  <c r="K81" i="26"/>
  <c r="E82" i="26" s="1"/>
  <c r="K78" i="26"/>
  <c r="D82" i="26" s="1"/>
  <c r="E78" i="26"/>
  <c r="E83" i="26" s="1"/>
  <c r="D78" i="26"/>
  <c r="D83" i="26" s="1"/>
  <c r="B78" i="26"/>
  <c r="K75" i="26"/>
  <c r="C82" i="26" s="1"/>
  <c r="C78" i="26"/>
  <c r="K72" i="26"/>
  <c r="B82" i="26" s="1"/>
  <c r="P52" i="13"/>
  <c r="Q70" i="15"/>
  <c r="Q34" i="15"/>
  <c r="P13" i="13"/>
  <c r="P14" i="13"/>
  <c r="P15" i="13"/>
  <c r="Q75" i="13"/>
  <c r="N75" i="13"/>
  <c r="O35" i="13"/>
  <c r="N35" i="13"/>
  <c r="Q15" i="13"/>
  <c r="O15" i="13"/>
  <c r="N15" i="13"/>
  <c r="Q14" i="13"/>
  <c r="O14" i="13"/>
  <c r="N14" i="13"/>
  <c r="O13" i="13"/>
  <c r="N13" i="13"/>
  <c r="AT49" i="15" l="1"/>
  <c r="AT41" i="15"/>
  <c r="T35" i="15"/>
  <c r="T49" i="15" s="1"/>
  <c r="U48" i="15"/>
  <c r="S35" i="15"/>
  <c r="S49" i="15" s="1"/>
  <c r="U46" i="15"/>
  <c r="T48" i="15"/>
  <c r="R35" i="15"/>
  <c r="R49" i="15" s="1"/>
  <c r="U35" i="15"/>
  <c r="U49" i="15" s="1"/>
  <c r="S48" i="15"/>
  <c r="U45" i="15"/>
  <c r="N59" i="13"/>
  <c r="O59" i="13"/>
  <c r="T57" i="15"/>
  <c r="T43" i="15"/>
  <c r="T44" i="15"/>
  <c r="R57" i="15"/>
  <c r="R59" i="15" s="1"/>
  <c r="R43" i="15"/>
  <c r="R44" i="15"/>
  <c r="C83" i="26"/>
  <c r="S44" i="15"/>
  <c r="S43" i="15"/>
  <c r="AN14" i="13"/>
  <c r="AN15" i="15"/>
  <c r="AN15" i="13"/>
  <c r="Q52" i="13"/>
  <c r="B83" i="26"/>
  <c r="AS15" i="15"/>
  <c r="AO15" i="15" s="1"/>
  <c r="AP15" i="15" s="1"/>
  <c r="R58" i="15"/>
  <c r="N52" i="13"/>
  <c r="E85" i="26"/>
  <c r="N21" i="33"/>
  <c r="AT36" i="13"/>
  <c r="AT49" i="13"/>
  <c r="AS14" i="13"/>
  <c r="AO14" i="13" s="1"/>
  <c r="AP14" i="13" s="1"/>
  <c r="AS15" i="13"/>
  <c r="AO15" i="13" s="1"/>
  <c r="AP15" i="13" s="1"/>
  <c r="AS14" i="15"/>
  <c r="AO14" i="15" s="1"/>
  <c r="AP14" i="15" s="1"/>
  <c r="U59" i="15"/>
  <c r="S58" i="15"/>
  <c r="S57" i="15"/>
  <c r="T59" i="15"/>
  <c r="U58" i="13"/>
  <c r="U48" i="13"/>
  <c r="O52" i="13"/>
  <c r="T13" i="13"/>
  <c r="R13" i="13"/>
  <c r="R16" i="13" s="1"/>
  <c r="R46" i="13" s="1"/>
  <c r="Q13" i="13"/>
  <c r="AN13" i="13" s="1"/>
  <c r="S13" i="13"/>
  <c r="Q17" i="15"/>
  <c r="P16" i="13"/>
  <c r="U49" i="13"/>
  <c r="N16" i="13"/>
  <c r="U47" i="13"/>
  <c r="O16" i="13"/>
  <c r="U46" i="13"/>
  <c r="U59" i="13"/>
  <c r="AT59" i="13" s="1"/>
  <c r="AT62" i="13" s="1"/>
  <c r="U36" i="13"/>
  <c r="U50" i="13" s="1"/>
  <c r="Q58" i="15"/>
  <c r="AN58" i="15" s="1"/>
  <c r="C85" i="26"/>
  <c r="B85" i="26"/>
  <c r="Q35" i="13"/>
  <c r="Q59" i="13" s="1"/>
  <c r="C57" i="26"/>
  <c r="AY65" i="15"/>
  <c r="AY70" i="13"/>
  <c r="AY71" i="13"/>
  <c r="B61" i="26"/>
  <c r="C61" i="26"/>
  <c r="D61" i="26"/>
  <c r="E61" i="26"/>
  <c r="K64" i="26"/>
  <c r="E63" i="26" s="1"/>
  <c r="K61" i="26"/>
  <c r="D63" i="26" s="1"/>
  <c r="D64" i="26" s="1"/>
  <c r="D66" i="26" s="1"/>
  <c r="K58" i="26"/>
  <c r="C63" i="26" s="1"/>
  <c r="K55" i="26"/>
  <c r="B63" i="26" s="1"/>
  <c r="B64" i="26" s="1"/>
  <c r="B66" i="26" s="1"/>
  <c r="AY73" i="13"/>
  <c r="AY68" i="15"/>
  <c r="AY70" i="15" s="1"/>
  <c r="AZ35" i="15"/>
  <c r="AZ41" i="15" s="1"/>
  <c r="B44" i="26"/>
  <c r="B47" i="26" s="1"/>
  <c r="B49" i="26" s="1"/>
  <c r="C44" i="26"/>
  <c r="C47" i="26" s="1"/>
  <c r="C49" i="26" s="1"/>
  <c r="D44" i="26"/>
  <c r="D47" i="26" s="1"/>
  <c r="D49" i="26" s="1"/>
  <c r="E44" i="26"/>
  <c r="K47" i="26"/>
  <c r="E47" i="26"/>
  <c r="E49" i="26" s="1"/>
  <c r="K44" i="26"/>
  <c r="K41" i="26"/>
  <c r="K38" i="26"/>
  <c r="AZ16" i="13"/>
  <c r="AZ36" i="13" s="1"/>
  <c r="AY16" i="13"/>
  <c r="AY36" i="13" s="1"/>
  <c r="AY17" i="15"/>
  <c r="AY35" i="15" s="1"/>
  <c r="K30" i="26"/>
  <c r="E29" i="26" s="1"/>
  <c r="BA57" i="15"/>
  <c r="BA58" i="15"/>
  <c r="AZ57" i="15"/>
  <c r="AZ58" i="15"/>
  <c r="AY58" i="15"/>
  <c r="K27" i="26"/>
  <c r="K24" i="26"/>
  <c r="K21" i="26"/>
  <c r="B27" i="26"/>
  <c r="B30" i="26" s="1"/>
  <c r="B32" i="26" s="1"/>
  <c r="C27" i="26"/>
  <c r="C30" i="26" s="1"/>
  <c r="C32" i="26" s="1"/>
  <c r="D27" i="26"/>
  <c r="D30" i="26" s="1"/>
  <c r="D32" i="26" s="1"/>
  <c r="E27" i="26"/>
  <c r="B11" i="26"/>
  <c r="B14" i="26" s="1"/>
  <c r="B16" i="26" s="1"/>
  <c r="C6" i="26"/>
  <c r="C8" i="26"/>
  <c r="C9" i="26"/>
  <c r="C10" i="26"/>
  <c r="D11" i="26"/>
  <c r="D14" i="26" s="1"/>
  <c r="D16" i="26" s="1"/>
  <c r="E11" i="26"/>
  <c r="E14" i="26" s="1"/>
  <c r="E16" i="26" s="1"/>
  <c r="AY57" i="15"/>
  <c r="AY59" i="15" s="1"/>
  <c r="AY58" i="13"/>
  <c r="AY60" i="13" s="1"/>
  <c r="AZ58" i="13"/>
  <c r="AZ60" i="13" s="1"/>
  <c r="AY75" i="13"/>
  <c r="AZ42" i="13"/>
  <c r="AZ50" i="13"/>
  <c r="AT50" i="13" l="1"/>
  <c r="AT42" i="13"/>
  <c r="AT57" i="15"/>
  <c r="AT58" i="15"/>
  <c r="AN17" i="15"/>
  <c r="AN47" i="15" s="1"/>
  <c r="AZ59" i="15"/>
  <c r="BA59" i="15"/>
  <c r="C64" i="26"/>
  <c r="C66" i="26" s="1"/>
  <c r="E64" i="26"/>
  <c r="E66" i="26" s="1"/>
  <c r="AN59" i="13"/>
  <c r="Q48" i="15"/>
  <c r="Q47" i="15"/>
  <c r="AN52" i="13"/>
  <c r="P44" i="13"/>
  <c r="P45" i="13"/>
  <c r="R36" i="13"/>
  <c r="R44" i="13"/>
  <c r="R45" i="13"/>
  <c r="O48" i="13"/>
  <c r="O44" i="13"/>
  <c r="O45" i="13"/>
  <c r="N44" i="13"/>
  <c r="N45" i="13"/>
  <c r="Q57" i="15"/>
  <c r="Q59" i="15" s="1"/>
  <c r="Q43" i="15"/>
  <c r="Q44" i="15"/>
  <c r="Q35" i="15"/>
  <c r="P48" i="13"/>
  <c r="N58" i="13"/>
  <c r="N36" i="13"/>
  <c r="N42" i="13" s="1"/>
  <c r="AS58" i="15"/>
  <c r="Q45" i="15"/>
  <c r="AM17" i="15"/>
  <c r="AM46" i="15" s="1"/>
  <c r="R49" i="13"/>
  <c r="R58" i="13"/>
  <c r="R60" i="13" s="1"/>
  <c r="R64" i="13" s="1"/>
  <c r="AS52" i="13"/>
  <c r="AO52" i="13" s="1"/>
  <c r="AP52" i="13" s="1"/>
  <c r="O58" i="13"/>
  <c r="R62" i="13"/>
  <c r="D85" i="26"/>
  <c r="B87" i="26" s="1"/>
  <c r="O21" i="33"/>
  <c r="N20" i="33"/>
  <c r="AM59" i="15"/>
  <c r="AS17" i="15"/>
  <c r="AO17" i="15" s="1"/>
  <c r="AP17" i="15" s="1"/>
  <c r="AS13" i="13"/>
  <c r="AS59" i="13"/>
  <c r="N47" i="13"/>
  <c r="N49" i="13"/>
  <c r="N46" i="13"/>
  <c r="N48" i="13"/>
  <c r="N62" i="13"/>
  <c r="AY41" i="15"/>
  <c r="AY49" i="15"/>
  <c r="S59" i="15"/>
  <c r="AT59" i="15" s="1"/>
  <c r="AY50" i="13"/>
  <c r="AY42" i="13"/>
  <c r="R47" i="13"/>
  <c r="R48" i="13"/>
  <c r="U60" i="13"/>
  <c r="U64" i="13" s="1"/>
  <c r="O47" i="13"/>
  <c r="S16" i="13"/>
  <c r="AN16" i="13"/>
  <c r="AN48" i="13" s="1"/>
  <c r="O49" i="13"/>
  <c r="O46" i="13"/>
  <c r="Q16" i="13"/>
  <c r="T16" i="13"/>
  <c r="P47" i="13"/>
  <c r="P46" i="13"/>
  <c r="P49" i="13"/>
  <c r="AM16" i="13"/>
  <c r="AM48" i="13" s="1"/>
  <c r="P58" i="13"/>
  <c r="P36" i="13"/>
  <c r="P42" i="13" s="1"/>
  <c r="Q46" i="15"/>
  <c r="O36" i="13"/>
  <c r="O42" i="13" s="1"/>
  <c r="U62" i="13"/>
  <c r="U63" i="13"/>
  <c r="E30" i="26"/>
  <c r="E32" i="26" s="1"/>
  <c r="C11" i="26"/>
  <c r="C14" i="26" s="1"/>
  <c r="C16" i="26" s="1"/>
  <c r="O62" i="13"/>
  <c r="B68" i="26"/>
  <c r="B34" i="26"/>
  <c r="B18" i="26"/>
  <c r="B51" i="26"/>
  <c r="R50" i="13" l="1"/>
  <c r="R42" i="13"/>
  <c r="Q49" i="15"/>
  <c r="Q41" i="15"/>
  <c r="AN43" i="15"/>
  <c r="AS16" i="13"/>
  <c r="AO16" i="13" s="1"/>
  <c r="AP16" i="13" s="1"/>
  <c r="AO13" i="13"/>
  <c r="AP13" i="13" s="1"/>
  <c r="AN48" i="15"/>
  <c r="AN35" i="15"/>
  <c r="AN49" i="15" s="1"/>
  <c r="N63" i="13"/>
  <c r="R63" i="13"/>
  <c r="N50" i="13"/>
  <c r="N60" i="13"/>
  <c r="AN45" i="15"/>
  <c r="AN44" i="15"/>
  <c r="AN46" i="15"/>
  <c r="AS57" i="15"/>
  <c r="AM47" i="15"/>
  <c r="AS21" i="33"/>
  <c r="AN21" i="33"/>
  <c r="AN57" i="15"/>
  <c r="O50" i="13"/>
  <c r="O60" i="13"/>
  <c r="AM45" i="13"/>
  <c r="AM44" i="13"/>
  <c r="AN46" i="13"/>
  <c r="AN45" i="13"/>
  <c r="AN44" i="13"/>
  <c r="T48" i="13"/>
  <c r="T44" i="13"/>
  <c r="T45" i="13"/>
  <c r="Q47" i="13"/>
  <c r="Q44" i="13"/>
  <c r="Q45" i="13"/>
  <c r="S36" i="13"/>
  <c r="S44" i="13"/>
  <c r="S45" i="13"/>
  <c r="AS35" i="15"/>
  <c r="AS44" i="15"/>
  <c r="AO44" i="15" s="1"/>
  <c r="AS43" i="15"/>
  <c r="AO43" i="15" s="1"/>
  <c r="AM44" i="15"/>
  <c r="AM43" i="15"/>
  <c r="S46" i="13"/>
  <c r="O63" i="13"/>
  <c r="AM45" i="15"/>
  <c r="AM48" i="15"/>
  <c r="AN47" i="13"/>
  <c r="AM35" i="15"/>
  <c r="N36" i="33"/>
  <c r="N42" i="33" s="1"/>
  <c r="N49" i="33"/>
  <c r="N60" i="33"/>
  <c r="P50" i="13"/>
  <c r="Q36" i="13"/>
  <c r="Q42" i="13" s="1"/>
  <c r="Q49" i="13"/>
  <c r="Q58" i="13"/>
  <c r="AN58" i="13" s="1"/>
  <c r="AN49" i="13"/>
  <c r="O20" i="33"/>
  <c r="AS48" i="15"/>
  <c r="AO48" i="15" s="1"/>
  <c r="AS46" i="15"/>
  <c r="AO46" i="15" s="1"/>
  <c r="AS47" i="15"/>
  <c r="AO47" i="15" s="1"/>
  <c r="AS45" i="15"/>
  <c r="AO45" i="15" s="1"/>
  <c r="S48" i="13"/>
  <c r="Q46" i="13"/>
  <c r="Q48" i="13"/>
  <c r="AN36" i="13"/>
  <c r="AN50" i="13" s="1"/>
  <c r="AN62" i="13"/>
  <c r="AM60" i="13"/>
  <c r="S58" i="13"/>
  <c r="S62" i="13"/>
  <c r="S49" i="13"/>
  <c r="S47" i="13"/>
  <c r="T46" i="13"/>
  <c r="T49" i="13"/>
  <c r="T58" i="13"/>
  <c r="T36" i="13"/>
  <c r="T62" i="13"/>
  <c r="T47" i="13"/>
  <c r="AM36" i="13"/>
  <c r="AM49" i="13"/>
  <c r="AM47" i="13"/>
  <c r="AM62" i="13"/>
  <c r="AM46" i="13"/>
  <c r="P60" i="13"/>
  <c r="P63" i="13"/>
  <c r="P62" i="13"/>
  <c r="Q62" i="13"/>
  <c r="AS47" i="13" l="1"/>
  <c r="AO47" i="13" s="1"/>
  <c r="AS48" i="13"/>
  <c r="AO48" i="13" s="1"/>
  <c r="S50" i="13"/>
  <c r="S42" i="13"/>
  <c r="T50" i="13"/>
  <c r="T42" i="13"/>
  <c r="AO35" i="15"/>
  <c r="AP35" i="15" s="1"/>
  <c r="AS41" i="15"/>
  <c r="AS62" i="13"/>
  <c r="AO62" i="13" s="1"/>
  <c r="AS45" i="13"/>
  <c r="AO45" i="13" s="1"/>
  <c r="AS49" i="13"/>
  <c r="AO49" i="13" s="1"/>
  <c r="AS36" i="13"/>
  <c r="AS46" i="13"/>
  <c r="AO46" i="13" s="1"/>
  <c r="AS44" i="13"/>
  <c r="AO44" i="13" s="1"/>
  <c r="N64" i="13"/>
  <c r="AS20" i="33"/>
  <c r="AO21" i="33"/>
  <c r="AP21" i="33" s="1"/>
  <c r="AS59" i="15"/>
  <c r="AO59" i="15" s="1"/>
  <c r="AP59" i="15" s="1"/>
  <c r="AO57" i="15"/>
  <c r="AP57" i="15" s="1"/>
  <c r="N50" i="33"/>
  <c r="AN59" i="15"/>
  <c r="AN20" i="33"/>
  <c r="O64" i="13"/>
  <c r="AM49" i="15"/>
  <c r="AN60" i="13"/>
  <c r="P64" i="13"/>
  <c r="AS58" i="13"/>
  <c r="Q50" i="13"/>
  <c r="Q60" i="13"/>
  <c r="Q63" i="13"/>
  <c r="O35" i="33"/>
  <c r="AS49" i="15"/>
  <c r="AO49" i="15" s="1"/>
  <c r="S60" i="13"/>
  <c r="S63" i="13"/>
  <c r="T60" i="13"/>
  <c r="AT58" i="13"/>
  <c r="T63" i="13"/>
  <c r="AM63" i="13"/>
  <c r="AM50" i="13"/>
  <c r="AO36" i="13" l="1"/>
  <c r="AP36" i="13" s="1"/>
  <c r="AS42" i="13"/>
  <c r="AS50" i="13"/>
  <c r="AO50" i="13" s="1"/>
  <c r="AS35" i="33"/>
  <c r="AO20" i="33"/>
  <c r="AP20" i="33" s="1"/>
  <c r="AS60" i="13"/>
  <c r="AO58" i="13"/>
  <c r="AP58" i="13" s="1"/>
  <c r="O59" i="33"/>
  <c r="AS59" i="33" s="1"/>
  <c r="O48" i="33"/>
  <c r="AS63" i="13"/>
  <c r="AO63" i="13" s="1"/>
  <c r="Q64" i="13"/>
  <c r="AT63" i="13"/>
  <c r="O36" i="33"/>
  <c r="O42" i="33" s="1"/>
  <c r="O49" i="33"/>
  <c r="S64" i="13"/>
  <c r="AN64" i="13"/>
  <c r="AN63" i="13"/>
  <c r="T64" i="13"/>
  <c r="AT60" i="13"/>
  <c r="AM64" i="13"/>
  <c r="AS48" i="33" l="1"/>
  <c r="AO48" i="33" s="1"/>
  <c r="AO35" i="33"/>
  <c r="AP35" i="33" s="1"/>
  <c r="AS49" i="33"/>
  <c r="AO49" i="33" s="1"/>
  <c r="AS36" i="33"/>
  <c r="AS42" i="33" s="1"/>
  <c r="AS60" i="33"/>
  <c r="AO60" i="33" s="1"/>
  <c r="AP60" i="33" s="1"/>
  <c r="AO59" i="33"/>
  <c r="AP59" i="33" s="1"/>
  <c r="AS64" i="13"/>
  <c r="AO64" i="13" s="1"/>
  <c r="AO60" i="13"/>
  <c r="AP60" i="13" s="1"/>
  <c r="O50" i="33"/>
  <c r="AN59" i="33"/>
  <c r="AT64" i="13"/>
  <c r="O60" i="33"/>
  <c r="AM60" i="33"/>
  <c r="AS50" i="33" l="1"/>
  <c r="AO50" i="33" s="1"/>
  <c r="AO36" i="33"/>
  <c r="AP36" i="33" s="1"/>
  <c r="AN60" i="33"/>
</calcChain>
</file>

<file path=xl/comments1.xml><?xml version="1.0" encoding="utf-8"?>
<comments xmlns="http://schemas.openxmlformats.org/spreadsheetml/2006/main">
  <authors>
    <author>c_lee</author>
  </authors>
  <commentList>
    <comment ref="BA14" authorId="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 ref="BB31" authorId="0">
      <text>
        <r>
          <rPr>
            <b/>
            <sz val="8"/>
            <color indexed="81"/>
            <rFont val="Tahoma"/>
            <family val="2"/>
          </rPr>
          <t>c_lee:</t>
        </r>
        <r>
          <rPr>
            <sz val="8"/>
            <color indexed="81"/>
            <rFont val="Tahoma"/>
            <family val="2"/>
          </rPr>
          <t xml:space="preserve">
This amount is from previous Supp but does not agree to CS Dave ($31,189)</t>
        </r>
      </text>
    </comment>
  </commentList>
</comments>
</file>

<file path=xl/comments2.xml><?xml version="1.0" encoding="utf-8"?>
<comments xmlns="http://schemas.openxmlformats.org/spreadsheetml/2006/main">
  <authors>
    <author>c_lee</author>
  </authors>
  <commentList>
    <comment ref="E80" authorId="0">
      <text>
        <r>
          <rPr>
            <b/>
            <sz val="8"/>
            <color indexed="81"/>
            <rFont val="Tahoma"/>
            <family val="2"/>
          </rPr>
          <t>c_lee:</t>
        </r>
        <r>
          <rPr>
            <sz val="8"/>
            <color indexed="81"/>
            <rFont val="Tahoma"/>
            <family val="2"/>
          </rPr>
          <t xml:space="preserve">
translated with March rate as Co acquired in March</t>
        </r>
      </text>
    </comment>
  </commentList>
</comments>
</file>

<file path=xl/sharedStrings.xml><?xml version="1.0" encoding="utf-8"?>
<sst xmlns="http://schemas.openxmlformats.org/spreadsheetml/2006/main" count="3982" uniqueCount="460">
  <si>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</si>
  <si>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</si>
  <si>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</si>
  <si>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</si>
  <si>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</si>
  <si>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</si>
  <si>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</si>
  <si>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</si>
  <si>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</si>
  <si>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</si>
  <si>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</si>
  <si>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</si>
  <si>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</si>
  <si>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</si>
  <si>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</si>
  <si>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</si>
  <si>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</si>
  <si>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</si>
  <si>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</si>
  <si>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</si>
  <si>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</si>
  <si>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</si>
  <si>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</si>
  <si>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Financial measures</t>
  </si>
  <si>
    <t>Dividends per share</t>
  </si>
  <si>
    <r>
      <t xml:space="preserve">Special distributions per share </t>
    </r>
    <r>
      <rPr>
        <vertAlign val="superscript"/>
        <sz val="9"/>
        <rFont val="Arial"/>
        <family val="2"/>
      </rPr>
      <t>(9)</t>
    </r>
  </si>
  <si>
    <r>
      <t xml:space="preserve">Dividend yield (closing share price) </t>
    </r>
    <r>
      <rPr>
        <vertAlign val="superscript"/>
        <sz val="9"/>
        <rFont val="Arial"/>
        <family val="2"/>
      </rPr>
      <t>(9)</t>
    </r>
  </si>
  <si>
    <r>
      <t xml:space="preserve">Total shareholder return </t>
    </r>
    <r>
      <rPr>
        <vertAlign val="superscript"/>
        <sz val="9"/>
        <rFont val="Arial"/>
        <family val="2"/>
      </rPr>
      <t>(10)</t>
    </r>
  </si>
  <si>
    <t>n.m.: not meaningful</t>
  </si>
  <si>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</si>
  <si>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</si>
  <si>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</si>
  <si>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</si>
  <si>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</si>
  <si>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</si>
  <si>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</si>
  <si>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</si>
  <si>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</si>
  <si>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</si>
  <si>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</si>
  <si>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</si>
  <si>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</si>
  <si>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</si>
  <si>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</si>
  <si>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</si>
  <si>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</si>
  <si>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</si>
  <si>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</si>
  <si>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</si>
  <si>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</si>
  <si>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</si>
  <si>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</si>
  <si>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</si>
  <si>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</si>
  <si>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</si>
  <si>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</si>
  <si>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</si>
  <si>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</si>
  <si>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</si>
  <si>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reinvestment of all dividends.</t>
  </si>
  <si>
    <t>The price to earnings multiple is calculated based on the end of period share price and 12-month trailing diluted EPS.</t>
  </si>
  <si>
    <t>Total compensation expense includes incentive compensation and salaries and benefits, but excludes hiring incentives and development group salary and benefits, which are included in development costs.</t>
  </si>
  <si>
    <t xml:space="preserve">A company listed on AIM is required to retain a Nominated Adviser (commonly referred to as Nomad) during the company's life on the market.  Nominated Advisers are responsible, amongst other duties, for warranting that </t>
  </si>
  <si>
    <t>Total</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</si>
  <si>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</si>
  <si>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</si>
  <si>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</si>
  <si>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</si>
  <si>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</si>
  <si>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</si>
  <si>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</si>
  <si>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</si>
  <si>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</si>
  <si>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</si>
  <si>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</si>
  <si>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</si>
  <si>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ABCP fair value adjustment</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</si>
  <si>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</si>
  <si>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</si>
  <si>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</si>
  <si>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</si>
  <si>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</si>
  <si>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</si>
  <si>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</si>
  <si>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</si>
  <si>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</si>
  <si>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</si>
  <si>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</si>
  <si>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</si>
  <si>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</si>
  <si>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Capital Markets</t>
  </si>
  <si>
    <t>International Trading</t>
  </si>
  <si>
    <t>Fixed Income</t>
  </si>
  <si>
    <t>Total Canada</t>
  </si>
  <si>
    <t>Number of employees</t>
  </si>
  <si>
    <t>General and administrative</t>
  </si>
  <si>
    <t>Corporate and Other segment</t>
  </si>
  <si>
    <t>Corporate and Other</t>
  </si>
  <si>
    <t>Trading costs</t>
  </si>
  <si>
    <t>Total incentive compensation</t>
  </si>
  <si>
    <t>US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</si>
  <si>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</si>
  <si>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</si>
  <si>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</si>
  <si>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</si>
  <si>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</si>
  <si>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</si>
  <si>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Investment in asset backed commercial paper</t>
  </si>
  <si>
    <t>Equipment and leasehold improvements</t>
  </si>
  <si>
    <t>Notes receivable</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</si>
  <si>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</si>
  <si>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</si>
  <si>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</si>
  <si>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</si>
  <si>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</si>
  <si>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</si>
  <si>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</si>
  <si>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</si>
  <si>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</si>
  <si>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</si>
  <si>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</si>
  <si>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</si>
  <si>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</si>
  <si>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</si>
  <si>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</si>
  <si>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</si>
  <si>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</si>
  <si>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</si>
  <si>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</si>
  <si>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FY2008</t>
  </si>
  <si>
    <t>FY2009</t>
  </si>
  <si>
    <t>(all are YTD NHI numbers in GBP)</t>
  </si>
  <si>
    <t>Q1 08 YTD</t>
  </si>
  <si>
    <t>Q2 08 YTD</t>
  </si>
  <si>
    <t>Q3 08 YTD</t>
  </si>
  <si>
    <t>Q4 08 YTD</t>
  </si>
  <si>
    <t>Sales Draws - NHI</t>
  </si>
  <si>
    <t>Syndication Salaries NHI</t>
  </si>
  <si>
    <t>Research NHI</t>
  </si>
  <si>
    <t>Corporate Finance NHI</t>
  </si>
  <si>
    <t>Dealing NHI</t>
  </si>
  <si>
    <t>average rate</t>
  </si>
  <si>
    <t>Convert to CDN$</t>
  </si>
  <si>
    <t>YTD NHI</t>
  </si>
  <si>
    <t>NHI Calculation - UK</t>
  </si>
  <si>
    <t>Annualized ROE</t>
  </si>
  <si>
    <t>FY06</t>
  </si>
  <si>
    <t>FY05</t>
  </si>
  <si>
    <t>FY04</t>
  </si>
  <si>
    <t>Quarterly NHI</t>
  </si>
  <si>
    <t>Q1 rates</t>
  </si>
  <si>
    <t>Apr</t>
  </si>
  <si>
    <t>May</t>
  </si>
  <si>
    <t>June</t>
  </si>
  <si>
    <t>Average</t>
  </si>
  <si>
    <t>UK</t>
  </si>
  <si>
    <r>
      <t>Trading costs</t>
    </r>
    <r>
      <rPr>
        <vertAlign val="superscript"/>
        <sz val="9"/>
        <rFont val="Arial"/>
        <family val="2"/>
      </rPr>
      <t xml:space="preserve"> </t>
    </r>
  </si>
  <si>
    <t>The employee count excludes temporary employees and those on long term disability but includes employees on leave of absence.</t>
  </si>
  <si>
    <t>Q2 rates</t>
  </si>
  <si>
    <r>
      <t xml:space="preserve">US </t>
    </r>
    <r>
      <rPr>
        <vertAlign val="superscript"/>
        <sz val="9"/>
        <rFont val="Arial"/>
        <family val="2"/>
      </rPr>
      <t>(21)</t>
    </r>
  </si>
  <si>
    <t>Q3 rates</t>
  </si>
  <si>
    <t>Jul</t>
  </si>
  <si>
    <t>Aug</t>
  </si>
  <si>
    <t>Sep</t>
  </si>
  <si>
    <t>Oct</t>
  </si>
  <si>
    <t>Nov</t>
  </si>
  <si>
    <t>Dec</t>
  </si>
  <si>
    <t>Impairment of goodwill and intangibles</t>
  </si>
  <si>
    <t>Canaccord relief program</t>
  </si>
  <si>
    <t>Restructuring costs</t>
  </si>
  <si>
    <t>Q4 rates</t>
  </si>
  <si>
    <t>Jan</t>
  </si>
  <si>
    <t>Feb</t>
  </si>
  <si>
    <t>Mar</t>
  </si>
  <si>
    <t>March</t>
  </si>
  <si>
    <t>January</t>
  </si>
  <si>
    <t>February</t>
  </si>
  <si>
    <t>FY2010</t>
  </si>
  <si>
    <t>Q1 10 YTD</t>
  </si>
  <si>
    <t>Q1 09 YTD</t>
  </si>
  <si>
    <t>Q2 09 YTD</t>
  </si>
  <si>
    <t>Q3 09 YTD</t>
  </si>
  <si>
    <t>Q4 09 YTD</t>
  </si>
  <si>
    <t>Q2 10 YTD</t>
  </si>
  <si>
    <t>Q3 10 YTD</t>
  </si>
  <si>
    <t>Q4 10 YTD</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</si>
  <si>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</si>
  <si>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</si>
  <si>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</si>
  <si>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</si>
  <si>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</si>
  <si>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</si>
  <si>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</si>
  <si>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</si>
  <si>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</si>
  <si>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</si>
  <si>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</si>
  <si>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</si>
  <si>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</si>
  <si>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</si>
  <si>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Hiring incentives</t>
  </si>
  <si>
    <t>Number of companies with Canaccord Genuity Limited as Broker</t>
  </si>
  <si>
    <t>FY2011</t>
  </si>
  <si>
    <t>-</t>
  </si>
  <si>
    <t>Loss before intersegment allocations and income taxes</t>
  </si>
  <si>
    <t>Total Nomad</t>
  </si>
  <si>
    <t xml:space="preserve">US </t>
  </si>
  <si>
    <t>h</t>
  </si>
  <si>
    <t>Development group salary and benefits have been reclassified to salaries and benefits expense line starting in Q1/11.</t>
  </si>
  <si>
    <t xml:space="preserve">Q1 11 </t>
  </si>
  <si>
    <t xml:space="preserve">Q2 11 </t>
  </si>
  <si>
    <t xml:space="preserve">Q3 11 </t>
  </si>
  <si>
    <t xml:space="preserve">Q4 11 </t>
  </si>
  <si>
    <t>Advisory fees</t>
  </si>
  <si>
    <r>
      <t xml:space="preserve">Return on common equity (ROE)  </t>
    </r>
    <r>
      <rPr>
        <vertAlign val="superscript"/>
        <sz val="9"/>
        <rFont val="Arial"/>
        <family val="2"/>
      </rPr>
      <t>(11)</t>
    </r>
  </si>
  <si>
    <r>
      <t xml:space="preserve">Price to earnings multiple </t>
    </r>
    <r>
      <rPr>
        <vertAlign val="superscript"/>
        <sz val="9"/>
        <rFont val="Arial"/>
        <family val="2"/>
      </rPr>
      <t>(12)</t>
    </r>
  </si>
  <si>
    <r>
      <t xml:space="preserve">Price to book ratio </t>
    </r>
    <r>
      <rPr>
        <vertAlign val="superscript"/>
        <sz val="9"/>
        <rFont val="Arial"/>
        <family val="2"/>
      </rPr>
      <t>(13)</t>
    </r>
  </si>
  <si>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</si>
  <si>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</si>
  <si>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</si>
  <si>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</si>
  <si>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</si>
  <si>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r>
      <t>Condensed statement of operations</t>
    </r>
    <r>
      <rPr>
        <b/>
        <i/>
        <vertAlign val="superscript"/>
        <sz val="12"/>
        <rFont val="Arial"/>
        <family val="2"/>
      </rPr>
      <t xml:space="preserve"> (20) </t>
    </r>
  </si>
  <si>
    <r>
      <t xml:space="preserve">Condensed statement of operations </t>
    </r>
    <r>
      <rPr>
        <b/>
        <i/>
        <vertAlign val="superscript"/>
        <sz val="12"/>
        <rFont val="Arial"/>
        <family val="2"/>
      </rPr>
      <t xml:space="preserve">(17) </t>
    </r>
  </si>
  <si>
    <r>
      <t>Total compensation exp. as % of revenue</t>
    </r>
    <r>
      <rPr>
        <vertAlign val="superscript"/>
        <sz val="9"/>
        <rFont val="Arial"/>
        <family val="2"/>
      </rPr>
      <t xml:space="preserve"> (15)</t>
    </r>
  </si>
  <si>
    <r>
      <t xml:space="preserve">Condensed statement of operations </t>
    </r>
    <r>
      <rPr>
        <b/>
        <i/>
        <vertAlign val="superscript"/>
        <sz val="12"/>
        <rFont val="Arial"/>
        <family val="2"/>
      </rPr>
      <t>(21)</t>
    </r>
  </si>
  <si>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</si>
  <si>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</si>
  <si>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 xml:space="preserve">a company is appropriate for joining AIM.  </t>
  </si>
  <si>
    <t>Trading NHI</t>
  </si>
  <si>
    <t>Q1/12</t>
  </si>
  <si>
    <t>Q4/12</t>
  </si>
  <si>
    <t>Q3/12</t>
  </si>
  <si>
    <t>Q2/12</t>
  </si>
  <si>
    <t>FY2012</t>
  </si>
  <si>
    <t>FY12</t>
  </si>
  <si>
    <t xml:space="preserve">Q1 12 </t>
  </si>
  <si>
    <t xml:space="preserve">Q2 12 </t>
  </si>
  <si>
    <t xml:space="preserve">Q3 12 </t>
  </si>
  <si>
    <t xml:space="preserve">Q4 12 </t>
  </si>
  <si>
    <t>International Financial Reporting Standards:</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</si>
  <si>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</si>
  <si>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</si>
  <si>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</si>
  <si>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</si>
  <si>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</si>
  <si>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r>
      <t>Common dividend payout ratio</t>
    </r>
    <r>
      <rPr>
        <vertAlign val="superscript"/>
        <sz val="9"/>
        <rFont val="Arial"/>
        <family val="2"/>
      </rPr>
      <t xml:space="preserve"> (9)</t>
    </r>
  </si>
  <si>
    <t xml:space="preserve">Total shareholder return is calculated as the change in share price plus dividends paid to common shares and special distributions paid in the current period as a percentage of the prior period's closing share price, assuming </t>
  </si>
  <si>
    <t xml:space="preserve">ROE is presented on an annualized basis. Quarterly annualized ROE is calculated by dividing the annualized net income for the three month period over the average common shareholders’ equity.  </t>
  </si>
  <si>
    <t>The price to book ratio is calculated based on the end of period share price and common shareholder's equity per diluted common share.</t>
  </si>
  <si>
    <t>US Funds Desk Salaries NI</t>
  </si>
  <si>
    <t>Sales Salaries - NI</t>
  </si>
  <si>
    <t>Accounts payable, accrued liabilities and other</t>
  </si>
  <si>
    <r>
      <t xml:space="preserve">Preferred share information </t>
    </r>
    <r>
      <rPr>
        <i/>
        <sz val="9"/>
        <rFont val="Arial"/>
        <family val="2"/>
      </rPr>
      <t>(thousands)</t>
    </r>
  </si>
  <si>
    <t>IFRS</t>
  </si>
  <si>
    <t>CGAAP</t>
  </si>
  <si>
    <t>Number of employees in Other Foreign Locations</t>
  </si>
  <si>
    <t xml:space="preserve">Number in Canaccord Genuity </t>
  </si>
  <si>
    <t>n.m. not meaningful</t>
  </si>
  <si>
    <t>Book value per diluted common share</t>
  </si>
  <si>
    <t xml:space="preserve">As required by the Canadian Accounting Standards Board (AcSB), the Company adopted International Financial Reporting Standards (IFRS) effective April 1, 2011. Beginning the quarter ended June 30, 2011, all financial information provided are in accordance with International Financial Reporting Standards except for non-IFRS measures. Comparative financial information for the four quarters of fiscal 2011 has been restated and presented in accordance with IFRS. All financial information provided prior to Q1/11 is in accordance with Canadian Generally Accepted Accounting Principles (CGAAP).   </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</si>
  <si>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</si>
  <si>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</si>
  <si>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</si>
  <si>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</si>
  <si>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</si>
  <si>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r>
      <t xml:space="preserve">Average diluted </t>
    </r>
    <r>
      <rPr>
        <vertAlign val="superscript"/>
        <sz val="9"/>
        <rFont val="Arial"/>
        <family val="2"/>
      </rPr>
      <t>(8)</t>
    </r>
  </si>
  <si>
    <r>
      <t xml:space="preserve">Supplementary Information Excluding Significant Items (Non-IFRS and Non-GAAP) </t>
    </r>
    <r>
      <rPr>
        <b/>
        <i/>
        <vertAlign val="superscript"/>
        <sz val="10"/>
        <rFont val="Arial"/>
        <family val="2"/>
      </rPr>
      <t xml:space="preserve">(16) </t>
    </r>
  </si>
  <si>
    <r>
      <t xml:space="preserve">Supplementary Information Excluding Significant Items (Non-IFRS and Non-GAAP) </t>
    </r>
    <r>
      <rPr>
        <b/>
        <i/>
        <vertAlign val="superscript"/>
        <sz val="10"/>
        <rFont val="Arial"/>
        <family val="2"/>
      </rPr>
      <t>(16)</t>
    </r>
  </si>
  <si>
    <t>UK and Europe</t>
  </si>
  <si>
    <r>
      <t xml:space="preserve">UK and Europe </t>
    </r>
    <r>
      <rPr>
        <vertAlign val="superscript"/>
        <sz val="9"/>
        <rFont val="Arial"/>
        <family val="2"/>
      </rPr>
      <t>(17)</t>
    </r>
  </si>
  <si>
    <t>Number of employees in UK and Europe</t>
  </si>
  <si>
    <t>YTD</t>
  </si>
  <si>
    <t>Number of licenced professionals in Canada</t>
  </si>
  <si>
    <r>
      <t xml:space="preserve">Number of Advisory Teams in Canada </t>
    </r>
    <r>
      <rPr>
        <vertAlign val="superscript"/>
        <sz val="9"/>
        <rFont val="Arial"/>
        <family val="2"/>
      </rPr>
      <t>(19)</t>
    </r>
  </si>
  <si>
    <t>CSH NHI</t>
  </si>
  <si>
    <t>Short term credit facility</t>
  </si>
  <si>
    <t xml:space="preserve">and Canadian Corporate and Other operations. </t>
  </si>
  <si>
    <r>
      <t>Number of Advisory Teams in Canada</t>
    </r>
    <r>
      <rPr>
        <vertAlign val="superscript"/>
        <sz val="9"/>
        <rFont val="Arial"/>
        <family val="2"/>
      </rPr>
      <t xml:space="preserve"> (19)</t>
    </r>
  </si>
  <si>
    <r>
      <t xml:space="preserve">Assets under admin. ($ millions) - Canada </t>
    </r>
    <r>
      <rPr>
        <vertAlign val="superscript"/>
        <sz val="9"/>
        <rFont val="Arial"/>
        <family val="2"/>
      </rPr>
      <t>(2)</t>
    </r>
  </si>
  <si>
    <r>
      <t>Number of investment professionals and fund managers in UK and Europe</t>
    </r>
    <r>
      <rPr>
        <b/>
        <i/>
        <vertAlign val="superscript"/>
        <sz val="9"/>
        <rFont val="Arial"/>
        <family val="2"/>
      </rPr>
      <t>(31)</t>
    </r>
  </si>
  <si>
    <t>Results of former CSHP entities are included since March 22, 2012</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</si>
  <si>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</si>
  <si>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</si>
  <si>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</si>
  <si>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</si>
  <si>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</si>
  <si>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</si>
  <si>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t>Preferred share dividends</t>
  </si>
  <si>
    <t>Results of former Collins Stewart Hawkpoint ("CSHP") entities are included since March 22, 2012</t>
  </si>
  <si>
    <t xml:space="preserve">Total </t>
  </si>
  <si>
    <t>Canaccord’s UK and Europe operations include activities related to capital markets and wealth management activities in the United Kingdom and Europe. Operating results from former CSHP entities have been included since March 22, 2012.</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</si>
  <si>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</si>
  <si>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</si>
  <si>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</si>
  <si>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</si>
  <si>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</si>
  <si>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</si>
  <si>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</si>
  <si>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</si>
  <si>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</si>
  <si>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</si>
  <si>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</si>
  <si>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</si>
  <si>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</si>
  <si>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</si>
  <si>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FY2013</t>
  </si>
  <si>
    <t>FY13</t>
  </si>
  <si>
    <t>Q1 13</t>
  </si>
  <si>
    <t>Q2 13</t>
  </si>
  <si>
    <t>Q3 13</t>
  </si>
  <si>
    <t>Q4 13</t>
  </si>
  <si>
    <t>Salaries - NI (from John Reid)</t>
  </si>
  <si>
    <t>Number of Advisors - Australia</t>
  </si>
  <si>
    <r>
      <t>Assets under mgmt. - Australia</t>
    </r>
    <r>
      <rPr>
        <vertAlign val="superscript"/>
        <sz val="9"/>
        <rFont val="Arial"/>
        <family val="2"/>
      </rPr>
      <t xml:space="preserve"> (2)</t>
    </r>
  </si>
  <si>
    <r>
      <t xml:space="preserve">Assets under mgmt. ($millions) - Australia </t>
    </r>
    <r>
      <rPr>
        <vertAlign val="superscript"/>
        <sz val="9"/>
        <rFont val="Arial"/>
        <family val="2"/>
      </rPr>
      <t xml:space="preserve">(2) </t>
    </r>
  </si>
  <si>
    <r>
      <t xml:space="preserve">Assets under mgmt. ($ millions) - Australia </t>
    </r>
    <r>
      <rPr>
        <vertAlign val="superscript"/>
        <sz val="9"/>
        <rFont val="Arial"/>
        <family val="2"/>
      </rPr>
      <t>(2)</t>
    </r>
  </si>
  <si>
    <r>
      <rPr>
        <b/>
        <i/>
        <sz val="12"/>
        <rFont val="Arial"/>
        <family val="2"/>
      </rPr>
      <t>Condensed Statement of Operations</t>
    </r>
    <r>
      <rPr>
        <sz val="9"/>
        <rFont val="Arial"/>
        <family val="2"/>
      </rPr>
      <t xml:space="preserve"> </t>
    </r>
  </si>
  <si>
    <t xml:space="preserve">managed and administered by Canaccord, from which Canaccord earns commissions or fees.  </t>
  </si>
  <si>
    <t>Australia</t>
  </si>
  <si>
    <t>FY13 vs FY12</t>
  </si>
  <si>
    <r>
      <t xml:space="preserve">Non-controlling interests </t>
    </r>
    <r>
      <rPr>
        <vertAlign val="superscript"/>
        <sz val="9"/>
        <rFont val="Arial"/>
        <family val="2"/>
      </rPr>
      <t>(28)</t>
    </r>
  </si>
  <si>
    <r>
      <t>Facilitation losses</t>
    </r>
    <r>
      <rPr>
        <vertAlign val="superscript"/>
        <sz val="9"/>
        <rFont val="Arial"/>
        <family val="2"/>
      </rPr>
      <t xml:space="preserve"> (26)</t>
    </r>
  </si>
  <si>
    <r>
      <t>Facilitation losses</t>
    </r>
    <r>
      <rPr>
        <vertAlign val="superscript"/>
        <sz val="9"/>
        <rFont val="Arial"/>
        <family val="2"/>
      </rPr>
      <t xml:space="preserve"> (28)</t>
    </r>
  </si>
  <si>
    <r>
      <t>Total compensation exp. as % of revenue</t>
    </r>
    <r>
      <rPr>
        <vertAlign val="superscript"/>
        <sz val="9"/>
        <rFont val="Arial"/>
        <family val="2"/>
      </rPr>
      <t xml:space="preserve"> (15) </t>
    </r>
  </si>
  <si>
    <r>
      <t xml:space="preserve">Number of employees firm wide </t>
    </r>
    <r>
      <rPr>
        <vertAlign val="superscript"/>
        <sz val="9"/>
        <rFont val="Arial"/>
        <family val="2"/>
      </rPr>
      <t>(23)</t>
    </r>
  </si>
  <si>
    <r>
      <t xml:space="preserve">Number of companies with Canaccord Genuity Limited as Nomad </t>
    </r>
    <r>
      <rPr>
        <vertAlign val="superscript"/>
        <sz val="9"/>
        <rFont val="Arial"/>
        <family val="2"/>
      </rPr>
      <t>(22)</t>
    </r>
  </si>
  <si>
    <t>Consolidated statement of financial position</t>
  </si>
  <si>
    <r>
      <rPr>
        <b/>
        <i/>
        <sz val="12"/>
        <rFont val="Arial"/>
        <family val="2"/>
      </rPr>
      <t>Condensed Statement of Operations</t>
    </r>
    <r>
      <rPr>
        <sz val="9"/>
        <rFont val="Arial"/>
        <family val="2"/>
      </rPr>
      <t xml:space="preserve"> </t>
    </r>
    <r>
      <rPr>
        <vertAlign val="superscript"/>
        <sz val="9"/>
        <rFont val="Arial"/>
        <family val="2"/>
      </rPr>
      <t>(29)</t>
    </r>
  </si>
  <si>
    <r>
      <t xml:space="preserve">      National Insurance tax </t>
    </r>
    <r>
      <rPr>
        <vertAlign val="superscript"/>
        <sz val="9"/>
        <rFont val="Arial"/>
        <family val="2"/>
      </rPr>
      <t>(14)</t>
    </r>
  </si>
  <si>
    <t>number of Advisors, number of investment professionals and fund managers, and number of licensed professionals.</t>
  </si>
  <si>
    <t>Assets under administration in the UK and Europe is the market value of client assets managed and administered by Canaccord, from which Canaccord earns commissions or fees.  This measure includes both discretionary and non-discretionary accounts.</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</si>
  <si>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</si>
  <si>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</si>
  <si>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</si>
  <si>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</si>
  <si>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</si>
  <si>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 xml:space="preserve">           Non-share based incentive compensation</t>
  </si>
  <si>
    <t xml:space="preserve">           Share based incentive compensation </t>
  </si>
  <si>
    <t>Note: Please find notes on Page 13.</t>
  </si>
  <si>
    <t>9 Months Ended</t>
  </si>
  <si>
    <t>Commissions and fees</t>
  </si>
  <si>
    <t>Canaccord Genuity generates commission revenue only.</t>
  </si>
  <si>
    <t>f.f.</t>
  </si>
  <si>
    <t>WM NHI</t>
  </si>
  <si>
    <t>Canaccord Genuity Wealth Management North America and Australia</t>
  </si>
  <si>
    <t>Canaccord Genuity Wealth Management</t>
  </si>
  <si>
    <t xml:space="preserve">Canaccord Genuity Wealth Management North America and Australia statement of operations </t>
  </si>
  <si>
    <t>Canaccord’s US operations include activities related to US Wealth Management, delivered through Canaccord Genuity Wealth Management (USA), Inc., and US capital markets operations, delivered through Canaccord Genuity Inc. and Canaccord Securities LLC.</t>
  </si>
  <si>
    <t xml:space="preserve">US Other operations, also delivered through Canaccord Genuity Wealth Management (USA), Inc., include revenue and expenses not specifically allocable to US Canaccord Genuity Wealth Management and US Canaccord Genuity. </t>
  </si>
  <si>
    <t>and Canaccord Genuity Wealth Management starting on July 16, 2012.</t>
  </si>
  <si>
    <t>Intersegment allocations from Corporate and Other</t>
  </si>
  <si>
    <t>Number in Canaccord Genuity Wealth Management</t>
  </si>
  <si>
    <r>
      <t>Results of former CSHP entities are included since March 22, 2012</t>
    </r>
    <r>
      <rPr>
        <i/>
        <vertAlign val="superscript"/>
        <sz val="10"/>
        <rFont val="Arial"/>
        <family val="2"/>
      </rPr>
      <t xml:space="preserve"> (31)</t>
    </r>
  </si>
  <si>
    <t>Result of former CSHP Wealth Management group since March 22, 2012 and the wealth management business of Eden Financial Ltd. since October 1, 2012 are included.</t>
  </si>
  <si>
    <t>Don MacFayden</t>
  </si>
  <si>
    <t>Senior Vice President, Finance</t>
  </si>
  <si>
    <t>416-687-5426</t>
  </si>
  <si>
    <t>includes WM: UK Private Clients departments and Eden NI</t>
  </si>
  <si>
    <t>Q1/14</t>
  </si>
  <si>
    <t>Q1/14 vs. Q1/13</t>
  </si>
  <si>
    <t>Q2/14</t>
  </si>
  <si>
    <t>Q3/14</t>
  </si>
  <si>
    <t>Q4/14</t>
  </si>
  <si>
    <t>FY2014</t>
  </si>
  <si>
    <t>FY14</t>
  </si>
  <si>
    <t>Q1 14</t>
  </si>
  <si>
    <t>Q2 14</t>
  </si>
  <si>
    <t>Q3 14</t>
  </si>
  <si>
    <t>Q4 14</t>
  </si>
  <si>
    <t>Support services allocation</t>
  </si>
  <si>
    <t>Inter-segment profit allocation</t>
  </si>
  <si>
    <t>Research allocation</t>
  </si>
  <si>
    <t>Trade processing</t>
  </si>
  <si>
    <t>Income (loss) before charges and income taxes</t>
  </si>
  <si>
    <t>Charges to UK</t>
  </si>
  <si>
    <t>Charges to US</t>
  </si>
  <si>
    <t>Charges from Canada</t>
  </si>
  <si>
    <t>Charges from US</t>
  </si>
  <si>
    <r>
      <t xml:space="preserve">      Incentive compensation </t>
    </r>
    <r>
      <rPr>
        <vertAlign val="superscript"/>
        <sz val="9"/>
        <rFont val="Arial"/>
        <family val="2"/>
      </rPr>
      <t>(14)</t>
    </r>
  </si>
  <si>
    <t>Intersegment allocations</t>
  </si>
  <si>
    <t>Canaccord Genuity Canada</t>
  </si>
  <si>
    <t xml:space="preserve">     Non-share based incentive compensation</t>
  </si>
  <si>
    <t xml:space="preserve">     Share based incentive compensation</t>
  </si>
  <si>
    <t>Intersegment Allocations</t>
  </si>
  <si>
    <t>Share based compensation as a % of revenue</t>
  </si>
  <si>
    <t>Income (loss) after intersegment allocations and before income taxes</t>
  </si>
  <si>
    <t xml:space="preserve">    Non-share based incentive compentation</t>
  </si>
  <si>
    <t xml:space="preserve">    Share based incentive compensation</t>
  </si>
  <si>
    <t>Capital Markets US</t>
  </si>
  <si>
    <t xml:space="preserve">Canaccord Genuity Wealth Management North America </t>
  </si>
  <si>
    <t xml:space="preserve">Canaccord Genuity Other Foreign Locations statement of operations </t>
  </si>
  <si>
    <t>Canaccord Genuity US</t>
  </si>
  <si>
    <t>Includes wealth management operations in Australia.  Results for wealth management operations in Australia have been included starting April 1, 2012.</t>
  </si>
  <si>
    <t xml:space="preserve">Fee-based revenue includes fees earned in separately managed, advisor managed and fee-based accounts.  We are also including mutual fund and segregated fund trailer revenue in this calculation.  This method of calculating fee-based revenue may differ from approaches used by other companies and therefore may not be comparable.  </t>
  </si>
  <si>
    <r>
      <t xml:space="preserve">Non-controlling interests </t>
    </r>
    <r>
      <rPr>
        <vertAlign val="superscript"/>
        <sz val="9"/>
        <rFont val="Arial"/>
        <family val="2"/>
      </rPr>
      <t>(26)</t>
    </r>
  </si>
  <si>
    <r>
      <rPr>
        <b/>
        <i/>
        <sz val="12"/>
        <rFont val="Arial"/>
        <family val="2"/>
      </rPr>
      <t>Condensed Consolidated Statement of Operations</t>
    </r>
    <r>
      <rPr>
        <sz val="9"/>
        <rFont val="Arial"/>
        <family val="2"/>
      </rPr>
      <t xml:space="preserve"> </t>
    </r>
    <r>
      <rPr>
        <vertAlign val="superscript"/>
        <sz val="9"/>
        <rFont val="Arial"/>
        <family val="2"/>
      </rPr>
      <t>(26)</t>
    </r>
  </si>
  <si>
    <r>
      <t xml:space="preserve">Other Foreign Locations </t>
    </r>
    <r>
      <rPr>
        <vertAlign val="superscript"/>
        <sz val="9"/>
        <rFont val="Arial"/>
        <family val="2"/>
      </rPr>
      <t>(25)</t>
    </r>
  </si>
  <si>
    <r>
      <rPr>
        <b/>
        <i/>
        <sz val="12"/>
        <rFont val="Arial"/>
        <family val="2"/>
      </rPr>
      <t>Condensed Statement of Operations</t>
    </r>
    <r>
      <rPr>
        <sz val="9"/>
        <rFont val="Arial"/>
        <family val="2"/>
      </rPr>
      <t xml:space="preserve"> </t>
    </r>
    <r>
      <rPr>
        <vertAlign val="superscript"/>
        <sz val="9"/>
        <rFont val="Arial"/>
        <family val="2"/>
      </rPr>
      <t>(26)(27)</t>
    </r>
  </si>
  <si>
    <r>
      <t xml:space="preserve">Commissions and fees </t>
    </r>
    <r>
      <rPr>
        <vertAlign val="superscript"/>
        <sz val="9"/>
        <rFont val="Arial"/>
        <family val="2"/>
      </rPr>
      <t>(30)</t>
    </r>
  </si>
  <si>
    <r>
      <t>Facilitation losses</t>
    </r>
    <r>
      <rPr>
        <vertAlign val="superscript"/>
        <sz val="9"/>
        <rFont val="Arial"/>
        <family val="2"/>
      </rPr>
      <t xml:space="preserve"> (24)</t>
    </r>
  </si>
  <si>
    <r>
      <t xml:space="preserve">Investment professionals and fund managers in UK and Europe </t>
    </r>
    <r>
      <rPr>
        <vertAlign val="superscript"/>
        <sz val="9"/>
        <rFont val="Arial"/>
        <family val="2"/>
      </rPr>
      <t>(28)</t>
    </r>
  </si>
  <si>
    <r>
      <t xml:space="preserve">Results of former CSHP entities are included since March 22, 2012 </t>
    </r>
    <r>
      <rPr>
        <i/>
        <vertAlign val="superscript"/>
        <sz val="10"/>
        <rFont val="Arial"/>
        <family val="2"/>
      </rPr>
      <t>(29)</t>
    </r>
  </si>
  <si>
    <r>
      <t xml:space="preserve">Condensed Consolidated Statement of Financial Position </t>
    </r>
    <r>
      <rPr>
        <b/>
        <i/>
        <vertAlign val="superscript"/>
        <sz val="12"/>
        <rFont val="Arial"/>
        <family val="2"/>
      </rPr>
      <t xml:space="preserve">(26) </t>
    </r>
  </si>
  <si>
    <t>Income (Loss) before income taxes</t>
  </si>
  <si>
    <t>Canaccord Genuity Group Inc.</t>
  </si>
  <si>
    <t>Net income (loss) attributable to CGGI shareholders</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</si>
  <si>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 xml:space="preserve">Complete Canaccord Private Investment Management </t>
    </r>
  </si>
  <si>
    <r>
      <rPr>
        <i/>
        <sz val="11"/>
        <rFont val="Arial"/>
        <family val="2"/>
      </rPr>
      <t xml:space="preserve">Program </t>
    </r>
    <r>
      <rPr>
        <sz val="11"/>
        <rFont val="Arial"/>
        <family val="2"/>
      </rPr>
      <t xml:space="preserve">offered by Canaccord. Assets under administration in Canada is the market value of client assets administered by Canaccord, from which Canaccord earns commissions or fees.  Assets under management in Australia is the market value of client assets </t>
    </r>
  </si>
  <si>
    <t>Condensed Statement of Operations</t>
  </si>
  <si>
    <r>
      <t xml:space="preserve">Condensed Statement of Operations </t>
    </r>
    <r>
      <rPr>
        <b/>
        <i/>
        <vertAlign val="superscript"/>
        <sz val="12"/>
        <rFont val="Arial"/>
        <family val="2"/>
      </rPr>
      <t>(25)(26)(27)</t>
    </r>
  </si>
  <si>
    <t xml:space="preserve">Book value per diluted share is calculated as total common shareholders' equity divided by the number of diluted shares outstanding and commencing in Q1/14 adjusted for shares purchased under the normal course issuer bid and not yet cancelled, and estimated forfeitures in respect of unvested share awards under share-based payment plans. </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</si>
  <si>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</si>
  <si>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</si>
  <si>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</si>
  <si>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This is the diluted common share number used to calculate book value per diluted share; includes amounts in respect of unvested share awards pursuant to share-based payment plans and, commencing in Q1/14, adjusted for shares purchased under the normal course issuer bid and not yet cancelled, and estimated forfeitures in respect of unvested share awards under share-based payment plans.</t>
  </si>
  <si>
    <t>Canaccord Genuity Other Foreign Locations (Canaccord Genuity (Barbados) Ltd., Canaccord Genuity Asia, Canaccord Genuity (Australia) Limited &amp; Canaccord Genuity Singapore Pte. Ltd)</t>
  </si>
  <si>
    <t>Revenue derived from capital markets activity outside of Canada, the US and UK and Europe is reported as Other Foreign Locations, which includes revenue from Canaccord Genuity (Barbados) Ltd. (formerly Canaccord International Ltd.), Canaccord Genuity</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</si>
  <si>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</si>
  <si>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</si>
  <si>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 xml:space="preserve">In accordance with IFRS 10  "Consolidated financial statements", the financial position, operating results and cash flows of Canaccord Genuity and Wealth Management's operations in Australia are fully consolidated, and a 50% non-controlling interest has </t>
  </si>
  <si>
    <t>Compensation in the form of restricted share units to be amortized over the vesting period  has been reclassified from share-based compensation expense to non-share based compensation expense commencing Q1/14.</t>
  </si>
  <si>
    <t>This is the diluted common share number used to calculated diluted EPS. For periods with net losses, all instruments involving potential common shares were excluded from the calculation of diluted earnings per share as they were anti-dilutive.</t>
  </si>
  <si>
    <t>Net income (loss) attributable to common shareholders</t>
  </si>
  <si>
    <t>been recognized, which represents the portion of the net identifiable assets in Australia since November 1, 2011 attributable to non-controlling shareholders.  Canaccord BGF was rebranded to Canaccord Genuity</t>
  </si>
  <si>
    <t>Q4/15</t>
  </si>
  <si>
    <t>Q3/15</t>
  </si>
  <si>
    <t>Q2/15</t>
  </si>
  <si>
    <t>Q1/15</t>
  </si>
  <si>
    <t>Christina Marinoff</t>
  </si>
  <si>
    <t>Vice President, Investor Relations &amp; Communications</t>
  </si>
  <si>
    <t>416-687-5507</t>
  </si>
  <si>
    <t>FY15 vs FY14</t>
  </si>
  <si>
    <t>Securities Lending</t>
  </si>
  <si>
    <r>
      <t xml:space="preserve">Diluted earnings (loss) </t>
    </r>
    <r>
      <rPr>
        <vertAlign val="superscript"/>
        <sz val="9"/>
        <rFont val="Arial"/>
        <family val="2"/>
      </rPr>
      <t>(31)</t>
    </r>
  </si>
  <si>
    <r>
      <t xml:space="preserve">Basic earnings (loss) </t>
    </r>
    <r>
      <rPr>
        <vertAlign val="superscript"/>
        <sz val="9"/>
        <rFont val="Arial"/>
        <family val="2"/>
      </rPr>
      <t>(31)</t>
    </r>
  </si>
  <si>
    <r>
      <t xml:space="preserve">Basic earnings (loss) per common share </t>
    </r>
    <r>
      <rPr>
        <vertAlign val="superscript"/>
        <sz val="9"/>
        <rFont val="Arial"/>
        <family val="2"/>
      </rPr>
      <t>(31)</t>
    </r>
  </si>
  <si>
    <r>
      <t xml:space="preserve">Diluted earnings (loss) per common  share </t>
    </r>
    <r>
      <rPr>
        <vertAlign val="superscript"/>
        <sz val="9"/>
        <rFont val="Arial"/>
        <family val="2"/>
      </rPr>
      <t>(31)</t>
    </r>
  </si>
  <si>
    <r>
      <t xml:space="preserve">Diluted earnings (loss) per common share </t>
    </r>
    <r>
      <rPr>
        <vertAlign val="superscript"/>
        <sz val="9"/>
        <rFont val="Arial"/>
        <family val="2"/>
      </rPr>
      <t>(31)</t>
    </r>
  </si>
  <si>
    <t>n.m.: not meaningful (percentages above 300% are indicated as n.m.)</t>
  </si>
  <si>
    <t>Due to rounding, the sum of the quarterly EPS figures may not equal the year to date period figures.</t>
  </si>
  <si>
    <t xml:space="preserve">Impairment of goodwill </t>
  </si>
  <si>
    <t>Significant items include ABCP fair value adjustment, Canaccord relief program, restructuring costs, impairment of goodwill and acquisition-related expense items.  Acquisition-related expense items include acquisition-related costs and amortization of intangible assets.</t>
  </si>
  <si>
    <t>Canaccord Genuity UK &amp; Europe</t>
  </si>
  <si>
    <t>Canaccord Genuity Wealth Management UK &amp; Europe</t>
  </si>
  <si>
    <t xml:space="preserve">Canaccord Genuity Wealth Management UK &amp; Europe statement of operations </t>
  </si>
  <si>
    <t>FY15</t>
  </si>
  <si>
    <t>Q4/15 vs. Q4/14</t>
  </si>
  <si>
    <t>Fourth Quarter Fiscal 2015</t>
  </si>
  <si>
    <t>For the period ended March 31, 2015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</si>
  <si>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</si>
  <si>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</si>
  <si>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Asia, our 50% interest in Canaccord Genuity (Australia) Limited (formerly Canaccord BGF), and Canaccord Singapore Pte. Ltd. Operating results of Canaccord Singapore Pte. Ltd have been included since March 22, 2012. During fiscal 2015, the non-controlling interest</t>
  </si>
  <si>
    <t>Canaccord Genuity Canada statement of operations</t>
  </si>
  <si>
    <t>Canaccord Genuity US statement of operations</t>
  </si>
  <si>
    <t>Canaccord Genuity UK &amp; Europe statement of operations</t>
  </si>
  <si>
    <t>This document is not audited and should be read in conjunction with the Annual Report dated June 2, 2015. Canaccord Genuity Group's fiscal year end is defined as March 31st of each year. Canaccord Genuity Group's fourth quarter 2015 ended March 31, 2015 is also referred to as Q4/15 in the following disclosure.</t>
  </si>
  <si>
    <t>Canaccord Genuity Group of Companies</t>
  </si>
  <si>
    <t xml:space="preserve">decreased from 50% to 40%. </t>
  </si>
  <si>
    <t>Canaccord’s Canadian operations include activities related to Canadian Wealth Management, capital markets activities in Canada delivered through Canaccord Genuity (a division of Canaccord Genuity Corp., our principal Canadian operating subsidiary), and Canadian Corporate and Other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</si>
</sst>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0;\(#,##0\);\-&quot; &quot;"/>
    <numFmt numFmtId="168" formatCode="0.0%;\(0.0\)%;_(&quot;-&quot;"/>
    <numFmt numFmtId="169" formatCode="#,##0\ ;\(#,##0\);\-&quot; &quot;"/>
    <numFmt numFmtId="170" formatCode="#,##0.00\ ;\(#,##0.00\);\-&quot; &quot;"/>
    <numFmt numFmtId="171" formatCode="0.0%"/>
    <numFmt numFmtId="172" formatCode="0.000"/>
    <numFmt numFmtId="173" formatCode="#,##0.0\ ;\(#,##0.0\);\-&quot; &quot;"/>
    <numFmt numFmtId="174" formatCode="#,##0.000\ ;\(#,##0.000\);\-&quot; &quot;"/>
    <numFmt numFmtId="175" formatCode="#,##0.000_);\(#,##0.000\)"/>
    <numFmt numFmtId="176" formatCode="_-* #,##0_-;\-* #,##0_-;_-* &quot;-&quot;??_-;_-@_-"/>
    <numFmt numFmtId="177" formatCode="0.0\ \p.\p.;\(0.0\)\ \p.\p.;_(&quot;-&quot;"/>
    <numFmt numFmtId="178" formatCode="0.0"/>
    <numFmt numFmtId="179" formatCode="#,##0.0_);\(#,##0.0\)"/>
    <numFmt numFmtId="180" formatCode="#,##0.0\ ;\(#,##0\);\-&quot; &quot;"/>
    <numFmt numFmtId="181" formatCode="#,##0;\(#,##0\);&quot;-&quot;"/>
    <numFmt numFmtId="182" formatCode="_(* #,##0_);_(* \(#,##0\);_(* &quot;-&quot;??_);_(@_)"/>
    <numFmt numFmtId="183" formatCode="_-* #,##0.0000_-;\-* #,##0.0000_-;_-* &quot;-&quot;??_-;_-@_-"/>
    <numFmt numFmtId="184" formatCode="[$-F800]dddd\,\ mmmm\ dd\,\ yyyy"/>
    <numFmt numFmtId="185" formatCode="0.0000"/>
    <numFmt numFmtId="186" formatCode="0.00_);\(0.00\)"/>
    <numFmt numFmtId="187" formatCode="#,##0.00;[Red]\(#,##0.00\)"/>
    <numFmt numFmtId="188" formatCode="0_);\(0\)"/>
    <numFmt numFmtId="189" formatCode="_-* #,##0.000_-;\-* #,##0.000_-;_-* &quot;-&quot;??_-;_-@_-"/>
    <numFmt numFmtId="190" formatCode="_(* #,##0.000_);_(* \(#,##0.000\);_(* &quot;-&quot;??_);_(@_)"/>
    <numFmt numFmtId="191" formatCode="_(* #,##0.0_);_(* \(#,##0.0\);_(* &quot;-&quot;??_);_(@_)"/>
    <numFmt numFmtId="192" formatCode="_(* #,##0.0000_);_(* \(#,##0.0000\);_(* &quot;-&quot;??_);_(@_)"/>
    <numFmt numFmtId="193" formatCode="#,##0.00\ ;\(#,##0.0\);\-&quot; &quot;"/>
    <numFmt numFmtId="194" formatCode="0%;\(0\)%;_(&quot;-&quot;"/>
    <numFmt numFmtId="195" formatCode="[$-409]mmmm\ d\,\ yyyy;@"/>
    <numFmt numFmtId="196" formatCode="[$-1009]d\-mmm\-yy;@"/>
  </numFmts>
  <fonts count="108"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sz val="9"/>
      <color indexed="10"/>
      <name val="Arial"/>
      <family val="2"/>
    </font>
    <font>
      <sz val="8"/>
      <color indexed="81"/>
      <name val="Tahoma"/>
      <family val="2"/>
    </font>
    <font>
      <b/>
      <i/>
      <vertAlign val="superscript"/>
      <sz val="12"/>
      <name val="Arial"/>
      <family val="2"/>
    </font>
    <font>
      <i/>
      <sz val="10"/>
      <name val="Arial"/>
      <family val="2"/>
    </font>
    <font>
      <b/>
      <sz val="9"/>
      <color indexed="12"/>
      <name val="Arial"/>
      <family val="2"/>
    </font>
    <font>
      <sz val="9"/>
      <color indexed="12"/>
      <name val="Arial"/>
      <family val="2"/>
    </font>
    <font>
      <b/>
      <sz val="9"/>
      <name val="Arial"/>
      <family val="2"/>
    </font>
    <font>
      <sz val="12"/>
      <name val="Arial"/>
      <family val="2"/>
    </font>
    <font>
      <sz val="10"/>
      <name val="Arial"/>
      <family val="2"/>
    </font>
    <font>
      <sz val="10"/>
      <name val="Arial"/>
      <family val="2"/>
    </font>
    <font>
      <sz val="9"/>
      <color indexed="63"/>
      <name val="Arial"/>
      <family val="2"/>
    </font>
    <font>
      <b/>
      <sz val="8"/>
      <color indexed="81"/>
      <name val="Tahoma"/>
      <family val="2"/>
    </font>
    <font>
      <b/>
      <sz val="9"/>
      <name val="Times New Roman"/>
      <family val="1"/>
    </font>
    <font>
      <sz val="9"/>
      <name val="Times New Roman"/>
      <family val="1"/>
    </font>
    <font>
      <sz val="10"/>
      <name val="Arial"/>
      <family val="2"/>
    </font>
    <font>
      <sz val="10"/>
      <name val="Arial"/>
      <family val="2"/>
    </font>
    <font>
      <sz val="10"/>
      <name val="Arial"/>
      <family val="2"/>
    </font>
    <font>
      <b/>
      <sz val="10"/>
      <color rgb="FFFF0000"/>
      <name val="Arial"/>
      <family val="2"/>
    </font>
    <font>
      <b/>
      <i/>
      <vertAlign val="superscript"/>
      <sz val="9"/>
      <name val="Arial"/>
      <family val="2"/>
    </font>
    <font>
      <i/>
      <sz val="11"/>
      <name val="Arial"/>
      <family val="2"/>
    </font>
    <font>
      <i/>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FFFF00"/>
      <name val="Arial"/>
      <family val="2"/>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s>
  <fills count="5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4">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39">
    <xf numFmtId="184" fontId="0" fillId="0" borderId="0"/>
    <xf numFmtId="43" fontId="5" fillId="0" borderId="0" applyFont="0" applyFill="0" applyBorder="0" applyAlignment="0" applyProtection="0"/>
    <xf numFmtId="43" fontId="40" fillId="0" borderId="0" applyFont="0" applyFill="0" applyBorder="0" applyAlignment="0" applyProtection="0"/>
    <xf numFmtId="43" fontId="26" fillId="0" borderId="0" applyFont="0" applyFill="0" applyBorder="0" applyAlignment="0" applyProtection="0"/>
    <xf numFmtId="166" fontId="5" fillId="0" borderId="0" applyFont="0" applyFill="0" applyBorder="0" applyAlignment="0" applyProtection="0"/>
    <xf numFmtId="184" fontId="18" fillId="0" borderId="0" applyNumberFormat="0" applyFill="0" applyBorder="0" applyAlignment="0" applyProtection="0">
      <alignment vertical="top"/>
      <protection locked="0"/>
    </xf>
    <xf numFmtId="184" fontId="26" fillId="0" borderId="0"/>
    <xf numFmtId="9" fontId="5" fillId="0" borderId="0" applyFont="0" applyFill="0" applyBorder="0" applyAlignment="0" applyProtection="0"/>
    <xf numFmtId="9" fontId="40" fillId="0" borderId="0" applyFont="0" applyFill="0" applyBorder="0" applyAlignment="0" applyProtection="0"/>
    <xf numFmtId="9" fontId="26" fillId="0" borderId="0" applyFont="0" applyFill="0" applyBorder="0" applyAlignment="0" applyProtection="0"/>
    <xf numFmtId="43" fontId="46" fillId="0" borderId="0" applyFont="0" applyFill="0" applyBorder="0" applyAlignment="0" applyProtection="0"/>
    <xf numFmtId="9" fontId="4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4"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84" fontId="5" fillId="0" borderId="0"/>
    <xf numFmtId="184" fontId="18" fillId="0" borderId="0" applyNumberFormat="0" applyFill="0" applyBorder="0" applyAlignment="0" applyProtection="0">
      <alignment vertical="top"/>
      <protection locked="0"/>
    </xf>
    <xf numFmtId="184" fontId="5" fillId="0" borderId="0"/>
    <xf numFmtId="184" fontId="18" fillId="0" borderId="0" applyNumberFormat="0" applyFill="0" applyBorder="0" applyAlignment="0" applyProtection="0">
      <alignment vertical="top"/>
      <protection locked="0"/>
    </xf>
    <xf numFmtId="184" fontId="47" fillId="0" borderId="0"/>
    <xf numFmtId="184" fontId="18" fillId="0" borderId="0" applyNumberFormat="0" applyFill="0" applyBorder="0" applyAlignment="0" applyProtection="0">
      <alignment vertical="top"/>
      <protection locked="0"/>
    </xf>
    <xf numFmtId="184" fontId="5" fillId="0" borderId="0"/>
    <xf numFmtId="184" fontId="48" fillId="0" borderId="0"/>
    <xf numFmtId="166" fontId="48" fillId="0" borderId="0" applyFont="0" applyFill="0" applyBorder="0" applyAlignment="0" applyProtection="0"/>
    <xf numFmtId="184" fontId="48" fillId="0" borderId="0"/>
    <xf numFmtId="184" fontId="5" fillId="0" borderId="0"/>
    <xf numFmtId="184" fontId="5" fillId="0" borderId="0"/>
    <xf numFmtId="166" fontId="5" fillId="0" borderId="0" applyFont="0" applyFill="0" applyBorder="0" applyAlignment="0" applyProtection="0"/>
    <xf numFmtId="184" fontId="5" fillId="0" borderId="0"/>
    <xf numFmtId="0" fontId="53" fillId="0" borderId="0" applyNumberFormat="0" applyFill="0" applyBorder="0" applyAlignment="0" applyProtection="0"/>
    <xf numFmtId="0" fontId="54" fillId="0" borderId="32" applyNumberFormat="0" applyFill="0" applyAlignment="0" applyProtection="0"/>
    <xf numFmtId="0" fontId="55" fillId="0" borderId="33" applyNumberFormat="0" applyFill="0" applyAlignment="0" applyProtection="0"/>
    <xf numFmtId="0" fontId="56" fillId="0" borderId="34" applyNumberFormat="0" applyFill="0" applyAlignment="0" applyProtection="0"/>
    <xf numFmtId="0" fontId="56" fillId="0" borderId="0" applyNumberFormat="0" applyFill="0" applyBorder="0" applyAlignment="0" applyProtection="0"/>
    <xf numFmtId="0" fontId="57" fillId="6" borderId="0" applyNumberFormat="0" applyBorder="0" applyAlignment="0" applyProtection="0"/>
    <xf numFmtId="0" fontId="58" fillId="7" borderId="0" applyNumberFormat="0" applyBorder="0" applyAlignment="0" applyProtection="0"/>
    <xf numFmtId="0" fontId="59" fillId="8" borderId="0" applyNumberFormat="0" applyBorder="0" applyAlignment="0" applyProtection="0"/>
    <xf numFmtId="0" fontId="60" fillId="9" borderId="35" applyNumberFormat="0" applyAlignment="0" applyProtection="0"/>
    <xf numFmtId="0" fontId="61" fillId="10" borderId="36" applyNumberFormat="0" applyAlignment="0" applyProtection="0"/>
    <xf numFmtId="0" fontId="62" fillId="10" borderId="35" applyNumberFormat="0" applyAlignment="0" applyProtection="0"/>
    <xf numFmtId="0" fontId="63" fillId="0" borderId="37" applyNumberFormat="0" applyFill="0" applyAlignment="0" applyProtection="0"/>
    <xf numFmtId="0" fontId="64" fillId="11" borderId="38"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0" applyNumberFormat="0" applyFill="0" applyAlignment="0" applyProtection="0"/>
    <xf numFmtId="0" fontId="6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8" fillId="36" borderId="0" applyNumberFormat="0" applyBorder="0" applyAlignment="0" applyProtection="0"/>
    <xf numFmtId="0" fontId="4" fillId="0" borderId="0"/>
    <xf numFmtId="0" fontId="4" fillId="12" borderId="39" applyNumberFormat="0" applyFont="0" applyAlignment="0" applyProtection="0"/>
    <xf numFmtId="0" fontId="5" fillId="0" borderId="0"/>
    <xf numFmtId="0" fontId="70" fillId="0" borderId="0"/>
    <xf numFmtId="184" fontId="5" fillId="0" borderId="0"/>
    <xf numFmtId="184" fontId="72" fillId="37" borderId="0" applyNumberFormat="0" applyBorder="0" applyAlignment="0" applyProtection="0"/>
    <xf numFmtId="184" fontId="72" fillId="38" borderId="0" applyNumberFormat="0" applyBorder="0" applyAlignment="0" applyProtection="0"/>
    <xf numFmtId="184" fontId="72" fillId="39" borderId="0" applyNumberFormat="0" applyBorder="0" applyAlignment="0" applyProtection="0"/>
    <xf numFmtId="184" fontId="72" fillId="40" borderId="0" applyNumberFormat="0" applyBorder="0" applyAlignment="0" applyProtection="0"/>
    <xf numFmtId="184" fontId="72" fillId="41" borderId="0" applyNumberFormat="0" applyBorder="0" applyAlignment="0" applyProtection="0"/>
    <xf numFmtId="184" fontId="72" fillId="42" borderId="0" applyNumberFormat="0" applyBorder="0" applyAlignment="0" applyProtection="0"/>
    <xf numFmtId="184" fontId="72" fillId="43" borderId="0" applyNumberFormat="0" applyBorder="0" applyAlignment="0" applyProtection="0"/>
    <xf numFmtId="184" fontId="72" fillId="44" borderId="0" applyNumberFormat="0" applyBorder="0" applyAlignment="0" applyProtection="0"/>
    <xf numFmtId="184" fontId="72" fillId="45" borderId="0" applyNumberFormat="0" applyBorder="0" applyAlignment="0" applyProtection="0"/>
    <xf numFmtId="184" fontId="72" fillId="40" borderId="0" applyNumberFormat="0" applyBorder="0" applyAlignment="0" applyProtection="0"/>
    <xf numFmtId="184" fontId="72" fillId="43" borderId="0" applyNumberFormat="0" applyBorder="0" applyAlignment="0" applyProtection="0"/>
    <xf numFmtId="184" fontId="72" fillId="46" borderId="0" applyNumberFormat="0" applyBorder="0" applyAlignment="0" applyProtection="0"/>
    <xf numFmtId="184" fontId="73" fillId="47" borderId="0" applyNumberFormat="0" applyBorder="0" applyAlignment="0" applyProtection="0"/>
    <xf numFmtId="184" fontId="73" fillId="44" borderId="0" applyNumberFormat="0" applyBorder="0" applyAlignment="0" applyProtection="0"/>
    <xf numFmtId="184" fontId="73" fillId="45" borderId="0" applyNumberFormat="0" applyBorder="0" applyAlignment="0" applyProtection="0"/>
    <xf numFmtId="184" fontId="73" fillId="48" borderId="0" applyNumberFormat="0" applyBorder="0" applyAlignment="0" applyProtection="0"/>
    <xf numFmtId="184" fontId="73" fillId="49" borderId="0" applyNumberFormat="0" applyBorder="0" applyAlignment="0" applyProtection="0"/>
    <xf numFmtId="184" fontId="73" fillId="50" borderId="0" applyNumberFormat="0" applyBorder="0" applyAlignment="0" applyProtection="0"/>
    <xf numFmtId="184" fontId="73" fillId="51" borderId="0" applyNumberFormat="0" applyBorder="0" applyAlignment="0" applyProtection="0"/>
    <xf numFmtId="184" fontId="73" fillId="52" borderId="0" applyNumberFormat="0" applyBorder="0" applyAlignment="0" applyProtection="0"/>
    <xf numFmtId="184" fontId="73" fillId="53" borderId="0" applyNumberFormat="0" applyBorder="0" applyAlignment="0" applyProtection="0"/>
    <xf numFmtId="184" fontId="73" fillId="48" borderId="0" applyNumberFormat="0" applyBorder="0" applyAlignment="0" applyProtection="0"/>
    <xf numFmtId="184" fontId="73" fillId="49" borderId="0" applyNumberFormat="0" applyBorder="0" applyAlignment="0" applyProtection="0"/>
    <xf numFmtId="184" fontId="73" fillId="54" borderId="0" applyNumberFormat="0" applyBorder="0" applyAlignment="0" applyProtection="0"/>
    <xf numFmtId="184" fontId="74" fillId="38" borderId="0" applyNumberFormat="0" applyBorder="0" applyAlignment="0" applyProtection="0"/>
    <xf numFmtId="184" fontId="75" fillId="55" borderId="45" applyNumberFormat="0" applyAlignment="0" applyProtection="0"/>
    <xf numFmtId="184" fontId="76" fillId="56" borderId="46" applyNumberFormat="0" applyAlignment="0" applyProtection="0"/>
    <xf numFmtId="38" fontId="77" fillId="0" borderId="0" applyFont="0" applyFill="0" applyBorder="0" applyAlignment="0" applyProtection="0"/>
    <xf numFmtId="38" fontId="77" fillId="0" borderId="0" applyFont="0" applyFill="0" applyBorder="0" applyAlignment="0" applyProtection="0"/>
    <xf numFmtId="40" fontId="77" fillId="0" borderId="0" applyFont="0" applyFill="0" applyBorder="0" applyAlignment="0" applyProtection="0"/>
    <xf numFmtId="40" fontId="7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0" fontId="77" fillId="0" borderId="0" applyFont="0" applyFill="0" applyBorder="0" applyAlignment="0" applyProtection="0"/>
    <xf numFmtId="166" fontId="78" fillId="0" borderId="0" applyFont="0" applyFill="0" applyBorder="0" applyAlignment="0" applyProtection="0"/>
    <xf numFmtId="40" fontId="77" fillId="0" borderId="0" applyFont="0" applyFill="0" applyBorder="0" applyAlignment="0" applyProtection="0"/>
    <xf numFmtId="40" fontId="77" fillId="0" borderId="0" applyFont="0" applyFill="0" applyBorder="0" applyAlignment="0" applyProtection="0"/>
    <xf numFmtId="40" fontId="7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7" fillId="0" borderId="0" applyFont="0" applyFill="0" applyBorder="0" applyAlignment="0" applyProtection="0"/>
    <xf numFmtId="164" fontId="77" fillId="0" borderId="0" applyFont="0" applyFill="0" applyBorder="0" applyAlignment="0" applyProtection="0"/>
    <xf numFmtId="184" fontId="79" fillId="0" borderId="0" applyNumberFormat="0" applyFill="0" applyBorder="0" applyAlignment="0" applyProtection="0"/>
    <xf numFmtId="184" fontId="80" fillId="39" borderId="0" applyNumberFormat="0" applyBorder="0" applyAlignment="0" applyProtection="0"/>
    <xf numFmtId="184" fontId="81" fillId="0" borderId="47" applyNumberFormat="0" applyFill="0" applyAlignment="0" applyProtection="0"/>
    <xf numFmtId="184" fontId="82" fillId="0" borderId="48" applyNumberFormat="0" applyFill="0" applyAlignment="0" applyProtection="0"/>
    <xf numFmtId="184" fontId="83" fillId="0" borderId="49" applyNumberFormat="0" applyFill="0" applyAlignment="0" applyProtection="0"/>
    <xf numFmtId="184" fontId="83" fillId="0" borderId="0" applyNumberFormat="0" applyFill="0" applyBorder="0" applyAlignment="0" applyProtection="0"/>
    <xf numFmtId="184" fontId="84" fillId="42" borderId="45" applyNumberFormat="0" applyAlignment="0" applyProtection="0"/>
    <xf numFmtId="184" fontId="85" fillId="0" borderId="50" applyNumberFormat="0" applyFill="0" applyAlignment="0" applyProtection="0"/>
    <xf numFmtId="184" fontId="86" fillId="57" borderId="0" applyNumberFormat="0" applyBorder="0" applyAlignment="0" applyProtection="0"/>
    <xf numFmtId="184" fontId="5" fillId="0" borderId="0"/>
    <xf numFmtId="184" fontId="5" fillId="0" borderId="0"/>
    <xf numFmtId="184" fontId="87" fillId="0" borderId="0"/>
    <xf numFmtId="184" fontId="10" fillId="0" borderId="0"/>
    <xf numFmtId="184" fontId="5" fillId="0" borderId="0"/>
    <xf numFmtId="0" fontId="4" fillId="0" borderId="0"/>
    <xf numFmtId="0" fontId="10" fillId="0" borderId="0"/>
    <xf numFmtId="184" fontId="5" fillId="58" borderId="51" applyNumberFormat="0" applyFont="0" applyAlignment="0" applyProtection="0"/>
    <xf numFmtId="0" fontId="4" fillId="12" borderId="39"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9" fontId="5"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184" fontId="89" fillId="0" borderId="0" applyNumberFormat="0" applyFill="0" applyBorder="0" applyAlignment="0" applyProtection="0"/>
    <xf numFmtId="184" fontId="90" fillId="0" borderId="53" applyNumberFormat="0" applyFill="0" applyAlignment="0" applyProtection="0"/>
    <xf numFmtId="184" fontId="91" fillId="0" borderId="0" applyNumberFormat="0" applyFill="0" applyBorder="0" applyAlignment="0" applyProtection="0"/>
    <xf numFmtId="0" fontId="70" fillId="0" borderId="0"/>
    <xf numFmtId="0" fontId="70" fillId="0" borderId="0"/>
    <xf numFmtId="0" fontId="5" fillId="0" borderId="0"/>
    <xf numFmtId="0" fontId="5" fillId="0" borderId="0"/>
    <xf numFmtId="0" fontId="5" fillId="0" borderId="0"/>
    <xf numFmtId="0" fontId="3" fillId="0" borderId="0"/>
    <xf numFmtId="0" fontId="93" fillId="0" borderId="32" applyNumberFormat="0" applyFill="0" applyAlignment="0" applyProtection="0"/>
    <xf numFmtId="0" fontId="94" fillId="0" borderId="33" applyNumberFormat="0" applyFill="0" applyAlignment="0" applyProtection="0"/>
    <xf numFmtId="0" fontId="95" fillId="0" borderId="34" applyNumberFormat="0" applyFill="0" applyAlignment="0" applyProtection="0"/>
    <xf numFmtId="0" fontId="95" fillId="0" borderId="0" applyNumberFormat="0" applyFill="0" applyBorder="0" applyAlignment="0" applyProtection="0"/>
    <xf numFmtId="0" fontId="96" fillId="6" borderId="0" applyNumberFormat="0" applyBorder="0" applyAlignment="0" applyProtection="0"/>
    <xf numFmtId="0" fontId="97" fillId="7" borderId="0" applyNumberFormat="0" applyBorder="0" applyAlignment="0" applyProtection="0"/>
    <xf numFmtId="0" fontId="98" fillId="8" borderId="0" applyNumberFormat="0" applyBorder="0" applyAlignment="0" applyProtection="0"/>
    <xf numFmtId="0" fontId="99" fillId="9" borderId="35" applyNumberFormat="0" applyAlignment="0" applyProtection="0"/>
    <xf numFmtId="0" fontId="100" fillId="10" borderId="36" applyNumberFormat="0" applyAlignment="0" applyProtection="0"/>
    <xf numFmtId="0" fontId="101" fillId="10" borderId="35" applyNumberFormat="0" applyAlignment="0" applyProtection="0"/>
    <xf numFmtId="0" fontId="102" fillId="0" borderId="37" applyNumberFormat="0" applyFill="0" applyAlignment="0" applyProtection="0"/>
    <xf numFmtId="0" fontId="103" fillId="11" borderId="38" applyNumberFormat="0" applyAlignment="0" applyProtection="0"/>
    <xf numFmtId="0" fontId="104" fillId="0" borderId="0" applyNumberFormat="0" applyFill="0" applyBorder="0" applyAlignment="0" applyProtection="0"/>
    <xf numFmtId="0" fontId="3" fillId="12" borderId="39" applyNumberFormat="0" applyFont="0" applyAlignment="0" applyProtection="0"/>
    <xf numFmtId="0" fontId="105" fillId="0" borderId="0" applyNumberFormat="0" applyFill="0" applyBorder="0" applyAlignment="0" applyProtection="0"/>
    <xf numFmtId="0" fontId="106" fillId="0" borderId="40" applyNumberFormat="0" applyFill="0" applyAlignment="0" applyProtection="0"/>
    <xf numFmtId="0" fontId="10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07" fillId="16" borderId="0" applyNumberFormat="0" applyBorder="0" applyAlignment="0" applyProtection="0"/>
    <xf numFmtId="0" fontId="10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07" fillId="24" borderId="0" applyNumberFormat="0" applyBorder="0" applyAlignment="0" applyProtection="0"/>
    <xf numFmtId="0" fontId="10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07" fillId="28" borderId="0" applyNumberFormat="0" applyBorder="0" applyAlignment="0" applyProtection="0"/>
    <xf numFmtId="0" fontId="10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07" fillId="32" borderId="0" applyNumberFormat="0" applyBorder="0" applyAlignment="0" applyProtection="0"/>
    <xf numFmtId="0" fontId="107"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07" fillId="36" borderId="0" applyNumberFormat="0" applyBorder="0" applyAlignment="0" applyProtection="0"/>
    <xf numFmtId="0" fontId="2" fillId="0" borderId="0"/>
    <xf numFmtId="0" fontId="2" fillId="12" borderId="39"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2" borderId="39"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87" fillId="0" borderId="0"/>
    <xf numFmtId="43" fontId="87" fillId="0" borderId="0" applyFont="0" applyFill="0" applyBorder="0" applyAlignment="0" applyProtection="0"/>
    <xf numFmtId="195" fontId="5" fillId="0" borderId="0"/>
    <xf numFmtId="195" fontId="18" fillId="0" borderId="0" applyNumberFormat="0" applyFill="0" applyBorder="0" applyAlignment="0" applyProtection="0">
      <alignment vertical="top"/>
      <protection locked="0"/>
    </xf>
    <xf numFmtId="195" fontId="72" fillId="37" borderId="0" applyNumberFormat="0" applyBorder="0" applyAlignment="0" applyProtection="0"/>
    <xf numFmtId="195" fontId="72" fillId="38" borderId="0" applyNumberFormat="0" applyBorder="0" applyAlignment="0" applyProtection="0"/>
    <xf numFmtId="195" fontId="72" fillId="39" borderId="0" applyNumberFormat="0" applyBorder="0" applyAlignment="0" applyProtection="0"/>
    <xf numFmtId="195" fontId="72" fillId="40" borderId="0" applyNumberFormat="0" applyBorder="0" applyAlignment="0" applyProtection="0"/>
    <xf numFmtId="195" fontId="72" fillId="41" borderId="0" applyNumberFormat="0" applyBorder="0" applyAlignment="0" applyProtection="0"/>
    <xf numFmtId="195" fontId="72" fillId="42" borderId="0" applyNumberFormat="0" applyBorder="0" applyAlignment="0" applyProtection="0"/>
    <xf numFmtId="195" fontId="72" fillId="43" borderId="0" applyNumberFormat="0" applyBorder="0" applyAlignment="0" applyProtection="0"/>
    <xf numFmtId="195" fontId="72" fillId="44" borderId="0" applyNumberFormat="0" applyBorder="0" applyAlignment="0" applyProtection="0"/>
    <xf numFmtId="195" fontId="72" fillId="45" borderId="0" applyNumberFormat="0" applyBorder="0" applyAlignment="0" applyProtection="0"/>
    <xf numFmtId="195" fontId="72" fillId="40" borderId="0" applyNumberFormat="0" applyBorder="0" applyAlignment="0" applyProtection="0"/>
    <xf numFmtId="195" fontId="72" fillId="43" borderId="0" applyNumberFormat="0" applyBorder="0" applyAlignment="0" applyProtection="0"/>
    <xf numFmtId="195" fontId="72" fillId="46" borderId="0" applyNumberFormat="0" applyBorder="0" applyAlignment="0" applyProtection="0"/>
    <xf numFmtId="195" fontId="73" fillId="47" borderId="0" applyNumberFormat="0" applyBorder="0" applyAlignment="0" applyProtection="0"/>
    <xf numFmtId="195" fontId="73" fillId="44" borderId="0" applyNumberFormat="0" applyBorder="0" applyAlignment="0" applyProtection="0"/>
    <xf numFmtId="195" fontId="73" fillId="45" borderId="0" applyNumberFormat="0" applyBorder="0" applyAlignment="0" applyProtection="0"/>
    <xf numFmtId="195" fontId="73" fillId="48" borderId="0" applyNumberFormat="0" applyBorder="0" applyAlignment="0" applyProtection="0"/>
    <xf numFmtId="195" fontId="73" fillId="49" borderId="0" applyNumberFormat="0" applyBorder="0" applyAlignment="0" applyProtection="0"/>
    <xf numFmtId="195" fontId="73" fillId="50" borderId="0" applyNumberFormat="0" applyBorder="0" applyAlignment="0" applyProtection="0"/>
    <xf numFmtId="195" fontId="73" fillId="51" borderId="0" applyNumberFormat="0" applyBorder="0" applyAlignment="0" applyProtection="0"/>
    <xf numFmtId="195" fontId="73" fillId="52" borderId="0" applyNumberFormat="0" applyBorder="0" applyAlignment="0" applyProtection="0"/>
    <xf numFmtId="195" fontId="73" fillId="53" borderId="0" applyNumberFormat="0" applyBorder="0" applyAlignment="0" applyProtection="0"/>
    <xf numFmtId="195" fontId="73" fillId="48" borderId="0" applyNumberFormat="0" applyBorder="0" applyAlignment="0" applyProtection="0"/>
    <xf numFmtId="195" fontId="73" fillId="49" borderId="0" applyNumberFormat="0" applyBorder="0" applyAlignment="0" applyProtection="0"/>
    <xf numFmtId="195" fontId="73" fillId="54" borderId="0" applyNumberFormat="0" applyBorder="0" applyAlignment="0" applyProtection="0"/>
    <xf numFmtId="195" fontId="74" fillId="38" borderId="0" applyNumberFormat="0" applyBorder="0" applyAlignment="0" applyProtection="0"/>
    <xf numFmtId="195" fontId="75" fillId="55" borderId="45" applyNumberFormat="0" applyAlignment="0" applyProtection="0"/>
    <xf numFmtId="195" fontId="76" fillId="56" borderId="46" applyNumberFormat="0" applyAlignment="0" applyProtection="0"/>
    <xf numFmtId="195" fontId="79" fillId="0" borderId="0" applyNumberFormat="0" applyFill="0" applyBorder="0" applyAlignment="0" applyProtection="0"/>
    <xf numFmtId="195" fontId="80" fillId="39" borderId="0" applyNumberFormat="0" applyBorder="0" applyAlignment="0" applyProtection="0"/>
    <xf numFmtId="195" fontId="81" fillId="0" borderId="47" applyNumberFormat="0" applyFill="0" applyAlignment="0" applyProtection="0"/>
    <xf numFmtId="195" fontId="82" fillId="0" borderId="48" applyNumberFormat="0" applyFill="0" applyAlignment="0" applyProtection="0"/>
    <xf numFmtId="195" fontId="83" fillId="0" borderId="49" applyNumberFormat="0" applyFill="0" applyAlignment="0" applyProtection="0"/>
    <xf numFmtId="195" fontId="83" fillId="0" borderId="0" applyNumberFormat="0" applyFill="0" applyBorder="0" applyAlignment="0" applyProtection="0"/>
    <xf numFmtId="195" fontId="18" fillId="0" borderId="0" applyNumberFormat="0" applyFill="0" applyBorder="0" applyAlignment="0" applyProtection="0">
      <alignment vertical="top"/>
      <protection locked="0"/>
    </xf>
    <xf numFmtId="195" fontId="18" fillId="0" borderId="0" applyNumberFormat="0" applyFill="0" applyBorder="0" applyAlignment="0" applyProtection="0">
      <alignment vertical="top"/>
      <protection locked="0"/>
    </xf>
    <xf numFmtId="184" fontId="18" fillId="0" borderId="0" applyNumberFormat="0" applyFill="0" applyBorder="0" applyAlignment="0" applyProtection="0">
      <alignment vertical="top"/>
      <protection locked="0"/>
    </xf>
    <xf numFmtId="184" fontId="18" fillId="0" borderId="0" applyNumberFormat="0" applyFill="0" applyBorder="0" applyAlignment="0" applyProtection="0">
      <alignment vertical="top"/>
      <protection locked="0"/>
    </xf>
    <xf numFmtId="195" fontId="18" fillId="0" borderId="0" applyNumberFormat="0" applyFill="0" applyBorder="0" applyAlignment="0" applyProtection="0">
      <alignment vertical="top"/>
      <protection locked="0"/>
    </xf>
    <xf numFmtId="184" fontId="18" fillId="0" borderId="0" applyNumberFormat="0" applyFill="0" applyBorder="0" applyAlignment="0" applyProtection="0">
      <alignment vertical="top"/>
      <protection locked="0"/>
    </xf>
    <xf numFmtId="184" fontId="18" fillId="0" borderId="0" applyNumberFormat="0" applyFill="0" applyBorder="0" applyAlignment="0" applyProtection="0">
      <alignment vertical="top"/>
      <protection locked="0"/>
    </xf>
    <xf numFmtId="195" fontId="84" fillId="42" borderId="45" applyNumberFormat="0" applyAlignment="0" applyProtection="0"/>
    <xf numFmtId="195" fontId="85" fillId="0" borderId="50" applyNumberFormat="0" applyFill="0" applyAlignment="0" applyProtection="0"/>
    <xf numFmtId="195" fontId="86" fillId="57" borderId="0" applyNumberFormat="0" applyBorder="0" applyAlignment="0" applyProtection="0"/>
    <xf numFmtId="195" fontId="87" fillId="0" borderId="0"/>
    <xf numFmtId="184" fontId="5" fillId="0" borderId="0"/>
    <xf numFmtId="0" fontId="87" fillId="0" borderId="0"/>
    <xf numFmtId="195" fontId="5" fillId="0" borderId="0"/>
    <xf numFmtId="195" fontId="5" fillId="0" borderId="0"/>
    <xf numFmtId="184" fontId="5" fillId="0" borderId="0"/>
    <xf numFmtId="195" fontId="5" fillId="0" borderId="0"/>
    <xf numFmtId="184" fontId="5" fillId="0" borderId="0"/>
    <xf numFmtId="184" fontId="5" fillId="0" borderId="0"/>
    <xf numFmtId="195" fontId="5" fillId="0" borderId="0"/>
    <xf numFmtId="195" fontId="5" fillId="0" borderId="0"/>
    <xf numFmtId="195" fontId="5" fillId="0" borderId="0"/>
    <xf numFmtId="184" fontId="5" fillId="0" borderId="0"/>
    <xf numFmtId="195" fontId="5" fillId="0" borderId="0"/>
    <xf numFmtId="184" fontId="5" fillId="0" borderId="0"/>
    <xf numFmtId="195" fontId="5" fillId="0" borderId="0"/>
    <xf numFmtId="195" fontId="5" fillId="0" borderId="0"/>
    <xf numFmtId="184" fontId="5" fillId="0" borderId="0"/>
    <xf numFmtId="184" fontId="5" fillId="0" borderId="0"/>
    <xf numFmtId="195" fontId="5" fillId="0" borderId="0"/>
    <xf numFmtId="195" fontId="5" fillId="0" borderId="0"/>
    <xf numFmtId="184" fontId="5" fillId="0" borderId="0"/>
    <xf numFmtId="195" fontId="87" fillId="0" borderId="0"/>
    <xf numFmtId="184" fontId="5" fillId="0" borderId="0"/>
    <xf numFmtId="195" fontId="5" fillId="0" borderId="0"/>
    <xf numFmtId="195" fontId="5" fillId="0" borderId="0"/>
    <xf numFmtId="195" fontId="10" fillId="0" borderId="0"/>
    <xf numFmtId="184" fontId="5" fillId="0" borderId="0"/>
    <xf numFmtId="195" fontId="5" fillId="0" borderId="0"/>
    <xf numFmtId="184" fontId="5" fillId="0" borderId="0"/>
    <xf numFmtId="195" fontId="77" fillId="0" borderId="0">
      <alignment horizontal="left" wrapText="1"/>
    </xf>
    <xf numFmtId="195" fontId="10" fillId="0" borderId="0"/>
    <xf numFmtId="195" fontId="10" fillId="0" borderId="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89" fillId="0" borderId="0" applyNumberFormat="0" applyFill="0" applyBorder="0" applyAlignment="0" applyProtection="0"/>
    <xf numFmtId="195" fontId="90" fillId="0" borderId="53" applyNumberFormat="0" applyFill="0" applyAlignment="0" applyProtection="0"/>
    <xf numFmtId="195" fontId="91" fillId="0" borderId="0" applyNumberFormat="0" applyFill="0" applyBorder="0" applyAlignment="0" applyProtection="0"/>
    <xf numFmtId="195"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5"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95" fontId="5" fillId="0" borderId="0"/>
    <xf numFmtId="195" fontId="5" fillId="0" borderId="0"/>
    <xf numFmtId="195" fontId="5" fillId="0" borderId="0"/>
    <xf numFmtId="195" fontId="5" fillId="0" borderId="0"/>
    <xf numFmtId="195" fontId="5" fillId="0" borderId="0"/>
    <xf numFmtId="166" fontId="5" fillId="0" borderId="0" applyFont="0" applyFill="0" applyBorder="0" applyAlignment="0" applyProtection="0"/>
    <xf numFmtId="195" fontId="5" fillId="0" borderId="0"/>
    <xf numFmtId="195" fontId="5" fillId="0" borderId="0"/>
    <xf numFmtId="195" fontId="5" fillId="0" borderId="0"/>
    <xf numFmtId="166" fontId="5" fillId="0" borderId="0" applyFont="0" applyFill="0" applyBorder="0" applyAlignment="0" applyProtection="0"/>
    <xf numFmtId="195" fontId="5" fillId="0" borderId="0"/>
    <xf numFmtId="195" fontId="75" fillId="55" borderId="45" applyNumberFormat="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5" fontId="84" fillId="42" borderId="45" applyNumberFormat="0" applyAlignment="0" applyProtection="0"/>
    <xf numFmtId="195" fontId="5" fillId="0" borderId="0"/>
    <xf numFmtId="195" fontId="5" fillId="0" borderId="0"/>
    <xf numFmtId="195" fontId="5" fillId="0" borderId="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9" fontId="5" fillId="0" borderId="0" applyFont="0" applyFill="0" applyBorder="0" applyAlignment="0" applyProtection="0"/>
    <xf numFmtId="195" fontId="90" fillId="0" borderId="53" applyNumberFormat="0" applyFill="0" applyAlignment="0" applyProtection="0"/>
    <xf numFmtId="195" fontId="5" fillId="0" borderId="0"/>
    <xf numFmtId="195" fontId="5" fillId="58" borderId="51" applyNumberFormat="0" applyFont="0" applyAlignment="0" applyProtection="0"/>
    <xf numFmtId="0" fontId="54" fillId="0" borderId="32" applyNumberFormat="0" applyFill="0" applyAlignment="0" applyProtection="0"/>
    <xf numFmtId="0" fontId="55" fillId="0" borderId="33" applyNumberFormat="0" applyFill="0" applyAlignment="0" applyProtection="0"/>
    <xf numFmtId="0" fontId="56" fillId="0" borderId="34" applyNumberFormat="0" applyFill="0" applyAlignment="0" applyProtection="0"/>
    <xf numFmtId="0" fontId="56" fillId="0" borderId="0" applyNumberFormat="0" applyFill="0" applyBorder="0" applyAlignment="0" applyProtection="0"/>
    <xf numFmtId="0" fontId="57" fillId="6" borderId="0" applyNumberFormat="0" applyBorder="0" applyAlignment="0" applyProtection="0"/>
    <xf numFmtId="0" fontId="58" fillId="7" borderId="0" applyNumberFormat="0" applyBorder="0" applyAlignment="0" applyProtection="0"/>
    <xf numFmtId="0" fontId="59" fillId="8" borderId="0" applyNumberFormat="0" applyBorder="0" applyAlignment="0" applyProtection="0"/>
    <xf numFmtId="0" fontId="60" fillId="9" borderId="35" applyNumberFormat="0" applyAlignment="0" applyProtection="0"/>
    <xf numFmtId="0" fontId="61" fillId="10" borderId="36" applyNumberFormat="0" applyAlignment="0" applyProtection="0"/>
    <xf numFmtId="0" fontId="62" fillId="10" borderId="35" applyNumberFormat="0" applyAlignment="0" applyProtection="0"/>
    <xf numFmtId="0" fontId="63" fillId="0" borderId="37" applyNumberFormat="0" applyFill="0" applyAlignment="0" applyProtection="0"/>
    <xf numFmtId="0" fontId="64" fillId="11" borderId="38"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0" applyNumberFormat="0" applyFill="0" applyAlignment="0" applyProtection="0"/>
    <xf numFmtId="0" fontId="6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8" fillId="36" borderId="0" applyNumberFormat="0" applyBorder="0" applyAlignment="0" applyProtection="0"/>
    <xf numFmtId="184" fontId="5" fillId="0" borderId="0"/>
    <xf numFmtId="184" fontId="5" fillId="0" borderId="0"/>
    <xf numFmtId="184" fontId="5" fillId="0" borderId="0"/>
    <xf numFmtId="184" fontId="5" fillId="0" borderId="0"/>
    <xf numFmtId="184" fontId="5" fillId="0" borderId="0"/>
    <xf numFmtId="184" fontId="5" fillId="0" borderId="0"/>
    <xf numFmtId="184" fontId="5" fillId="0" borderId="0"/>
    <xf numFmtId="184" fontId="5" fillId="0" borderId="0"/>
    <xf numFmtId="184" fontId="5" fillId="0" borderId="0"/>
    <xf numFmtId="184" fontId="5" fillId="0" borderId="0"/>
    <xf numFmtId="184" fontId="5" fillId="0" borderId="0"/>
    <xf numFmtId="184" fontId="5" fillId="0" borderId="0"/>
    <xf numFmtId="166" fontId="87" fillId="0" borderId="0" applyFont="0" applyFill="0" applyBorder="0" applyAlignment="0" applyProtection="0"/>
    <xf numFmtId="166" fontId="87" fillId="0" borderId="0" applyFont="0" applyFill="0" applyBorder="0" applyAlignment="0" applyProtection="0"/>
    <xf numFmtId="43" fontId="5" fillId="0" borderId="0" applyFont="0" applyFill="0" applyBorder="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0" borderId="0"/>
    <xf numFmtId="43" fontId="5" fillId="0" borderId="0" applyFont="0" applyFill="0" applyBorder="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0" borderId="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66"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43"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72" fillId="37"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0" borderId="0" applyNumberFormat="0" applyBorder="0" applyAlignment="0" applyProtection="0"/>
    <xf numFmtId="0" fontId="72" fillId="43" borderId="0" applyNumberFormat="0" applyBorder="0" applyAlignment="0" applyProtection="0"/>
    <xf numFmtId="0" fontId="72" fillId="46" borderId="0" applyNumberFormat="0" applyBorder="0" applyAlignment="0" applyProtection="0"/>
    <xf numFmtId="0" fontId="73" fillId="47"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73" fillId="53"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54" borderId="0" applyNumberFormat="0" applyBorder="0" applyAlignment="0" applyProtection="0"/>
    <xf numFmtId="0" fontId="74" fillId="38" borderId="0" applyNumberFormat="0" applyBorder="0" applyAlignment="0" applyProtection="0"/>
    <xf numFmtId="0" fontId="75" fillId="55" borderId="45" applyNumberFormat="0" applyAlignment="0" applyProtection="0"/>
    <xf numFmtId="0" fontId="76" fillId="56" borderId="46" applyNumberFormat="0" applyAlignment="0" applyProtection="0"/>
    <xf numFmtId="0" fontId="79" fillId="0" borderId="0" applyNumberFormat="0" applyFill="0" applyBorder="0" applyAlignment="0" applyProtection="0"/>
    <xf numFmtId="0" fontId="80" fillId="39" borderId="0" applyNumberFormat="0" applyBorder="0" applyAlignment="0" applyProtection="0"/>
    <xf numFmtId="0" fontId="81" fillId="0" borderId="47" applyNumberFormat="0" applyFill="0" applyAlignment="0" applyProtection="0"/>
    <xf numFmtId="0" fontId="82" fillId="0" borderId="48" applyNumberFormat="0" applyFill="0" applyAlignment="0" applyProtection="0"/>
    <xf numFmtId="0" fontId="83" fillId="0" borderId="49" applyNumberFormat="0" applyFill="0" applyAlignment="0" applyProtection="0"/>
    <xf numFmtId="0" fontId="83" fillId="0" borderId="0" applyNumberFormat="0" applyFill="0" applyBorder="0" applyAlignment="0" applyProtection="0"/>
    <xf numFmtId="0" fontId="84" fillId="42" borderId="45" applyNumberFormat="0" applyAlignment="0" applyProtection="0"/>
    <xf numFmtId="0" fontId="85" fillId="0" borderId="50" applyNumberFormat="0" applyFill="0" applyAlignment="0" applyProtection="0"/>
    <xf numFmtId="0" fontId="86" fillId="57" borderId="0" applyNumberFormat="0" applyBorder="0" applyAlignment="0" applyProtection="0"/>
    <xf numFmtId="0" fontId="5" fillId="0" borderId="0"/>
    <xf numFmtId="0" fontId="5" fillId="0" borderId="0"/>
    <xf numFmtId="0" fontId="5" fillId="0" borderId="0"/>
    <xf numFmtId="0" fontId="87" fillId="0" borderId="0"/>
    <xf numFmtId="0" fontId="10" fillId="0" borderId="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88" fillId="55" borderId="52" applyNumberFormat="0" applyAlignment="0" applyProtection="0"/>
    <xf numFmtId="0" fontId="89" fillId="0" borderId="0" applyNumberFormat="0" applyFill="0" applyBorder="0" applyAlignment="0" applyProtection="0"/>
    <xf numFmtId="0" fontId="90" fillId="0" borderId="53" applyNumberFormat="0" applyFill="0" applyAlignment="0" applyProtection="0"/>
    <xf numFmtId="0" fontId="91" fillId="0" borderId="0" applyNumberFormat="0" applyFill="0" applyBorder="0" applyAlignment="0" applyProtection="0"/>
    <xf numFmtId="0" fontId="77" fillId="0" borderId="0">
      <alignment horizontal="left" wrapText="1"/>
    </xf>
    <xf numFmtId="0" fontId="5" fillId="0" borderId="0"/>
    <xf numFmtId="0"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0" borderId="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84" fontId="5" fillId="0" borderId="0"/>
    <xf numFmtId="43" fontId="5" fillId="0" borderId="0" applyFont="0" applyFill="0" applyBorder="0" applyAlignment="0" applyProtection="0"/>
    <xf numFmtId="184" fontId="10" fillId="0" borderId="0"/>
    <xf numFmtId="184" fontId="72" fillId="37" borderId="0" applyNumberFormat="0" applyBorder="0" applyAlignment="0" applyProtection="0"/>
    <xf numFmtId="184" fontId="72" fillId="38" borderId="0" applyNumberFormat="0" applyBorder="0" applyAlignment="0" applyProtection="0"/>
    <xf numFmtId="184" fontId="72" fillId="39" borderId="0" applyNumberFormat="0" applyBorder="0" applyAlignment="0" applyProtection="0"/>
    <xf numFmtId="184" fontId="72" fillId="40" borderId="0" applyNumberFormat="0" applyBorder="0" applyAlignment="0" applyProtection="0"/>
    <xf numFmtId="184" fontId="72" fillId="41" borderId="0" applyNumberFormat="0" applyBorder="0" applyAlignment="0" applyProtection="0"/>
    <xf numFmtId="184" fontId="72" fillId="42" borderId="0" applyNumberFormat="0" applyBorder="0" applyAlignment="0" applyProtection="0"/>
    <xf numFmtId="184" fontId="72" fillId="43" borderId="0" applyNumberFormat="0" applyBorder="0" applyAlignment="0" applyProtection="0"/>
    <xf numFmtId="184" fontId="72" fillId="44" borderId="0" applyNumberFormat="0" applyBorder="0" applyAlignment="0" applyProtection="0"/>
    <xf numFmtId="184" fontId="72" fillId="45" borderId="0" applyNumberFormat="0" applyBorder="0" applyAlignment="0" applyProtection="0"/>
    <xf numFmtId="184" fontId="72" fillId="40" borderId="0" applyNumberFormat="0" applyBorder="0" applyAlignment="0" applyProtection="0"/>
    <xf numFmtId="184" fontId="72" fillId="43" borderId="0" applyNumberFormat="0" applyBorder="0" applyAlignment="0" applyProtection="0"/>
    <xf numFmtId="184" fontId="72" fillId="46" borderId="0" applyNumberFormat="0" applyBorder="0" applyAlignment="0" applyProtection="0"/>
    <xf numFmtId="184" fontId="73" fillId="47" borderId="0" applyNumberFormat="0" applyBorder="0" applyAlignment="0" applyProtection="0"/>
    <xf numFmtId="184" fontId="73" fillId="44" borderId="0" applyNumberFormat="0" applyBorder="0" applyAlignment="0" applyProtection="0"/>
    <xf numFmtId="184" fontId="73" fillId="45" borderId="0" applyNumberFormat="0" applyBorder="0" applyAlignment="0" applyProtection="0"/>
    <xf numFmtId="184" fontId="73" fillId="48" borderId="0" applyNumberFormat="0" applyBorder="0" applyAlignment="0" applyProtection="0"/>
    <xf numFmtId="184" fontId="73" fillId="49" borderId="0" applyNumberFormat="0" applyBorder="0" applyAlignment="0" applyProtection="0"/>
    <xf numFmtId="184" fontId="73" fillId="50" borderId="0" applyNumberFormat="0" applyBorder="0" applyAlignment="0" applyProtection="0"/>
    <xf numFmtId="184" fontId="73" fillId="51" borderId="0" applyNumberFormat="0" applyBorder="0" applyAlignment="0" applyProtection="0"/>
    <xf numFmtId="184" fontId="73" fillId="52" borderId="0" applyNumberFormat="0" applyBorder="0" applyAlignment="0" applyProtection="0"/>
    <xf numFmtId="184" fontId="73" fillId="53" borderId="0" applyNumberFormat="0" applyBorder="0" applyAlignment="0" applyProtection="0"/>
    <xf numFmtId="184" fontId="73" fillId="48" borderId="0" applyNumberFormat="0" applyBorder="0" applyAlignment="0" applyProtection="0"/>
    <xf numFmtId="184" fontId="73" fillId="49" borderId="0" applyNumberFormat="0" applyBorder="0" applyAlignment="0" applyProtection="0"/>
    <xf numFmtId="184" fontId="73" fillId="54" borderId="0" applyNumberFormat="0" applyBorder="0" applyAlignment="0" applyProtection="0"/>
    <xf numFmtId="184" fontId="74" fillId="38" borderId="0" applyNumberFormat="0" applyBorder="0" applyAlignment="0" applyProtection="0"/>
    <xf numFmtId="184" fontId="75" fillId="55" borderId="45" applyNumberFormat="0" applyAlignment="0" applyProtection="0"/>
    <xf numFmtId="184" fontId="76" fillId="56" borderId="46" applyNumberFormat="0" applyAlignment="0" applyProtection="0"/>
    <xf numFmtId="184" fontId="79" fillId="0" borderId="0" applyNumberFormat="0" applyFill="0" applyBorder="0" applyAlignment="0" applyProtection="0"/>
    <xf numFmtId="184" fontId="80" fillId="39" borderId="0" applyNumberFormat="0" applyBorder="0" applyAlignment="0" applyProtection="0"/>
    <xf numFmtId="184" fontId="81" fillId="0" borderId="47" applyNumberFormat="0" applyFill="0" applyAlignment="0" applyProtection="0"/>
    <xf numFmtId="184" fontId="82" fillId="0" borderId="48" applyNumberFormat="0" applyFill="0" applyAlignment="0" applyProtection="0"/>
    <xf numFmtId="184" fontId="83" fillId="0" borderId="49" applyNumberFormat="0" applyFill="0" applyAlignment="0" applyProtection="0"/>
    <xf numFmtId="184" fontId="83" fillId="0" borderId="0" applyNumberFormat="0" applyFill="0" applyBorder="0" applyAlignment="0" applyProtection="0"/>
    <xf numFmtId="184" fontId="84" fillId="42" borderId="45" applyNumberFormat="0" applyAlignment="0" applyProtection="0"/>
    <xf numFmtId="184" fontId="85" fillId="0" borderId="50" applyNumberFormat="0" applyFill="0" applyAlignment="0" applyProtection="0"/>
    <xf numFmtId="184" fontId="86" fillId="57" borderId="0" applyNumberFormat="0" applyBorder="0" applyAlignment="0" applyProtection="0"/>
    <xf numFmtId="184" fontId="5" fillId="0" borderId="0"/>
    <xf numFmtId="184" fontId="5" fillId="0" borderId="0"/>
    <xf numFmtId="184" fontId="5" fillId="0" borderId="0"/>
    <xf numFmtId="184" fontId="87" fillId="0" borderId="0"/>
    <xf numFmtId="184" fontId="10" fillId="0" borderId="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89" fillId="0" borderId="0" applyNumberFormat="0" applyFill="0" applyBorder="0" applyAlignment="0" applyProtection="0"/>
    <xf numFmtId="184" fontId="90" fillId="0" borderId="53" applyNumberFormat="0" applyFill="0" applyAlignment="0" applyProtection="0"/>
    <xf numFmtId="184" fontId="91" fillId="0" borderId="0" applyNumberFormat="0" applyFill="0" applyBorder="0" applyAlignment="0" applyProtection="0"/>
    <xf numFmtId="184" fontId="77" fillId="0" borderId="0">
      <alignment horizontal="left" wrapText="1"/>
    </xf>
    <xf numFmtId="184" fontId="5" fillId="0" borderId="0"/>
    <xf numFmtId="184" fontId="5" fillId="58" borderId="51" applyNumberFormat="0" applyFont="0" applyAlignment="0" applyProtection="0"/>
    <xf numFmtId="0" fontId="10" fillId="0" borderId="0"/>
    <xf numFmtId="43" fontId="5" fillId="0" borderId="0" applyFont="0" applyFill="0" applyBorder="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43" fontId="5" fillId="0" borderId="0" applyFont="0" applyFill="0" applyBorder="0" applyAlignment="0" applyProtection="0"/>
    <xf numFmtId="184" fontId="90" fillId="0" borderId="53" applyNumberFormat="0" applyFill="0" applyAlignment="0" applyProtection="0"/>
    <xf numFmtId="184" fontId="5" fillId="58" borderId="51" applyNumberFormat="0" applyFont="0" applyAlignment="0" applyProtection="0"/>
    <xf numFmtId="196" fontId="5" fillId="0" borderId="0"/>
    <xf numFmtId="43" fontId="5" fillId="0" borderId="0" applyFont="0" applyFill="0" applyBorder="0" applyAlignment="0" applyProtection="0"/>
    <xf numFmtId="196" fontId="18" fillId="0" borderId="0" applyNumberFormat="0" applyFill="0" applyBorder="0" applyAlignment="0" applyProtection="0">
      <alignment vertical="top"/>
      <protection locked="0"/>
    </xf>
    <xf numFmtId="196" fontId="5" fillId="0" borderId="0"/>
    <xf numFmtId="196" fontId="5" fillId="0" borderId="0"/>
    <xf numFmtId="196" fontId="5" fillId="0" borderId="0"/>
    <xf numFmtId="196" fontId="18" fillId="0" borderId="0" applyNumberFormat="0" applyFill="0" applyBorder="0" applyAlignment="0" applyProtection="0">
      <alignment vertical="top"/>
      <protection locked="0"/>
    </xf>
    <xf numFmtId="196" fontId="5" fillId="0" borderId="0"/>
    <xf numFmtId="196" fontId="18" fillId="0" borderId="0" applyNumberFormat="0" applyFill="0" applyBorder="0" applyAlignment="0" applyProtection="0">
      <alignment vertical="top"/>
      <protection locked="0"/>
    </xf>
    <xf numFmtId="196" fontId="5" fillId="0" borderId="0"/>
    <xf numFmtId="196" fontId="18" fillId="0" borderId="0" applyNumberFormat="0" applyFill="0" applyBorder="0" applyAlignment="0" applyProtection="0">
      <alignment vertical="top"/>
      <protection locked="0"/>
    </xf>
    <xf numFmtId="196" fontId="5" fillId="0" borderId="0"/>
    <xf numFmtId="196" fontId="5" fillId="0" borderId="0"/>
    <xf numFmtId="196" fontId="5" fillId="0" borderId="0"/>
    <xf numFmtId="196" fontId="5" fillId="0" borderId="0"/>
    <xf numFmtId="196" fontId="5" fillId="0" borderId="0"/>
    <xf numFmtId="196" fontId="5" fillId="0" borderId="0"/>
    <xf numFmtId="196" fontId="10" fillId="0" borderId="0"/>
    <xf numFmtId="196" fontId="72" fillId="37" borderId="0" applyNumberFormat="0" applyBorder="0" applyAlignment="0" applyProtection="0"/>
    <xf numFmtId="196" fontId="72" fillId="38" borderId="0" applyNumberFormat="0" applyBorder="0" applyAlignment="0" applyProtection="0"/>
    <xf numFmtId="196" fontId="72" fillId="39" borderId="0" applyNumberFormat="0" applyBorder="0" applyAlignment="0" applyProtection="0"/>
    <xf numFmtId="196" fontId="72" fillId="40" borderId="0" applyNumberFormat="0" applyBorder="0" applyAlignment="0" applyProtection="0"/>
    <xf numFmtId="196" fontId="72" fillId="41" borderId="0" applyNumberFormat="0" applyBorder="0" applyAlignment="0" applyProtection="0"/>
    <xf numFmtId="196" fontId="72" fillId="42" borderId="0" applyNumberFormat="0" applyBorder="0" applyAlignment="0" applyProtection="0"/>
    <xf numFmtId="196" fontId="72" fillId="43" borderId="0" applyNumberFormat="0" applyBorder="0" applyAlignment="0" applyProtection="0"/>
    <xf numFmtId="196" fontId="72" fillId="44" borderId="0" applyNumberFormat="0" applyBorder="0" applyAlignment="0" applyProtection="0"/>
    <xf numFmtId="196" fontId="72" fillId="45" borderId="0" applyNumberFormat="0" applyBorder="0" applyAlignment="0" applyProtection="0"/>
    <xf numFmtId="196" fontId="72" fillId="40" borderId="0" applyNumberFormat="0" applyBorder="0" applyAlignment="0" applyProtection="0"/>
    <xf numFmtId="196" fontId="72" fillId="43" borderId="0" applyNumberFormat="0" applyBorder="0" applyAlignment="0" applyProtection="0"/>
    <xf numFmtId="196" fontId="72" fillId="46" borderId="0" applyNumberFormat="0" applyBorder="0" applyAlignment="0" applyProtection="0"/>
    <xf numFmtId="196" fontId="73" fillId="47" borderId="0" applyNumberFormat="0" applyBorder="0" applyAlignment="0" applyProtection="0"/>
    <xf numFmtId="196" fontId="73" fillId="44" borderId="0" applyNumberFormat="0" applyBorder="0" applyAlignment="0" applyProtection="0"/>
    <xf numFmtId="196" fontId="73" fillId="45" borderId="0" applyNumberFormat="0" applyBorder="0" applyAlignment="0" applyProtection="0"/>
    <xf numFmtId="196" fontId="73" fillId="48" borderId="0" applyNumberFormat="0" applyBorder="0" applyAlignment="0" applyProtection="0"/>
    <xf numFmtId="196" fontId="73" fillId="49" borderId="0" applyNumberFormat="0" applyBorder="0" applyAlignment="0" applyProtection="0"/>
    <xf numFmtId="196" fontId="73" fillId="50" borderId="0" applyNumberFormat="0" applyBorder="0" applyAlignment="0" applyProtection="0"/>
    <xf numFmtId="196" fontId="73" fillId="51" borderId="0" applyNumberFormat="0" applyBorder="0" applyAlignment="0" applyProtection="0"/>
    <xf numFmtId="196" fontId="73" fillId="52" borderId="0" applyNumberFormat="0" applyBorder="0" applyAlignment="0" applyProtection="0"/>
    <xf numFmtId="196" fontId="73" fillId="53" borderId="0" applyNumberFormat="0" applyBorder="0" applyAlignment="0" applyProtection="0"/>
    <xf numFmtId="196" fontId="73" fillId="48" borderId="0" applyNumberFormat="0" applyBorder="0" applyAlignment="0" applyProtection="0"/>
    <xf numFmtId="196" fontId="73" fillId="49" borderId="0" applyNumberFormat="0" applyBorder="0" applyAlignment="0" applyProtection="0"/>
    <xf numFmtId="196" fontId="73" fillId="54" borderId="0" applyNumberFormat="0" applyBorder="0" applyAlignment="0" applyProtection="0"/>
    <xf numFmtId="196" fontId="74" fillId="38" borderId="0" applyNumberFormat="0" applyBorder="0" applyAlignment="0" applyProtection="0"/>
    <xf numFmtId="196" fontId="75" fillId="55" borderId="45" applyNumberFormat="0" applyAlignment="0" applyProtection="0"/>
    <xf numFmtId="196" fontId="76" fillId="56" borderId="46" applyNumberFormat="0" applyAlignment="0" applyProtection="0"/>
    <xf numFmtId="196" fontId="79" fillId="0" borderId="0" applyNumberFormat="0" applyFill="0" applyBorder="0" applyAlignment="0" applyProtection="0"/>
    <xf numFmtId="196" fontId="80" fillId="39" borderId="0" applyNumberFormat="0" applyBorder="0" applyAlignment="0" applyProtection="0"/>
    <xf numFmtId="196" fontId="81" fillId="0" borderId="47" applyNumberFormat="0" applyFill="0" applyAlignment="0" applyProtection="0"/>
    <xf numFmtId="196" fontId="82" fillId="0" borderId="48" applyNumberFormat="0" applyFill="0" applyAlignment="0" applyProtection="0"/>
    <xf numFmtId="196" fontId="83" fillId="0" borderId="49" applyNumberFormat="0" applyFill="0" applyAlignment="0" applyProtection="0"/>
    <xf numFmtId="196" fontId="83" fillId="0" borderId="0" applyNumberFormat="0" applyFill="0" applyBorder="0" applyAlignment="0" applyProtection="0"/>
    <xf numFmtId="196" fontId="84" fillId="42" borderId="45" applyNumberFormat="0" applyAlignment="0" applyProtection="0"/>
    <xf numFmtId="196" fontId="85" fillId="0" borderId="50" applyNumberFormat="0" applyFill="0" applyAlignment="0" applyProtection="0"/>
    <xf numFmtId="196" fontId="86" fillId="57" borderId="0" applyNumberFormat="0" applyBorder="0" applyAlignment="0" applyProtection="0"/>
    <xf numFmtId="196" fontId="5" fillId="0" borderId="0"/>
    <xf numFmtId="196" fontId="5" fillId="0" borderId="0"/>
    <xf numFmtId="196" fontId="5" fillId="0" borderId="0"/>
    <xf numFmtId="196" fontId="87" fillId="0" borderId="0"/>
    <xf numFmtId="196" fontId="10" fillId="0" borderId="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88" fillId="55" borderId="52" applyNumberFormat="0" applyAlignment="0" applyProtection="0"/>
    <xf numFmtId="196" fontId="89" fillId="0" borderId="0" applyNumberFormat="0" applyFill="0" applyBorder="0" applyAlignment="0" applyProtection="0"/>
    <xf numFmtId="196" fontId="90" fillId="0" borderId="53" applyNumberFormat="0" applyFill="0" applyAlignment="0" applyProtection="0"/>
    <xf numFmtId="196" fontId="91" fillId="0" borderId="0" applyNumberFormat="0" applyFill="0" applyBorder="0" applyAlignment="0" applyProtection="0"/>
    <xf numFmtId="196" fontId="77" fillId="0" borderId="0">
      <alignment horizontal="left" wrapText="1"/>
    </xf>
    <xf numFmtId="196" fontId="5" fillId="0" borderId="0"/>
    <xf numFmtId="196" fontId="5" fillId="58" borderId="51" applyNumberFormat="0" applyFont="0" applyAlignment="0" applyProtection="0"/>
    <xf numFmtId="196" fontId="10" fillId="0" borderId="0"/>
    <xf numFmtId="0" fontId="87" fillId="0" borderId="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0" fontId="75" fillId="55" borderId="45" applyNumberFormat="0" applyAlignment="0" applyProtection="0"/>
    <xf numFmtId="0" fontId="84" fillId="42" borderId="45" applyNumberForma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0"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84" fontId="5" fillId="0" borderId="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96" fontId="5" fillId="0" borderId="0"/>
    <xf numFmtId="196" fontId="75" fillId="55" borderId="45" applyNumberFormat="0" applyAlignment="0" applyProtection="0"/>
    <xf numFmtId="196" fontId="84" fillId="42" borderId="45" applyNumberForma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88" fillId="55" borderId="52" applyNumberFormat="0" applyAlignment="0" applyProtection="0"/>
    <xf numFmtId="196" fontId="90" fillId="0" borderId="53" applyNumberFormat="0" applyFill="0" applyAlignment="0" applyProtection="0"/>
    <xf numFmtId="196" fontId="5" fillId="58" borderId="51" applyNumberFormat="0" applyFont="0" applyAlignment="0" applyProtection="0"/>
    <xf numFmtId="166" fontId="5" fillId="0" borderId="0" applyFont="0" applyFill="0" applyBorder="0" applyAlignment="0" applyProtection="0"/>
    <xf numFmtId="166" fontId="5" fillId="0" borderId="0" applyFont="0" applyFill="0" applyBorder="0" applyAlignment="0" applyProtection="0"/>
    <xf numFmtId="0" fontId="75" fillId="55" borderId="45" applyNumberFormat="0" applyAlignment="0" applyProtection="0"/>
    <xf numFmtId="166" fontId="5" fillId="0" borderId="0" applyFont="0" applyFill="0" applyBorder="0" applyAlignment="0" applyProtection="0"/>
    <xf numFmtId="0" fontId="84" fillId="42" borderId="45" applyNumberForma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0" fontId="87" fillId="0" borderId="0"/>
    <xf numFmtId="9" fontId="87" fillId="0" borderId="0" applyFont="0" applyFill="0" applyBorder="0" applyAlignment="0" applyProtection="0"/>
    <xf numFmtId="43" fontId="87" fillId="0" borderId="0" applyFont="0" applyFill="0" applyBorder="0" applyAlignment="0" applyProtection="0"/>
    <xf numFmtId="44" fontId="87"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95" fontId="88" fillId="55" borderId="52"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84" fillId="42" borderId="45" applyNumberForma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90" fillId="0" borderId="53" applyNumberFormat="0" applyFill="0" applyAlignment="0" applyProtection="0"/>
    <xf numFmtId="0" fontId="5" fillId="0" borderId="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75" fillId="55" borderId="45" applyNumberFormat="0" applyAlignment="0" applyProtection="0"/>
    <xf numFmtId="166" fontId="5" fillId="0" borderId="0" applyFont="0" applyFill="0" applyBorder="0" applyAlignment="0" applyProtection="0"/>
    <xf numFmtId="0" fontId="84" fillId="42" borderId="45" applyNumberFormat="0" applyAlignment="0" applyProtection="0"/>
    <xf numFmtId="166" fontId="5" fillId="0" borderId="0" applyFont="0" applyFill="0" applyBorder="0" applyAlignment="0" applyProtection="0"/>
    <xf numFmtId="0" fontId="5" fillId="58" borderId="51" applyNumberFormat="0" applyFont="0" applyAlignment="0" applyProtection="0"/>
    <xf numFmtId="0" fontId="88" fillId="55" borderId="52" applyNumberFormat="0" applyAlignment="0" applyProtection="0"/>
    <xf numFmtId="166" fontId="5" fillId="0" borderId="0" applyFont="0" applyFill="0" applyBorder="0" applyAlignment="0" applyProtection="0"/>
    <xf numFmtId="0" fontId="90" fillId="0" borderId="53" applyNumberFormat="0" applyFill="0" applyAlignment="0" applyProtection="0"/>
    <xf numFmtId="166" fontId="5" fillId="0" borderId="0" applyFont="0" applyFill="0" applyBorder="0" applyAlignment="0" applyProtection="0"/>
    <xf numFmtId="166" fontId="5" fillId="0" borderId="0" applyFont="0" applyFill="0" applyBorder="0" applyAlignment="0" applyProtection="0"/>
    <xf numFmtId="195" fontId="5" fillId="58" borderId="51" applyNumberFormat="0" applyFont="0" applyAlignment="0" applyProtection="0"/>
    <xf numFmtId="0" fontId="5" fillId="58" borderId="51" applyNumberFormat="0" applyFont="0" applyAlignment="0" applyProtection="0"/>
    <xf numFmtId="0"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75" fillId="55"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75" fillId="55"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8" fillId="55" borderId="52" applyNumberFormat="0" applyAlignment="0" applyProtection="0"/>
    <xf numFmtId="195" fontId="90" fillId="0" borderId="53" applyNumberFormat="0" applyFill="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0"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0" fontId="75" fillId="55" borderId="45" applyNumberFormat="0" applyAlignment="0" applyProtection="0"/>
    <xf numFmtId="195" fontId="88" fillId="55" borderId="52" applyNumberFormat="0" applyAlignment="0" applyProtection="0"/>
    <xf numFmtId="195" fontId="5" fillId="58" borderId="51" applyNumberFormat="0" applyFont="0" applyAlignment="0" applyProtection="0"/>
    <xf numFmtId="0" fontId="84" fillId="42" borderId="45" applyNumberFormat="0" applyAlignment="0" applyProtection="0"/>
    <xf numFmtId="195" fontId="90" fillId="0" borderId="53" applyNumberFormat="0" applyFill="0" applyAlignment="0" applyProtection="0"/>
    <xf numFmtId="195" fontId="84" fillId="42" borderId="45" applyNumberForma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0"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0"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84"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0"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75" fillId="55" borderId="45" applyNumberFormat="0" applyAlignment="0" applyProtection="0"/>
    <xf numFmtId="195" fontId="5" fillId="58" borderId="51" applyNumberFormat="0" applyFont="0" applyAlignment="0" applyProtection="0"/>
    <xf numFmtId="195" fontId="90" fillId="0" borderId="53" applyNumberFormat="0" applyFill="0" applyAlignment="0" applyProtection="0"/>
    <xf numFmtId="196"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6" fontId="84" fillId="42" borderId="45" applyNumberForma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88" fillId="55" borderId="52" applyNumberFormat="0" applyAlignment="0" applyProtection="0"/>
    <xf numFmtId="196" fontId="90" fillId="0" borderId="53" applyNumberFormat="0" applyFill="0" applyAlignment="0" applyProtection="0"/>
    <xf numFmtId="196"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0" fontId="75" fillId="55" borderId="45" applyNumberFormat="0" applyAlignment="0" applyProtection="0"/>
    <xf numFmtId="0" fontId="84" fillId="42" borderId="45" applyNumberForma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0"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96" fontId="75" fillId="55" borderId="45" applyNumberFormat="0" applyAlignment="0" applyProtection="0"/>
    <xf numFmtId="196" fontId="84" fillId="42" borderId="45" applyNumberForma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88" fillId="55" borderId="52" applyNumberFormat="0" applyAlignment="0" applyProtection="0"/>
    <xf numFmtId="196" fontId="90" fillId="0" borderId="53" applyNumberFormat="0" applyFill="0" applyAlignment="0" applyProtection="0"/>
    <xf numFmtId="196" fontId="5" fillId="58" borderId="51" applyNumberFormat="0" applyFont="0" applyAlignment="0" applyProtection="0"/>
    <xf numFmtId="0" fontId="75" fillId="55" borderId="45" applyNumberFormat="0" applyAlignment="0" applyProtection="0"/>
    <xf numFmtId="0" fontId="84" fillId="42" borderId="45" applyNumberForma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0"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96" fontId="75" fillId="55" borderId="45" applyNumberFormat="0" applyAlignment="0" applyProtection="0"/>
    <xf numFmtId="196" fontId="84" fillId="42" borderId="45" applyNumberForma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88" fillId="55" borderId="52" applyNumberFormat="0" applyAlignment="0" applyProtection="0"/>
    <xf numFmtId="196" fontId="90" fillId="0" borderId="53" applyNumberFormat="0" applyFill="0" applyAlignment="0" applyProtection="0"/>
    <xf numFmtId="196"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0" fontId="75" fillId="55" borderId="45" applyNumberFormat="0" applyAlignment="0" applyProtection="0"/>
    <xf numFmtId="0" fontId="84" fillId="42" borderId="45" applyNumberForma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xf numFmtId="0"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5" fillId="58" borderId="51" applyNumberFormat="0" applyFont="0" applyAlignment="0" applyProtection="0"/>
    <xf numFmtId="195" fontId="90" fillId="0" borderId="53" applyNumberFormat="0" applyFill="0" applyAlignment="0" applyProtection="0"/>
    <xf numFmtId="195" fontId="88" fillId="55" borderId="52" applyNumberForma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4" fillId="42" borderId="45" applyNumberFormat="0" applyAlignment="0" applyProtection="0"/>
    <xf numFmtId="195" fontId="84" fillId="42" borderId="45"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88" fillId="55" borderId="52" applyNumberFormat="0" applyAlignment="0" applyProtection="0"/>
    <xf numFmtId="195" fontId="84" fillId="42" borderId="45" applyNumberFormat="0" applyAlignment="0" applyProtection="0"/>
    <xf numFmtId="195" fontId="75" fillId="55" borderId="45" applyNumberForma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95" fontId="75" fillId="55" borderId="45" applyNumberFormat="0" applyAlignment="0" applyProtection="0"/>
    <xf numFmtId="195" fontId="84" fillId="42" borderId="45" applyNumberForma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5" fillId="58" borderId="51" applyNumberFormat="0" applyFont="0" applyAlignment="0" applyProtection="0"/>
    <xf numFmtId="195" fontId="88" fillId="55" borderId="52" applyNumberFormat="0" applyAlignment="0" applyProtection="0"/>
    <xf numFmtId="195" fontId="90" fillId="0" borderId="53" applyNumberFormat="0" applyFill="0" applyAlignment="0" applyProtection="0"/>
    <xf numFmtId="195"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84" fontId="75" fillId="55" borderId="45" applyNumberFormat="0" applyAlignment="0" applyProtection="0"/>
    <xf numFmtId="184" fontId="84" fillId="42" borderId="45" applyNumberForma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5" fillId="58" borderId="51" applyNumberFormat="0" applyFont="0" applyAlignment="0" applyProtection="0"/>
    <xf numFmtId="184" fontId="88" fillId="55" borderId="52" applyNumberFormat="0" applyAlignment="0" applyProtection="0"/>
    <xf numFmtId="184" fontId="90" fillId="0" borderId="53" applyNumberFormat="0" applyFill="0" applyAlignment="0" applyProtection="0"/>
    <xf numFmtId="184" fontId="5" fillId="58" borderId="51" applyNumberFormat="0" applyFont="0" applyAlignment="0" applyProtection="0"/>
    <xf numFmtId="196" fontId="75" fillId="55" borderId="45" applyNumberFormat="0" applyAlignment="0" applyProtection="0"/>
    <xf numFmtId="196" fontId="84" fillId="42" borderId="45" applyNumberForma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5" fillId="58" borderId="51" applyNumberFormat="0" applyFont="0" applyAlignment="0" applyProtection="0"/>
    <xf numFmtId="196" fontId="88" fillId="55" borderId="52" applyNumberFormat="0" applyAlignment="0" applyProtection="0"/>
    <xf numFmtId="196" fontId="90" fillId="0" borderId="53" applyNumberFormat="0" applyFill="0" applyAlignment="0" applyProtection="0"/>
    <xf numFmtId="196" fontId="5" fillId="58" borderId="51" applyNumberFormat="0" applyFont="0" applyAlignment="0" applyProtection="0"/>
    <xf numFmtId="0" fontId="75" fillId="55" borderId="45" applyNumberFormat="0" applyAlignment="0" applyProtection="0"/>
    <xf numFmtId="0" fontId="84" fillId="42" borderId="45" applyNumberFormat="0" applyAlignment="0" applyProtection="0"/>
    <xf numFmtId="0" fontId="5" fillId="58" borderId="51" applyNumberFormat="0" applyFont="0" applyAlignment="0" applyProtection="0"/>
    <xf numFmtId="0" fontId="88" fillId="55" borderId="52" applyNumberFormat="0" applyAlignment="0" applyProtection="0"/>
    <xf numFmtId="0" fontId="90" fillId="0" borderId="53" applyNumberFormat="0" applyFill="0" applyAlignment="0" applyProtection="0"/>
  </cellStyleXfs>
  <cellXfs count="1516">
    <xf numFmtId="184" fontId="0" fillId="0" borderId="0" xfId="0"/>
    <xf numFmtId="184" fontId="15" fillId="0" borderId="0" xfId="0" applyFont="1" applyFill="1" applyBorder="1"/>
    <xf numFmtId="184" fontId="0" fillId="0" borderId="0" xfId="0" applyFill="1" applyBorder="1"/>
    <xf numFmtId="184" fontId="0" fillId="0" borderId="0" xfId="0" applyBorder="1"/>
    <xf numFmtId="184" fontId="7" fillId="0" borderId="0" xfId="0" applyFont="1" applyFill="1" applyBorder="1" applyAlignment="1">
      <alignment horizontal="left"/>
    </xf>
    <xf numFmtId="184" fontId="8" fillId="0" borderId="0" xfId="0" applyFont="1" applyFill="1" applyBorder="1" applyAlignment="1">
      <alignment horizontal="left"/>
    </xf>
    <xf numFmtId="184" fontId="9" fillId="0" borderId="0" xfId="0" applyFont="1" applyFill="1" applyBorder="1"/>
    <xf numFmtId="184" fontId="10" fillId="0" borderId="0" xfId="0" applyFont="1" applyFill="1" applyBorder="1"/>
    <xf numFmtId="184" fontId="12" fillId="0" borderId="0" xfId="0" applyFont="1" applyFill="1" applyBorder="1"/>
    <xf numFmtId="167" fontId="10" fillId="0" borderId="0" xfId="0" applyNumberFormat="1" applyFont="1" applyFill="1" applyBorder="1"/>
    <xf numFmtId="168" fontId="12" fillId="0" borderId="0" xfId="0" applyNumberFormat="1" applyFont="1" applyFill="1" applyBorder="1"/>
    <xf numFmtId="168" fontId="10" fillId="0" borderId="0" xfId="0" applyNumberFormat="1" applyFont="1" applyFill="1" applyBorder="1"/>
    <xf numFmtId="168" fontId="7" fillId="0" borderId="0" xfId="0" applyNumberFormat="1" applyFont="1" applyBorder="1"/>
    <xf numFmtId="184" fontId="0" fillId="0" borderId="0" xfId="0" applyFill="1" applyBorder="1" applyAlignment="1"/>
    <xf numFmtId="184" fontId="16" fillId="0" borderId="1" xfId="0" applyFont="1" applyFill="1" applyBorder="1" applyAlignment="1">
      <alignment horizontal="center"/>
    </xf>
    <xf numFmtId="184" fontId="16" fillId="0" borderId="0" xfId="0" applyFont="1" applyFill="1" applyBorder="1" applyAlignment="1">
      <alignment horizontal="center"/>
    </xf>
    <xf numFmtId="184" fontId="17" fillId="0" borderId="0" xfId="0" applyFont="1" applyFill="1" applyBorder="1" applyAlignment="1">
      <alignment horizontal="center"/>
    </xf>
    <xf numFmtId="184" fontId="0" fillId="0" borderId="2" xfId="0" applyBorder="1"/>
    <xf numFmtId="184" fontId="0" fillId="0" borderId="3" xfId="0" applyBorder="1"/>
    <xf numFmtId="184" fontId="0" fillId="0" borderId="4" xfId="0" applyBorder="1"/>
    <xf numFmtId="184" fontId="16" fillId="0" borderId="5" xfId="0" applyFont="1" applyFill="1" applyBorder="1" applyAlignment="1">
      <alignment horizontal="center"/>
    </xf>
    <xf numFmtId="184" fontId="16" fillId="0" borderId="6" xfId="0" applyFont="1" applyFill="1" applyBorder="1" applyAlignment="1">
      <alignment horizontal="center"/>
    </xf>
    <xf numFmtId="184" fontId="0" fillId="0" borderId="7" xfId="0" applyBorder="1"/>
    <xf numFmtId="184" fontId="16" fillId="0" borderId="8" xfId="0" applyFont="1" applyFill="1" applyBorder="1" applyAlignment="1">
      <alignment horizontal="center"/>
    </xf>
    <xf numFmtId="184" fontId="0" fillId="0" borderId="9" xfId="0" applyBorder="1"/>
    <xf numFmtId="184" fontId="0" fillId="0" borderId="10" xfId="0" applyBorder="1"/>
    <xf numFmtId="184" fontId="0" fillId="0" borderId="11" xfId="0" applyBorder="1"/>
    <xf numFmtId="184" fontId="0" fillId="0" borderId="6" xfId="0" applyBorder="1"/>
    <xf numFmtId="169" fontId="10" fillId="0" borderId="11" xfId="1" applyNumberFormat="1" applyFont="1" applyFill="1" applyBorder="1"/>
    <xf numFmtId="170" fontId="10" fillId="0" borderId="11" xfId="1" applyNumberFormat="1" applyFont="1" applyFill="1" applyBorder="1"/>
    <xf numFmtId="168" fontId="10" fillId="0" borderId="11" xfId="7" applyNumberFormat="1" applyFont="1" applyFill="1" applyBorder="1" applyAlignment="1">
      <alignment horizontal="right"/>
    </xf>
    <xf numFmtId="169" fontId="10" fillId="0" borderId="0" xfId="1" applyNumberFormat="1" applyFont="1" applyFill="1" applyBorder="1"/>
    <xf numFmtId="170" fontId="10" fillId="0" borderId="0" xfId="0" applyNumberFormat="1" applyFont="1" applyFill="1" applyBorder="1"/>
    <xf numFmtId="170" fontId="10" fillId="0" borderId="0" xfId="1" applyNumberFormat="1" applyFont="1" applyFill="1" applyBorder="1"/>
    <xf numFmtId="172" fontId="10" fillId="0" borderId="0" xfId="0" applyNumberFormat="1" applyFont="1" applyFill="1" applyBorder="1"/>
    <xf numFmtId="168" fontId="10" fillId="0" borderId="0" xfId="7" applyNumberFormat="1" applyFont="1" applyFill="1" applyBorder="1"/>
    <xf numFmtId="173" fontId="10" fillId="0" borderId="0" xfId="0" applyNumberFormat="1" applyFont="1" applyFill="1" applyBorder="1"/>
    <xf numFmtId="175" fontId="15" fillId="0" borderId="0" xfId="0" applyNumberFormat="1" applyFont="1" applyFill="1" applyBorder="1" applyAlignment="1">
      <alignment horizontal="right"/>
    </xf>
    <xf numFmtId="169" fontId="10" fillId="0" borderId="10" xfId="1" applyNumberFormat="1" applyFont="1" applyFill="1" applyBorder="1"/>
    <xf numFmtId="170" fontId="10" fillId="0" borderId="10" xfId="1" applyNumberFormat="1" applyFont="1" applyFill="1" applyBorder="1"/>
    <xf numFmtId="170" fontId="10" fillId="0" borderId="0" xfId="0" applyNumberFormat="1" applyFont="1" applyFill="1" applyBorder="1" applyAlignment="1">
      <alignment horizontal="right"/>
    </xf>
    <xf numFmtId="168" fontId="10" fillId="0" borderId="0" xfId="7" applyNumberFormat="1" applyFont="1" applyFill="1" applyBorder="1" applyAlignment="1">
      <alignment horizontal="right"/>
    </xf>
    <xf numFmtId="171" fontId="10" fillId="0" borderId="0" xfId="7" applyNumberFormat="1" applyFont="1" applyFill="1" applyBorder="1"/>
    <xf numFmtId="169" fontId="10" fillId="0" borderId="9" xfId="1" applyNumberFormat="1" applyFont="1" applyFill="1" applyBorder="1"/>
    <xf numFmtId="39" fontId="10" fillId="0" borderId="0" xfId="0" applyNumberFormat="1" applyFont="1" applyFill="1" applyBorder="1"/>
    <xf numFmtId="168" fontId="10" fillId="0" borderId="11" xfId="0" applyNumberFormat="1" applyFont="1" applyFill="1" applyBorder="1"/>
    <xf numFmtId="168" fontId="15" fillId="0" borderId="11" xfId="7" applyNumberFormat="1" applyFont="1" applyFill="1" applyBorder="1" applyAlignment="1">
      <alignment horizontal="right"/>
    </xf>
    <xf numFmtId="168" fontId="15" fillId="0" borderId="0" xfId="7" applyNumberFormat="1" applyFont="1" applyFill="1" applyBorder="1" applyAlignment="1">
      <alignment horizontal="right"/>
    </xf>
    <xf numFmtId="170" fontId="15" fillId="0" borderId="9" xfId="0" applyNumberFormat="1" applyFont="1" applyFill="1" applyBorder="1"/>
    <xf numFmtId="168" fontId="15" fillId="0" borderId="9" xfId="0" applyNumberFormat="1" applyFont="1" applyFill="1" applyBorder="1"/>
    <xf numFmtId="168" fontId="15" fillId="0" borderId="9" xfId="7" applyNumberFormat="1" applyFont="1" applyFill="1" applyBorder="1"/>
    <xf numFmtId="170" fontId="15" fillId="0" borderId="0" xfId="0" applyNumberFormat="1" applyFont="1" applyFill="1" applyBorder="1"/>
    <xf numFmtId="168" fontId="15" fillId="0" borderId="0" xfId="0" applyNumberFormat="1" applyFont="1" applyFill="1" applyBorder="1"/>
    <xf numFmtId="168" fontId="15" fillId="0" borderId="0" xfId="7" applyNumberFormat="1" applyFont="1" applyFill="1" applyBorder="1"/>
    <xf numFmtId="177" fontId="15" fillId="0" borderId="10" xfId="0" applyNumberFormat="1" applyFont="1" applyFill="1" applyBorder="1" applyAlignment="1">
      <alignment horizontal="right"/>
    </xf>
    <xf numFmtId="169" fontId="15" fillId="0" borderId="0" xfId="1" applyNumberFormat="1" applyFont="1" applyFill="1" applyBorder="1"/>
    <xf numFmtId="169" fontId="15" fillId="0" borderId="10" xfId="1" applyNumberFormat="1" applyFont="1" applyFill="1" applyBorder="1"/>
    <xf numFmtId="169" fontId="15" fillId="0" borderId="11" xfId="1" applyNumberFormat="1" applyFont="1" applyFill="1" applyBorder="1"/>
    <xf numFmtId="169" fontId="15" fillId="0" borderId="9" xfId="1" applyNumberFormat="1" applyFont="1" applyFill="1" applyBorder="1"/>
    <xf numFmtId="170" fontId="15" fillId="0" borderId="10" xfId="0" applyNumberFormat="1" applyFont="1" applyFill="1" applyBorder="1"/>
    <xf numFmtId="170" fontId="15" fillId="0" borderId="11" xfId="0" applyNumberFormat="1" applyFont="1" applyFill="1" applyBorder="1"/>
    <xf numFmtId="170" fontId="15" fillId="0" borderId="0" xfId="1" applyNumberFormat="1" applyFont="1" applyFill="1" applyBorder="1"/>
    <xf numFmtId="170" fontId="15" fillId="0" borderId="11" xfId="1" applyNumberFormat="1" applyFont="1" applyFill="1" applyBorder="1"/>
    <xf numFmtId="2" fontId="15" fillId="0" borderId="0" xfId="0" applyNumberFormat="1" applyFont="1" applyFill="1" applyBorder="1"/>
    <xf numFmtId="43" fontId="15" fillId="0" borderId="0" xfId="0" applyNumberFormat="1" applyFont="1" applyFill="1" applyBorder="1"/>
    <xf numFmtId="2" fontId="15" fillId="0" borderId="11" xfId="1" applyNumberFormat="1" applyFont="1" applyFill="1" applyBorder="1"/>
    <xf numFmtId="170" fontId="15" fillId="0" borderId="9" xfId="1" applyNumberFormat="1" applyFont="1" applyFill="1" applyBorder="1"/>
    <xf numFmtId="184" fontId="15" fillId="0" borderId="11" xfId="1" applyNumberFormat="1" applyFont="1" applyFill="1" applyBorder="1"/>
    <xf numFmtId="174" fontId="15" fillId="0" borderId="0" xfId="1" applyNumberFormat="1" applyFont="1" applyFill="1" applyBorder="1"/>
    <xf numFmtId="169" fontId="15" fillId="0" borderId="0" xfId="1" applyNumberFormat="1" applyFont="1" applyFill="1" applyBorder="1" applyAlignment="1">
      <alignment horizontal="right"/>
    </xf>
    <xf numFmtId="169" fontId="15" fillId="0" borderId="11" xfId="1" applyNumberFormat="1" applyFont="1" applyFill="1" applyBorder="1" applyAlignment="1">
      <alignment horizontal="right"/>
    </xf>
    <xf numFmtId="169" fontId="15" fillId="0" borderId="9" xfId="1" applyNumberFormat="1" applyFont="1" applyFill="1" applyBorder="1" applyAlignment="1">
      <alignment horizontal="right"/>
    </xf>
    <xf numFmtId="171" fontId="15" fillId="0" borderId="0" xfId="0" applyNumberFormat="1" applyFont="1" applyFill="1" applyBorder="1"/>
    <xf numFmtId="171" fontId="15" fillId="0" borderId="11" xfId="7" applyNumberFormat="1" applyFont="1" applyFill="1" applyBorder="1"/>
    <xf numFmtId="171" fontId="15" fillId="0" borderId="9" xfId="0" applyNumberFormat="1" applyFont="1" applyFill="1" applyBorder="1"/>
    <xf numFmtId="172" fontId="15" fillId="0" borderId="0" xfId="0" applyNumberFormat="1" applyFont="1" applyFill="1" applyBorder="1"/>
    <xf numFmtId="39" fontId="15" fillId="0" borderId="11" xfId="0" applyNumberFormat="1" applyFont="1" applyFill="1" applyBorder="1"/>
    <xf numFmtId="170" fontId="15" fillId="0" borderId="0" xfId="0" applyNumberFormat="1" applyFont="1" applyFill="1" applyBorder="1" applyAlignment="1">
      <alignment horizontal="right"/>
    </xf>
    <xf numFmtId="168" fontId="15" fillId="0" borderId="11" xfId="7" applyNumberFormat="1" applyFont="1" applyFill="1" applyBorder="1"/>
    <xf numFmtId="173" fontId="15" fillId="0" borderId="0" xfId="0" applyNumberFormat="1" applyFont="1" applyFill="1" applyBorder="1"/>
    <xf numFmtId="173" fontId="15" fillId="0" borderId="11" xfId="0" applyNumberFormat="1" applyFont="1" applyFill="1" applyBorder="1"/>
    <xf numFmtId="173" fontId="15" fillId="0" borderId="9" xfId="0" applyNumberFormat="1" applyFont="1" applyFill="1" applyBorder="1"/>
    <xf numFmtId="184" fontId="10" fillId="0" borderId="0" xfId="0" applyFont="1"/>
    <xf numFmtId="169" fontId="10" fillId="0" borderId="10" xfId="0" applyNumberFormat="1" applyFont="1" applyFill="1" applyBorder="1"/>
    <xf numFmtId="169" fontId="10" fillId="0" borderId="9" xfId="0" applyNumberFormat="1" applyFont="1" applyFill="1" applyBorder="1"/>
    <xf numFmtId="184" fontId="10" fillId="0" borderId="9" xfId="0" applyFont="1" applyFill="1" applyBorder="1"/>
    <xf numFmtId="39" fontId="15" fillId="0" borderId="10" xfId="1" applyNumberFormat="1" applyFont="1" applyFill="1" applyBorder="1"/>
    <xf numFmtId="184" fontId="16" fillId="0" borderId="7" xfId="0" applyFont="1" applyFill="1" applyBorder="1" applyAlignment="1">
      <alignment horizontal="center"/>
    </xf>
    <xf numFmtId="184" fontId="10" fillId="0" borderId="9" xfId="0" applyFont="1" applyBorder="1"/>
    <xf numFmtId="179" fontId="15" fillId="0" borderId="10" xfId="0" applyNumberFormat="1" applyFont="1" applyFill="1" applyBorder="1"/>
    <xf numFmtId="184" fontId="19" fillId="0" borderId="0" xfId="0" applyFont="1" applyAlignment="1">
      <alignment horizontal="center"/>
    </xf>
    <xf numFmtId="184" fontId="0" fillId="0" borderId="0" xfId="0" applyAlignment="1">
      <alignment horizontal="right"/>
    </xf>
    <xf numFmtId="184" fontId="0" fillId="0" borderId="0" xfId="0" applyAlignment="1">
      <alignment wrapText="1"/>
    </xf>
    <xf numFmtId="184" fontId="0" fillId="2" borderId="0" xfId="0" applyFill="1"/>
    <xf numFmtId="184" fontId="22" fillId="0" borderId="0" xfId="0" applyFont="1" applyAlignment="1">
      <alignment horizontal="center"/>
    </xf>
    <xf numFmtId="184" fontId="19" fillId="0" borderId="0" xfId="0" applyFont="1"/>
    <xf numFmtId="184" fontId="0" fillId="0" borderId="0" xfId="0" applyNumberFormat="1" applyFill="1" applyAlignment="1">
      <alignment horizontal="center"/>
    </xf>
    <xf numFmtId="184" fontId="0" fillId="0" borderId="0" xfId="0" applyAlignment="1">
      <alignment horizontal="center"/>
    </xf>
    <xf numFmtId="184" fontId="0" fillId="0" borderId="0" xfId="0" applyFill="1" applyAlignment="1">
      <alignment wrapText="1"/>
    </xf>
    <xf numFmtId="184" fontId="0" fillId="0" borderId="0" xfId="0" applyNumberFormat="1" applyBorder="1" applyAlignment="1">
      <alignment horizontal="center"/>
    </xf>
    <xf numFmtId="184" fontId="0" fillId="0" borderId="0" xfId="0" applyNumberFormat="1" applyFill="1" applyBorder="1" applyAlignment="1">
      <alignment horizontal="center"/>
    </xf>
    <xf numFmtId="184" fontId="19" fillId="0" borderId="0" xfId="0" applyFont="1" applyBorder="1" applyAlignment="1">
      <alignment horizontal="left"/>
    </xf>
    <xf numFmtId="184" fontId="18" fillId="0" borderId="0" xfId="5" applyFont="1" applyBorder="1" applyAlignment="1" applyProtection="1">
      <alignment horizontal="center"/>
    </xf>
    <xf numFmtId="184" fontId="0" fillId="0" borderId="0" xfId="0" applyFill="1"/>
    <xf numFmtId="10" fontId="0" fillId="0" borderId="0" xfId="0" applyNumberFormat="1"/>
    <xf numFmtId="184" fontId="10" fillId="0" borderId="0" xfId="0" applyFont="1" applyAlignment="1"/>
    <xf numFmtId="184" fontId="0" fillId="0" borderId="0" xfId="0" applyAlignment="1"/>
    <xf numFmtId="184" fontId="0" fillId="0" borderId="0" xfId="0" applyFill="1" applyAlignment="1"/>
    <xf numFmtId="184" fontId="17" fillId="0" borderId="0" xfId="0" applyFont="1"/>
    <xf numFmtId="184" fontId="23" fillId="0" borderId="0" xfId="0" applyFont="1"/>
    <xf numFmtId="184" fontId="24" fillId="3" borderId="12" xfId="0" applyFont="1" applyFill="1" applyBorder="1" applyAlignment="1">
      <alignment horizontal="left"/>
    </xf>
    <xf numFmtId="184" fontId="25" fillId="3" borderId="13" xfId="0" applyFont="1" applyFill="1" applyBorder="1"/>
    <xf numFmtId="184" fontId="10" fillId="0" borderId="0" xfId="0" applyFont="1" applyFill="1" applyAlignment="1">
      <alignment wrapText="1"/>
    </xf>
    <xf numFmtId="184" fontId="25" fillId="3" borderId="14" xfId="0" applyFont="1" applyFill="1" applyBorder="1"/>
    <xf numFmtId="184" fontId="26" fillId="0" borderId="0" xfId="0" applyFont="1"/>
    <xf numFmtId="184" fontId="26" fillId="0" borderId="2" xfId="0" applyFont="1" applyBorder="1"/>
    <xf numFmtId="184" fontId="26" fillId="0" borderId="3" xfId="0" applyFont="1" applyBorder="1"/>
    <xf numFmtId="184" fontId="26" fillId="0" borderId="3" xfId="0" applyFont="1" applyBorder="1" applyAlignment="1">
      <alignment horizontal="right"/>
    </xf>
    <xf numFmtId="184" fontId="26" fillId="0" borderId="4" xfId="0" applyFont="1" applyBorder="1"/>
    <xf numFmtId="184" fontId="26" fillId="0" borderId="11" xfId="0" applyFont="1" applyBorder="1"/>
    <xf numFmtId="184" fontId="26" fillId="0" borderId="11" xfId="0" applyFont="1" applyFill="1" applyBorder="1"/>
    <xf numFmtId="184" fontId="26" fillId="0" borderId="0" xfId="0" applyFont="1" applyFill="1" applyBorder="1"/>
    <xf numFmtId="184" fontId="26" fillId="0" borderId="1" xfId="0" applyFont="1" applyBorder="1"/>
    <xf numFmtId="184" fontId="27" fillId="0" borderId="0" xfId="0" applyFont="1"/>
    <xf numFmtId="184" fontId="28" fillId="0" borderId="0" xfId="0" applyFont="1"/>
    <xf numFmtId="184" fontId="26" fillId="0" borderId="0" xfId="0" applyFont="1" applyAlignment="1">
      <alignment wrapText="1"/>
    </xf>
    <xf numFmtId="184" fontId="0" fillId="0" borderId="0" xfId="0" applyFill="1" applyAlignment="1">
      <alignment horizontal="left" wrapText="1"/>
    </xf>
    <xf numFmtId="184" fontId="26" fillId="0" borderId="0" xfId="0" applyFont="1" applyFill="1"/>
    <xf numFmtId="188" fontId="29" fillId="0" borderId="0" xfId="0" applyNumberFormat="1" applyFont="1" applyAlignment="1">
      <alignment horizontal="center"/>
    </xf>
    <xf numFmtId="184" fontId="29" fillId="0" borderId="0" xfId="0" applyFont="1"/>
    <xf numFmtId="184" fontId="30" fillId="0" borderId="0" xfId="0" applyFont="1"/>
    <xf numFmtId="176" fontId="29" fillId="0" borderId="0" xfId="4" applyNumberFormat="1" applyFont="1"/>
    <xf numFmtId="184" fontId="7" fillId="0" borderId="0" xfId="0" applyFont="1"/>
    <xf numFmtId="188" fontId="28" fillId="0" borderId="0" xfId="4" applyNumberFormat="1" applyFont="1" applyFill="1" applyBorder="1" applyAlignment="1">
      <alignment horizontal="center"/>
    </xf>
    <xf numFmtId="184" fontId="10" fillId="0" borderId="0" xfId="0" applyFont="1" applyFill="1" applyAlignment="1">
      <alignment horizontal="left" wrapText="1"/>
    </xf>
    <xf numFmtId="184" fontId="19" fillId="0" borderId="0" xfId="0" applyFont="1" applyFill="1" applyAlignment="1">
      <alignment wrapText="1"/>
    </xf>
    <xf numFmtId="184" fontId="19" fillId="0" borderId="0" xfId="0" applyFont="1" applyFill="1" applyAlignment="1"/>
    <xf numFmtId="184" fontId="29" fillId="0" borderId="0" xfId="0" applyFont="1" applyFill="1"/>
    <xf numFmtId="184" fontId="31" fillId="0" borderId="0" xfId="0" applyFont="1"/>
    <xf numFmtId="184" fontId="28" fillId="0" borderId="0" xfId="0" applyFont="1" applyFill="1"/>
    <xf numFmtId="184" fontId="16" fillId="0" borderId="0" xfId="0" applyFont="1" applyFill="1" applyBorder="1"/>
    <xf numFmtId="184" fontId="16" fillId="0" borderId="0" xfId="0" applyFont="1"/>
    <xf numFmtId="184" fontId="10" fillId="0" borderId="0" xfId="0" applyFont="1" applyFill="1"/>
    <xf numFmtId="168" fontId="10" fillId="0" borderId="0" xfId="0" applyNumberFormat="1" applyFont="1"/>
    <xf numFmtId="168" fontId="10" fillId="0" borderId="0" xfId="0" applyNumberFormat="1" applyFont="1" applyFill="1"/>
    <xf numFmtId="184" fontId="9" fillId="0" borderId="0" xfId="0" applyFont="1"/>
    <xf numFmtId="184" fontId="10" fillId="0" borderId="0" xfId="0" applyFont="1" applyBorder="1"/>
    <xf numFmtId="168" fontId="10" fillId="0" borderId="1" xfId="7" applyNumberFormat="1" applyFont="1" applyFill="1" applyBorder="1" applyAlignment="1">
      <alignment horizontal="right"/>
    </xf>
    <xf numFmtId="169" fontId="0" fillId="0" borderId="0" xfId="0" applyNumberFormat="1" applyFill="1" applyBorder="1"/>
    <xf numFmtId="168" fontId="0" fillId="0" borderId="0" xfId="0" applyNumberFormat="1" applyFill="1" applyBorder="1"/>
    <xf numFmtId="170" fontId="0" fillId="0" borderId="0" xfId="0" applyNumberFormat="1" applyFill="1" applyBorder="1"/>
    <xf numFmtId="169" fontId="10" fillId="0" borderId="0" xfId="0" applyNumberFormat="1" applyFont="1" applyFill="1" applyBorder="1"/>
    <xf numFmtId="169" fontId="10" fillId="0" borderId="5" xfId="0" applyNumberFormat="1" applyFont="1" applyFill="1" applyBorder="1"/>
    <xf numFmtId="168" fontId="10" fillId="0" borderId="1" xfId="0" applyNumberFormat="1" applyFont="1" applyFill="1" applyBorder="1"/>
    <xf numFmtId="169" fontId="10" fillId="0" borderId="8" xfId="0" applyNumberFormat="1" applyFont="1" applyFill="1" applyBorder="1"/>
    <xf numFmtId="169" fontId="10" fillId="0" borderId="4" xfId="1" applyNumberFormat="1" applyFont="1" applyFill="1" applyBorder="1"/>
    <xf numFmtId="169" fontId="10" fillId="0" borderId="6" xfId="1" applyNumberFormat="1" applyFont="1" applyFill="1" applyBorder="1"/>
    <xf numFmtId="169" fontId="10" fillId="0" borderId="1" xfId="1" applyNumberFormat="1" applyFont="1" applyFill="1" applyBorder="1"/>
    <xf numFmtId="169" fontId="10" fillId="0" borderId="8" xfId="1" applyNumberFormat="1" applyFont="1" applyFill="1" applyBorder="1"/>
    <xf numFmtId="37" fontId="10" fillId="0" borderId="9" xfId="1" applyNumberFormat="1" applyFont="1" applyFill="1" applyBorder="1"/>
    <xf numFmtId="177" fontId="10" fillId="0" borderId="0" xfId="0" applyNumberFormat="1" applyFont="1" applyFill="1" applyBorder="1" applyAlignment="1">
      <alignment horizontal="right"/>
    </xf>
    <xf numFmtId="168" fontId="32" fillId="0" borderId="0" xfId="7" applyNumberFormat="1" applyFont="1" applyFill="1" applyBorder="1" applyAlignment="1">
      <alignment horizontal="right"/>
    </xf>
    <xf numFmtId="184" fontId="10" fillId="0" borderId="10" xfId="0" applyFont="1" applyBorder="1"/>
    <xf numFmtId="184" fontId="10" fillId="0" borderId="4" xfId="0" applyFont="1" applyBorder="1"/>
    <xf numFmtId="184" fontId="10" fillId="0" borderId="11" xfId="0" applyFont="1" applyBorder="1"/>
    <xf numFmtId="169" fontId="10" fillId="0" borderId="0" xfId="0" applyNumberFormat="1" applyFont="1"/>
    <xf numFmtId="169" fontId="10" fillId="0" borderId="11" xfId="0" applyNumberFormat="1" applyFont="1" applyBorder="1"/>
    <xf numFmtId="169" fontId="10" fillId="0" borderId="12" xfId="1" applyNumberFormat="1" applyFont="1" applyFill="1" applyBorder="1"/>
    <xf numFmtId="168" fontId="10" fillId="0" borderId="14" xfId="7" applyNumberFormat="1" applyFont="1" applyFill="1" applyBorder="1" applyAlignment="1">
      <alignment horizontal="right"/>
    </xf>
    <xf numFmtId="37" fontId="10" fillId="0" borderId="15" xfId="1" applyNumberFormat="1" applyFont="1" applyFill="1" applyBorder="1"/>
    <xf numFmtId="169" fontId="10" fillId="0" borderId="13" xfId="0" applyNumberFormat="1" applyFont="1" applyBorder="1"/>
    <xf numFmtId="169" fontId="10" fillId="0" borderId="14" xfId="0" applyNumberFormat="1" applyFont="1" applyBorder="1"/>
    <xf numFmtId="37" fontId="10" fillId="0" borderId="10" xfId="1" applyNumberFormat="1" applyFont="1" applyFill="1" applyBorder="1"/>
    <xf numFmtId="169" fontId="10" fillId="0" borderId="10" xfId="0" applyNumberFormat="1" applyFont="1" applyBorder="1"/>
    <xf numFmtId="37" fontId="10" fillId="0" borderId="9" xfId="0" applyNumberFormat="1" applyFont="1" applyFill="1" applyBorder="1"/>
    <xf numFmtId="169" fontId="10" fillId="0" borderId="9" xfId="0" applyNumberFormat="1" applyFont="1" applyBorder="1"/>
    <xf numFmtId="37" fontId="10" fillId="0" borderId="12" xfId="1" applyNumberFormat="1" applyFont="1" applyFill="1" applyBorder="1"/>
    <xf numFmtId="37" fontId="10" fillId="0" borderId="9" xfId="0" applyNumberFormat="1" applyFont="1" applyBorder="1"/>
    <xf numFmtId="37" fontId="10" fillId="0" borderId="0" xfId="0" applyNumberFormat="1" applyFont="1"/>
    <xf numFmtId="168" fontId="10" fillId="0" borderId="17" xfId="7" applyNumberFormat="1" applyFont="1" applyFill="1" applyBorder="1" applyAlignment="1">
      <alignment horizontal="right"/>
    </xf>
    <xf numFmtId="37" fontId="10" fillId="0" borderId="18" xfId="1" applyNumberFormat="1" applyFont="1" applyFill="1" applyBorder="1"/>
    <xf numFmtId="169" fontId="10" fillId="0" borderId="19" xfId="0" applyNumberFormat="1" applyFont="1" applyBorder="1"/>
    <xf numFmtId="169" fontId="10" fillId="0" borderId="17" xfId="0" applyNumberFormat="1" applyFont="1" applyBorder="1"/>
    <xf numFmtId="170" fontId="10" fillId="0" borderId="0" xfId="0" applyNumberFormat="1" applyFont="1" applyBorder="1"/>
    <xf numFmtId="168" fontId="10" fillId="0" borderId="0" xfId="0" applyNumberFormat="1" applyFont="1" applyBorder="1"/>
    <xf numFmtId="168" fontId="10" fillId="0" borderId="0" xfId="1" applyNumberFormat="1" applyFont="1" applyFill="1" applyBorder="1"/>
    <xf numFmtId="175" fontId="10" fillId="0" borderId="0" xfId="1" applyNumberFormat="1" applyFont="1" applyFill="1" applyBorder="1"/>
    <xf numFmtId="171" fontId="10" fillId="0" borderId="0" xfId="0" applyNumberFormat="1" applyFont="1" applyBorder="1"/>
    <xf numFmtId="171" fontId="10" fillId="0" borderId="0" xfId="0" applyNumberFormat="1" applyFont="1" applyFill="1" applyBorder="1"/>
    <xf numFmtId="170" fontId="10" fillId="0" borderId="0" xfId="7" applyNumberFormat="1" applyFont="1" applyFill="1" applyBorder="1"/>
    <xf numFmtId="168" fontId="12" fillId="0" borderId="0" xfId="0" applyNumberFormat="1" applyFont="1" applyBorder="1"/>
    <xf numFmtId="184" fontId="10" fillId="0" borderId="7" xfId="0" applyFont="1" applyBorder="1"/>
    <xf numFmtId="184" fontId="10" fillId="0" borderId="3" xfId="0" applyFont="1" applyBorder="1"/>
    <xf numFmtId="184" fontId="10" fillId="0" borderId="2" xfId="0" applyFont="1" applyBorder="1"/>
    <xf numFmtId="184" fontId="10" fillId="0" borderId="0" xfId="0" applyFont="1" applyFill="1" applyBorder="1" applyAlignment="1">
      <alignment horizontal="center"/>
    </xf>
    <xf numFmtId="37" fontId="10" fillId="0" borderId="8" xfId="0" applyNumberFormat="1" applyFont="1" applyBorder="1"/>
    <xf numFmtId="184" fontId="15" fillId="0" borderId="9" xfId="0" applyFont="1" applyFill="1" applyBorder="1"/>
    <xf numFmtId="184" fontId="10" fillId="0" borderId="11" xfId="0" applyFont="1" applyBorder="1" applyAlignment="1">
      <alignment horizontal="left" indent="1"/>
    </xf>
    <xf numFmtId="37" fontId="10" fillId="0" borderId="9" xfId="1" applyNumberFormat="1" applyFont="1" applyFill="1" applyBorder="1" applyAlignment="1">
      <alignment horizontal="right"/>
    </xf>
    <xf numFmtId="37" fontId="10" fillId="0" borderId="15" xfId="1" applyNumberFormat="1" applyFont="1" applyFill="1" applyBorder="1" applyAlignment="1">
      <alignment horizontal="right"/>
    </xf>
    <xf numFmtId="184" fontId="10" fillId="0" borderId="9" xfId="0" applyFont="1" applyBorder="1" applyAlignment="1">
      <alignment horizontal="right"/>
    </xf>
    <xf numFmtId="169" fontId="10" fillId="0" borderId="9" xfId="0" applyNumberFormat="1" applyFont="1" applyBorder="1" applyAlignment="1">
      <alignment horizontal="right"/>
    </xf>
    <xf numFmtId="37" fontId="10" fillId="0" borderId="9" xfId="0" applyNumberFormat="1" applyFont="1" applyFill="1" applyBorder="1" applyAlignment="1">
      <alignment horizontal="right"/>
    </xf>
    <xf numFmtId="37" fontId="10" fillId="0" borderId="8" xfId="1" applyNumberFormat="1" applyFont="1" applyFill="1" applyBorder="1"/>
    <xf numFmtId="37" fontId="10" fillId="0" borderId="8" xfId="1" applyNumberFormat="1" applyFont="1" applyFill="1" applyBorder="1" applyAlignment="1">
      <alignment horizontal="right"/>
    </xf>
    <xf numFmtId="177" fontId="10" fillId="0" borderId="0" xfId="0" applyNumberFormat="1" applyFont="1"/>
    <xf numFmtId="37" fontId="10" fillId="0" borderId="18" xfId="1" applyNumberFormat="1" applyFont="1" applyFill="1" applyBorder="1" applyAlignment="1">
      <alignment horizontal="right"/>
    </xf>
    <xf numFmtId="184" fontId="19" fillId="0" borderId="0" xfId="0" applyFont="1" applyBorder="1"/>
    <xf numFmtId="37" fontId="10" fillId="0" borderId="5" xfId="1" applyNumberFormat="1" applyFont="1" applyFill="1" applyBorder="1"/>
    <xf numFmtId="37" fontId="10" fillId="0" borderId="0" xfId="1" applyNumberFormat="1" applyFont="1" applyFill="1" applyBorder="1"/>
    <xf numFmtId="169" fontId="10" fillId="0" borderId="0" xfId="0" applyNumberFormat="1" applyFont="1" applyBorder="1"/>
    <xf numFmtId="169" fontId="10" fillId="0" borderId="0" xfId="0" applyNumberFormat="1" applyFont="1" applyBorder="1" applyAlignment="1">
      <alignment horizontal="right"/>
    </xf>
    <xf numFmtId="169" fontId="10" fillId="0" borderId="10" xfId="0" applyNumberFormat="1" applyFont="1" applyBorder="1" applyAlignment="1">
      <alignment horizontal="right"/>
    </xf>
    <xf numFmtId="37" fontId="10" fillId="0" borderId="11" xfId="1" applyNumberFormat="1" applyFont="1" applyFill="1" applyBorder="1"/>
    <xf numFmtId="169" fontId="10" fillId="0" borderId="11" xfId="0" applyNumberFormat="1" applyFont="1" applyBorder="1" applyAlignment="1">
      <alignment horizontal="right"/>
    </xf>
    <xf numFmtId="37" fontId="10" fillId="0" borderId="6" xfId="1" applyNumberFormat="1" applyFont="1" applyFill="1" applyBorder="1"/>
    <xf numFmtId="37" fontId="10" fillId="0" borderId="1" xfId="1" applyNumberFormat="1" applyFont="1" applyFill="1" applyBorder="1"/>
    <xf numFmtId="37" fontId="10" fillId="0" borderId="13" xfId="1" applyNumberFormat="1" applyFont="1" applyFill="1" applyBorder="1"/>
    <xf numFmtId="37" fontId="10" fillId="0" borderId="14" xfId="1" applyNumberFormat="1" applyFont="1" applyFill="1" applyBorder="1"/>
    <xf numFmtId="37" fontId="10" fillId="0" borderId="19" xfId="1" applyNumberFormat="1" applyFont="1" applyFill="1" applyBorder="1"/>
    <xf numFmtId="37" fontId="10" fillId="0" borderId="17" xfId="1" applyNumberFormat="1" applyFont="1" applyFill="1" applyBorder="1"/>
    <xf numFmtId="37" fontId="10" fillId="0" borderId="2" xfId="1" applyNumberFormat="1" applyFont="1" applyFill="1" applyBorder="1"/>
    <xf numFmtId="37" fontId="10" fillId="0" borderId="4" xfId="1" applyNumberFormat="1" applyFont="1" applyFill="1" applyBorder="1"/>
    <xf numFmtId="37" fontId="10" fillId="0" borderId="7" xfId="1" applyNumberFormat="1" applyFont="1" applyFill="1" applyBorder="1"/>
    <xf numFmtId="167" fontId="10" fillId="0" borderId="0" xfId="0" applyNumberFormat="1" applyFont="1"/>
    <xf numFmtId="177" fontId="10" fillId="0" borderId="0" xfId="7" applyNumberFormat="1" applyFont="1" applyFill="1"/>
    <xf numFmtId="37" fontId="10" fillId="0" borderId="5" xfId="0" applyNumberFormat="1" applyFont="1" applyBorder="1"/>
    <xf numFmtId="37" fontId="10" fillId="0" borderId="2" xfId="0" applyNumberFormat="1" applyFont="1" applyBorder="1"/>
    <xf numFmtId="37" fontId="10" fillId="0" borderId="10" xfId="0" applyNumberFormat="1" applyFont="1" applyBorder="1"/>
    <xf numFmtId="184" fontId="16" fillId="0" borderId="10" xfId="0" applyFont="1" applyFill="1" applyBorder="1" applyAlignment="1">
      <alignment horizontal="center"/>
    </xf>
    <xf numFmtId="184" fontId="16" fillId="0" borderId="11" xfId="0" applyFont="1" applyFill="1" applyBorder="1" applyAlignment="1">
      <alignment horizontal="center"/>
    </xf>
    <xf numFmtId="37" fontId="10" fillId="0" borderId="0" xfId="1" applyNumberFormat="1" applyFont="1" applyFill="1" applyBorder="1" applyAlignment="1">
      <alignment horizontal="right"/>
    </xf>
    <xf numFmtId="37" fontId="10" fillId="0" borderId="3" xfId="1" applyNumberFormat="1" applyFont="1" applyFill="1" applyBorder="1" applyAlignment="1">
      <alignment horizontal="right"/>
    </xf>
    <xf numFmtId="37" fontId="10" fillId="0" borderId="4" xfId="1" applyNumberFormat="1" applyFont="1" applyFill="1" applyBorder="1" applyAlignment="1">
      <alignment horizontal="right"/>
    </xf>
    <xf numFmtId="37" fontId="10" fillId="0" borderId="10" xfId="1" applyNumberFormat="1" applyFont="1" applyFill="1" applyBorder="1" applyAlignment="1">
      <alignment horizontal="right"/>
    </xf>
    <xf numFmtId="37" fontId="10" fillId="0" borderId="11" xfId="1" applyNumberFormat="1" applyFont="1" applyFill="1" applyBorder="1" applyAlignment="1">
      <alignment horizontal="right"/>
    </xf>
    <xf numFmtId="37" fontId="10" fillId="0" borderId="5" xfId="1" applyNumberFormat="1" applyFont="1" applyFill="1" applyBorder="1" applyAlignment="1">
      <alignment horizontal="right"/>
    </xf>
    <xf numFmtId="37" fontId="10" fillId="0" borderId="6" xfId="1" applyNumberFormat="1" applyFont="1" applyFill="1" applyBorder="1" applyAlignment="1">
      <alignment horizontal="right"/>
    </xf>
    <xf numFmtId="37" fontId="10" fillId="0" borderId="1" xfId="1" applyNumberFormat="1" applyFont="1" applyFill="1" applyBorder="1" applyAlignment="1">
      <alignment horizontal="right"/>
    </xf>
    <xf numFmtId="169" fontId="10" fillId="0" borderId="10" xfId="1" applyNumberFormat="1" applyFont="1" applyFill="1" applyBorder="1" applyAlignment="1">
      <alignment horizontal="right"/>
    </xf>
    <xf numFmtId="184" fontId="10" fillId="0" borderId="0" xfId="0" applyFont="1" applyBorder="1" applyAlignment="1">
      <alignment horizontal="right"/>
    </xf>
    <xf numFmtId="184" fontId="10" fillId="0" borderId="10" xfId="0" applyFont="1" applyBorder="1" applyAlignment="1">
      <alignment horizontal="right"/>
    </xf>
    <xf numFmtId="184" fontId="10" fillId="0" borderId="0" xfId="0" applyFont="1" applyAlignment="1">
      <alignment horizontal="right"/>
    </xf>
    <xf numFmtId="169" fontId="10" fillId="0" borderId="12" xfId="1" applyNumberFormat="1" applyFont="1" applyFill="1" applyBorder="1" applyAlignment="1">
      <alignment horizontal="right"/>
    </xf>
    <xf numFmtId="37" fontId="10" fillId="0" borderId="12" xfId="1" applyNumberFormat="1" applyFont="1" applyFill="1" applyBorder="1" applyAlignment="1">
      <alignment horizontal="right"/>
    </xf>
    <xf numFmtId="37" fontId="10" fillId="0" borderId="13" xfId="1" applyNumberFormat="1" applyFont="1" applyFill="1" applyBorder="1" applyAlignment="1">
      <alignment horizontal="right"/>
    </xf>
    <xf numFmtId="37" fontId="10" fillId="0" borderId="14" xfId="1" applyNumberFormat="1" applyFont="1" applyFill="1" applyBorder="1" applyAlignment="1">
      <alignment horizontal="right"/>
    </xf>
    <xf numFmtId="169" fontId="10" fillId="0" borderId="5" xfId="1" applyNumberFormat="1" applyFont="1" applyFill="1" applyBorder="1" applyAlignment="1">
      <alignment horizontal="right"/>
    </xf>
    <xf numFmtId="37" fontId="10" fillId="0" borderId="16" xfId="1" applyNumberFormat="1" applyFont="1" applyFill="1" applyBorder="1" applyAlignment="1">
      <alignment horizontal="right"/>
    </xf>
    <xf numFmtId="37" fontId="10" fillId="0" borderId="19" xfId="1" applyNumberFormat="1" applyFont="1" applyFill="1" applyBorder="1" applyAlignment="1">
      <alignment horizontal="right"/>
    </xf>
    <xf numFmtId="37" fontId="10" fillId="0" borderId="17" xfId="1" applyNumberFormat="1" applyFont="1" applyFill="1" applyBorder="1" applyAlignment="1">
      <alignment horizontal="right"/>
    </xf>
    <xf numFmtId="169" fontId="10" fillId="0" borderId="0" xfId="1" applyNumberFormat="1" applyFont="1" applyFill="1" applyBorder="1" applyAlignment="1">
      <alignment horizontal="right"/>
    </xf>
    <xf numFmtId="184" fontId="10" fillId="0" borderId="0" xfId="0" applyFont="1" applyFill="1" applyBorder="1" applyAlignment="1">
      <alignment horizontal="right"/>
    </xf>
    <xf numFmtId="184" fontId="16" fillId="0" borderId="0" xfId="0" applyFont="1" applyFill="1" applyBorder="1" applyAlignment="1">
      <alignment horizontal="right"/>
    </xf>
    <xf numFmtId="37" fontId="10" fillId="0" borderId="7" xfId="1" applyNumberFormat="1" applyFont="1" applyFill="1" applyBorder="1" applyAlignment="1">
      <alignment horizontal="right"/>
    </xf>
    <xf numFmtId="184" fontId="12" fillId="0" borderId="0" xfId="0" applyFont="1"/>
    <xf numFmtId="184" fontId="16" fillId="0" borderId="9" xfId="0" applyFont="1" applyFill="1" applyBorder="1" applyAlignment="1">
      <alignment horizontal="center"/>
    </xf>
    <xf numFmtId="37" fontId="16" fillId="0" borderId="19" xfId="1" applyNumberFormat="1" applyFont="1" applyFill="1" applyBorder="1" applyAlignment="1">
      <alignment horizontal="right"/>
    </xf>
    <xf numFmtId="37" fontId="16" fillId="0" borderId="17" xfId="1" applyNumberFormat="1" applyFont="1" applyFill="1" applyBorder="1" applyAlignment="1">
      <alignment horizontal="right"/>
    </xf>
    <xf numFmtId="37" fontId="16" fillId="0" borderId="18" xfId="1" applyNumberFormat="1" applyFont="1" applyFill="1" applyBorder="1" applyAlignment="1">
      <alignment horizontal="right"/>
    </xf>
    <xf numFmtId="184" fontId="7" fillId="0" borderId="0" xfId="0" applyFont="1" applyFill="1" applyAlignment="1">
      <alignment horizontal="left"/>
    </xf>
    <xf numFmtId="184" fontId="9" fillId="0" borderId="0" xfId="0" applyFont="1" applyFill="1"/>
    <xf numFmtId="184" fontId="12" fillId="0" borderId="0" xfId="0" applyFont="1" applyFill="1"/>
    <xf numFmtId="184" fontId="15" fillId="0" borderId="0" xfId="0" applyFont="1" applyFill="1"/>
    <xf numFmtId="184" fontId="0" fillId="0" borderId="0" xfId="0" applyFill="1" applyAlignment="1">
      <alignment horizontal="left"/>
    </xf>
    <xf numFmtId="170" fontId="10" fillId="0" borderId="9" xfId="1" applyNumberFormat="1" applyFont="1" applyFill="1" applyBorder="1"/>
    <xf numFmtId="169" fontId="10" fillId="0" borderId="0" xfId="0" applyNumberFormat="1" applyFont="1" applyFill="1"/>
    <xf numFmtId="37" fontId="10" fillId="0" borderId="0" xfId="0" applyNumberFormat="1" applyFont="1" applyBorder="1" applyAlignment="1">
      <alignment horizontal="right"/>
    </xf>
    <xf numFmtId="184" fontId="26" fillId="0" borderId="20" xfId="0" applyFont="1" applyBorder="1"/>
    <xf numFmtId="37" fontId="10" fillId="0" borderId="11" xfId="7" applyNumberFormat="1" applyFont="1" applyFill="1" applyBorder="1" applyAlignment="1">
      <alignment horizontal="right"/>
    </xf>
    <xf numFmtId="169" fontId="10" fillId="0" borderId="9" xfId="1" applyNumberFormat="1" applyFont="1" applyFill="1" applyBorder="1" applyAlignment="1">
      <alignment horizontal="right"/>
    </xf>
    <xf numFmtId="37" fontId="10" fillId="0" borderId="9" xfId="0" applyNumberFormat="1" applyFont="1" applyBorder="1" applyAlignment="1">
      <alignment horizontal="right"/>
    </xf>
    <xf numFmtId="37" fontId="10" fillId="0" borderId="8" xfId="0" applyNumberFormat="1" applyFont="1" applyBorder="1" applyAlignment="1">
      <alignment horizontal="right"/>
    </xf>
    <xf numFmtId="43" fontId="0" fillId="0" borderId="0" xfId="1" applyFont="1"/>
    <xf numFmtId="184" fontId="0" fillId="0" borderId="26" xfId="0" applyBorder="1"/>
    <xf numFmtId="184" fontId="0" fillId="0" borderId="27" xfId="0" applyBorder="1"/>
    <xf numFmtId="184" fontId="19" fillId="0" borderId="20" xfId="0" applyFont="1" applyBorder="1"/>
    <xf numFmtId="184" fontId="0" fillId="0" borderId="20" xfId="0" applyBorder="1"/>
    <xf numFmtId="184" fontId="0" fillId="0" borderId="21" xfId="0" applyBorder="1"/>
    <xf numFmtId="184" fontId="0" fillId="0" borderId="22" xfId="0" applyBorder="1"/>
    <xf numFmtId="187" fontId="0" fillId="0" borderId="0" xfId="0" applyNumberFormat="1" applyBorder="1"/>
    <xf numFmtId="4" fontId="0" fillId="0" borderId="13" xfId="0" applyNumberFormat="1" applyBorder="1"/>
    <xf numFmtId="185" fontId="0" fillId="0" borderId="0" xfId="0" applyNumberFormat="1" applyFill="1" applyBorder="1"/>
    <xf numFmtId="3" fontId="19" fillId="0" borderId="19" xfId="0" applyNumberFormat="1" applyFont="1" applyBorder="1"/>
    <xf numFmtId="184" fontId="19" fillId="0" borderId="28" xfId="0" applyFont="1" applyBorder="1"/>
    <xf numFmtId="184" fontId="35" fillId="0" borderId="20" xfId="0" applyFont="1" applyBorder="1"/>
    <xf numFmtId="184" fontId="19" fillId="0" borderId="21" xfId="0" applyFont="1" applyBorder="1"/>
    <xf numFmtId="187" fontId="0" fillId="0" borderId="21" xfId="0" applyNumberFormat="1" applyFill="1" applyBorder="1"/>
    <xf numFmtId="4" fontId="0" fillId="0" borderId="29" xfId="0" applyNumberFormat="1" applyBorder="1"/>
    <xf numFmtId="185" fontId="0" fillId="0" borderId="0" xfId="0" applyNumberFormat="1" applyBorder="1"/>
    <xf numFmtId="185" fontId="0" fillId="0" borderId="21" xfId="0" applyNumberFormat="1" applyBorder="1"/>
    <xf numFmtId="3" fontId="19" fillId="0" borderId="30" xfId="0" applyNumberFormat="1" applyFont="1" applyBorder="1"/>
    <xf numFmtId="3" fontId="19" fillId="0" borderId="0" xfId="0" applyNumberFormat="1" applyFont="1" applyBorder="1"/>
    <xf numFmtId="3" fontId="19" fillId="0" borderId="21" xfId="0" applyNumberFormat="1" applyFont="1" applyBorder="1"/>
    <xf numFmtId="3" fontId="19" fillId="0" borderId="24" xfId="0" applyNumberFormat="1" applyFont="1" applyBorder="1"/>
    <xf numFmtId="184" fontId="19" fillId="0" borderId="24" xfId="0" applyFont="1" applyBorder="1"/>
    <xf numFmtId="184" fontId="19" fillId="0" borderId="23" xfId="0" applyFont="1" applyBorder="1"/>
    <xf numFmtId="184" fontId="16" fillId="0" borderId="7" xfId="0" applyFont="1" applyBorder="1" applyAlignment="1">
      <alignment horizontal="center"/>
    </xf>
    <xf numFmtId="169" fontId="10" fillId="0" borderId="7" xfId="0" applyNumberFormat="1" applyFont="1" applyBorder="1"/>
    <xf numFmtId="181" fontId="10" fillId="0" borderId="0" xfId="0" applyNumberFormat="1" applyFont="1" applyFill="1"/>
    <xf numFmtId="169" fontId="10" fillId="0" borderId="11" xfId="1" applyNumberFormat="1" applyFont="1" applyFill="1" applyBorder="1" applyAlignment="1">
      <alignment horizontal="right"/>
    </xf>
    <xf numFmtId="184" fontId="10" fillId="0" borderId="7" xfId="0" applyFont="1" applyFill="1" applyBorder="1"/>
    <xf numFmtId="169" fontId="10" fillId="0" borderId="15" xfId="1" applyNumberFormat="1" applyFont="1" applyFill="1" applyBorder="1"/>
    <xf numFmtId="169" fontId="10" fillId="0" borderId="18" xfId="1" applyNumberFormat="1" applyFont="1" applyFill="1" applyBorder="1"/>
    <xf numFmtId="170" fontId="10" fillId="0" borderId="0" xfId="0" applyNumberFormat="1" applyFont="1" applyFill="1"/>
    <xf numFmtId="168" fontId="10" fillId="0" borderId="0" xfId="7" applyNumberFormat="1" applyFont="1" applyFill="1"/>
    <xf numFmtId="171" fontId="10" fillId="0" borderId="0" xfId="7" applyNumberFormat="1" applyFont="1" applyFill="1"/>
    <xf numFmtId="169" fontId="10" fillId="0" borderId="7" xfId="1" applyNumberFormat="1" applyFont="1" applyFill="1" applyBorder="1"/>
    <xf numFmtId="176" fontId="10" fillId="0" borderId="7" xfId="1" applyNumberFormat="1" applyFont="1" applyFill="1" applyBorder="1"/>
    <xf numFmtId="176" fontId="10" fillId="0" borderId="9" xfId="1" applyNumberFormat="1" applyFont="1" applyFill="1" applyBorder="1"/>
    <xf numFmtId="167" fontId="10" fillId="0" borderId="7" xfId="0" applyNumberFormat="1" applyFont="1" applyFill="1" applyBorder="1"/>
    <xf numFmtId="167" fontId="10" fillId="0" borderId="9" xfId="0" applyNumberFormat="1" applyFont="1" applyFill="1" applyBorder="1"/>
    <xf numFmtId="167" fontId="10" fillId="0" borderId="15" xfId="0" applyNumberFormat="1" applyFont="1" applyFill="1" applyBorder="1"/>
    <xf numFmtId="167" fontId="10" fillId="0" borderId="18" xfId="0" applyNumberFormat="1" applyFont="1" applyFill="1" applyBorder="1"/>
    <xf numFmtId="168" fontId="10" fillId="0" borderId="0" xfId="7" applyNumberFormat="1" applyFont="1" applyFill="1" applyAlignment="1">
      <alignment horizontal="right"/>
    </xf>
    <xf numFmtId="169" fontId="10" fillId="0" borderId="7" xfId="0" applyNumberFormat="1" applyFont="1" applyFill="1" applyBorder="1"/>
    <xf numFmtId="169" fontId="10" fillId="0" borderId="15" xfId="0" applyNumberFormat="1" applyFont="1" applyFill="1" applyBorder="1"/>
    <xf numFmtId="169" fontId="10" fillId="0" borderId="18" xfId="1" applyNumberFormat="1" applyFont="1" applyFill="1" applyBorder="1" applyAlignment="1">
      <alignment horizontal="right"/>
    </xf>
    <xf numFmtId="168" fontId="10" fillId="0" borderId="0" xfId="7" applyNumberFormat="1" applyFont="1"/>
    <xf numFmtId="184" fontId="16" fillId="0" borderId="8" xfId="0" applyFont="1" applyBorder="1" applyAlignment="1">
      <alignment horizontal="center"/>
    </xf>
    <xf numFmtId="180" fontId="10" fillId="0" borderId="7" xfId="0" applyNumberFormat="1" applyFont="1" applyBorder="1"/>
    <xf numFmtId="169" fontId="10" fillId="0" borderId="11" xfId="0" applyNumberFormat="1" applyFont="1" applyFill="1" applyBorder="1"/>
    <xf numFmtId="169" fontId="16" fillId="0" borderId="18" xfId="0" applyNumberFormat="1" applyFont="1" applyBorder="1"/>
    <xf numFmtId="37" fontId="0" fillId="0" borderId="0" xfId="0" applyNumberFormat="1"/>
    <xf numFmtId="184" fontId="10" fillId="0" borderId="5" xfId="0" applyFont="1" applyBorder="1"/>
    <xf numFmtId="168" fontId="15" fillId="0" borderId="1" xfId="7" applyNumberFormat="1" applyFont="1" applyFill="1" applyBorder="1" applyAlignment="1">
      <alignment horizontal="right"/>
    </xf>
    <xf numFmtId="37" fontId="10" fillId="0" borderId="10" xfId="0" applyNumberFormat="1" applyFont="1" applyBorder="1" applyAlignment="1">
      <alignment horizontal="right"/>
    </xf>
    <xf numFmtId="37" fontId="10" fillId="0" borderId="0" xfId="0" applyNumberFormat="1" applyFont="1" applyBorder="1"/>
    <xf numFmtId="169" fontId="10" fillId="0" borderId="13" xfId="1" applyNumberFormat="1" applyFont="1" applyFill="1" applyBorder="1" applyAlignment="1">
      <alignment horizontal="right"/>
    </xf>
    <xf numFmtId="37" fontId="10" fillId="0" borderId="12" xfId="0" applyNumberFormat="1" applyFont="1" applyBorder="1"/>
    <xf numFmtId="37" fontId="10" fillId="0" borderId="13" xfId="0" applyNumberFormat="1" applyFont="1" applyBorder="1"/>
    <xf numFmtId="169" fontId="10" fillId="0" borderId="19" xfId="1" applyNumberFormat="1" applyFont="1" applyFill="1" applyBorder="1" applyAlignment="1">
      <alignment horizontal="right"/>
    </xf>
    <xf numFmtId="169" fontId="10" fillId="0" borderId="6" xfId="1" applyNumberFormat="1" applyFont="1" applyFill="1" applyBorder="1" applyAlignment="1">
      <alignment horizontal="right"/>
    </xf>
    <xf numFmtId="37" fontId="10" fillId="0" borderId="12" xfId="0" applyNumberFormat="1" applyFont="1" applyBorder="1" applyAlignment="1">
      <alignment horizontal="right"/>
    </xf>
    <xf numFmtId="37" fontId="10" fillId="0" borderId="16" xfId="0" applyNumberFormat="1" applyFont="1" applyBorder="1" applyAlignment="1">
      <alignment horizontal="right"/>
    </xf>
    <xf numFmtId="37" fontId="10" fillId="0" borderId="6" xfId="0" applyNumberFormat="1" applyFont="1" applyBorder="1"/>
    <xf numFmtId="169" fontId="10" fillId="0" borderId="13" xfId="1" applyNumberFormat="1" applyFont="1" applyFill="1" applyBorder="1"/>
    <xf numFmtId="37" fontId="10" fillId="0" borderId="3" xfId="0" applyNumberFormat="1" applyFont="1" applyBorder="1"/>
    <xf numFmtId="169" fontId="10" fillId="0" borderId="3" xfId="0" applyNumberFormat="1" applyFont="1" applyFill="1" applyBorder="1"/>
    <xf numFmtId="168" fontId="10" fillId="0" borderId="4" xfId="0" applyNumberFormat="1" applyFont="1" applyFill="1" applyBorder="1"/>
    <xf numFmtId="169" fontId="10" fillId="0" borderId="6" xfId="0" applyNumberFormat="1" applyFont="1" applyFill="1" applyBorder="1"/>
    <xf numFmtId="37" fontId="10" fillId="0" borderId="3" xfId="1" applyNumberFormat="1" applyFont="1" applyFill="1" applyBorder="1"/>
    <xf numFmtId="168" fontId="10" fillId="0" borderId="11" xfId="0" applyNumberFormat="1" applyFont="1" applyBorder="1"/>
    <xf numFmtId="169" fontId="10" fillId="0" borderId="6" xfId="0" applyNumberFormat="1" applyFont="1" applyBorder="1"/>
    <xf numFmtId="168" fontId="10" fillId="0" borderId="14" xfId="0" applyNumberFormat="1" applyFont="1" applyBorder="1"/>
    <xf numFmtId="177" fontId="15" fillId="0" borderId="0" xfId="0" applyNumberFormat="1" applyFont="1" applyFill="1" applyBorder="1" applyAlignment="1">
      <alignment horizontal="right"/>
    </xf>
    <xf numFmtId="170" fontId="15" fillId="0" borderId="6" xfId="0" applyNumberFormat="1" applyFont="1" applyFill="1" applyBorder="1"/>
    <xf numFmtId="170" fontId="15" fillId="0" borderId="1" xfId="0" applyNumberFormat="1" applyFont="1" applyFill="1" applyBorder="1"/>
    <xf numFmtId="169" fontId="36" fillId="0" borderId="9" xfId="1" applyNumberFormat="1" applyFont="1" applyFill="1" applyBorder="1"/>
    <xf numFmtId="169" fontId="37" fillId="0" borderId="9" xfId="1" applyNumberFormat="1" applyFont="1" applyFill="1" applyBorder="1"/>
    <xf numFmtId="184" fontId="15" fillId="0" borderId="8" xfId="0" applyFont="1" applyFill="1" applyBorder="1"/>
    <xf numFmtId="184" fontId="38" fillId="0" borderId="0" xfId="0" applyFont="1" applyFill="1" applyBorder="1" applyAlignment="1">
      <alignment horizontal="center"/>
    </xf>
    <xf numFmtId="184" fontId="38" fillId="0" borderId="7" xfId="0" applyFont="1" applyFill="1" applyBorder="1" applyAlignment="1">
      <alignment horizontal="center"/>
    </xf>
    <xf numFmtId="184" fontId="38" fillId="0" borderId="8" xfId="0" applyFont="1" applyFill="1" applyBorder="1" applyAlignment="1">
      <alignment horizontal="center"/>
    </xf>
    <xf numFmtId="184" fontId="38" fillId="0" borderId="6" xfId="0" applyFont="1" applyFill="1" applyBorder="1" applyAlignment="1">
      <alignment horizontal="center"/>
    </xf>
    <xf numFmtId="184" fontId="38" fillId="0" borderId="5" xfId="0" applyFont="1" applyFill="1" applyBorder="1" applyAlignment="1">
      <alignment horizontal="center"/>
    </xf>
    <xf numFmtId="184" fontId="38" fillId="0" borderId="1" xfId="0" applyFont="1" applyFill="1" applyBorder="1" applyAlignment="1">
      <alignment horizontal="center"/>
    </xf>
    <xf numFmtId="184" fontId="15" fillId="0" borderId="7" xfId="0" applyFont="1" applyFill="1" applyBorder="1"/>
    <xf numFmtId="169" fontId="15" fillId="0" borderId="10" xfId="0" applyNumberFormat="1" applyFont="1" applyFill="1" applyBorder="1"/>
    <xf numFmtId="168" fontId="15" fillId="0" borderId="11" xfId="0" applyNumberFormat="1" applyFont="1" applyFill="1" applyBorder="1"/>
    <xf numFmtId="169" fontId="15" fillId="0" borderId="9" xfId="0" applyNumberFormat="1" applyFont="1" applyFill="1" applyBorder="1"/>
    <xf numFmtId="184" fontId="15" fillId="0" borderId="10" xfId="0" applyFont="1" applyFill="1" applyBorder="1"/>
    <xf numFmtId="184" fontId="15" fillId="0" borderId="11" xfId="0" applyFont="1" applyFill="1" applyBorder="1"/>
    <xf numFmtId="175" fontId="15" fillId="0" borderId="11" xfId="0" applyNumberFormat="1" applyFont="1" applyFill="1" applyBorder="1" applyAlignment="1">
      <alignment horizontal="right"/>
    </xf>
    <xf numFmtId="170" fontId="15" fillId="0" borderId="11" xfId="0" applyNumberFormat="1" applyFont="1" applyFill="1" applyBorder="1" applyAlignment="1">
      <alignment horizontal="right"/>
    </xf>
    <xf numFmtId="168" fontId="15" fillId="0" borderId="10" xfId="7" applyNumberFormat="1" applyFont="1" applyFill="1" applyBorder="1" applyAlignment="1">
      <alignment horizontal="right"/>
    </xf>
    <xf numFmtId="184" fontId="16" fillId="0" borderId="0" xfId="0" applyFont="1" applyBorder="1"/>
    <xf numFmtId="184" fontId="10" fillId="0" borderId="1" xfId="0" applyFont="1" applyBorder="1"/>
    <xf numFmtId="37" fontId="10" fillId="0" borderId="11" xfId="0" applyNumberFormat="1" applyFont="1" applyBorder="1"/>
    <xf numFmtId="37" fontId="10" fillId="0" borderId="0" xfId="7" applyNumberFormat="1" applyFont="1" applyFill="1" applyBorder="1"/>
    <xf numFmtId="37" fontId="10" fillId="0" borderId="1" xfId="0" applyNumberFormat="1" applyFont="1" applyBorder="1"/>
    <xf numFmtId="37" fontId="10" fillId="0" borderId="1" xfId="0" applyNumberFormat="1" applyFont="1" applyFill="1" applyBorder="1"/>
    <xf numFmtId="37" fontId="10" fillId="0" borderId="8" xfId="0" applyNumberFormat="1" applyFont="1" applyFill="1" applyBorder="1"/>
    <xf numFmtId="184" fontId="19" fillId="0" borderId="0" xfId="0" applyFont="1" applyFill="1" applyBorder="1"/>
    <xf numFmtId="183" fontId="5" fillId="0" borderId="0" xfId="1" applyNumberFormat="1" applyAlignment="1">
      <alignment horizontal="center"/>
    </xf>
    <xf numFmtId="185" fontId="0" fillId="0" borderId="0" xfId="0" applyNumberFormat="1"/>
    <xf numFmtId="37" fontId="0" fillId="0" borderId="0" xfId="0" applyNumberFormat="1" applyFill="1" applyBorder="1"/>
    <xf numFmtId="170" fontId="15" fillId="0" borderId="10" xfId="0" applyNumberFormat="1" applyFont="1" applyFill="1" applyBorder="1" applyAlignment="1">
      <alignment horizontal="right"/>
    </xf>
    <xf numFmtId="169" fontId="15" fillId="0" borderId="10" xfId="0" applyNumberFormat="1" applyFont="1" applyFill="1" applyBorder="1" applyAlignment="1">
      <alignment horizontal="right"/>
    </xf>
    <xf numFmtId="172" fontId="15" fillId="0" borderId="11" xfId="7" applyNumberFormat="1" applyFont="1" applyFill="1" applyBorder="1" applyAlignment="1">
      <alignment horizontal="right"/>
    </xf>
    <xf numFmtId="186" fontId="15" fillId="0" borderId="0" xfId="1" applyNumberFormat="1" applyFont="1" applyFill="1" applyBorder="1"/>
    <xf numFmtId="174" fontId="15" fillId="0" borderId="11" xfId="1" applyNumberFormat="1" applyFont="1" applyFill="1" applyBorder="1"/>
    <xf numFmtId="171" fontId="15" fillId="0" borderId="11" xfId="0" applyNumberFormat="1" applyFont="1" applyFill="1" applyBorder="1"/>
    <xf numFmtId="37" fontId="15" fillId="0" borderId="10" xfId="0" applyNumberFormat="1" applyFont="1" applyFill="1" applyBorder="1"/>
    <xf numFmtId="37" fontId="15" fillId="0" borderId="0" xfId="0" applyNumberFormat="1" applyFont="1" applyFill="1" applyBorder="1"/>
    <xf numFmtId="168" fontId="10" fillId="0" borderId="10" xfId="7" applyNumberFormat="1" applyFont="1" applyFill="1" applyBorder="1" applyAlignment="1">
      <alignment horizontal="right"/>
    </xf>
    <xf numFmtId="171" fontId="10" fillId="0" borderId="0" xfId="7" applyNumberFormat="1" applyFont="1" applyFill="1" applyBorder="1" applyAlignment="1">
      <alignment horizontal="right"/>
    </xf>
    <xf numFmtId="37" fontId="10" fillId="0" borderId="11" xfId="0" applyNumberFormat="1" applyFont="1" applyFill="1" applyBorder="1"/>
    <xf numFmtId="37" fontId="10" fillId="0" borderId="11" xfId="7" applyNumberFormat="1" applyFont="1" applyFill="1" applyBorder="1"/>
    <xf numFmtId="171" fontId="10" fillId="0" borderId="1" xfId="0" applyNumberFormat="1" applyFont="1" applyBorder="1"/>
    <xf numFmtId="37" fontId="10" fillId="0" borderId="10" xfId="0" applyNumberFormat="1" applyFont="1" applyFill="1" applyBorder="1"/>
    <xf numFmtId="169" fontId="15" fillId="0" borderId="6" xfId="1" applyNumberFormat="1" applyFont="1" applyFill="1" applyBorder="1"/>
    <xf numFmtId="186" fontId="10" fillId="0" borderId="0" xfId="7" applyNumberFormat="1" applyFont="1" applyFill="1" applyBorder="1" applyAlignment="1">
      <alignment horizontal="right"/>
    </xf>
    <xf numFmtId="185" fontId="10" fillId="0" borderId="0" xfId="1" applyNumberFormat="1" applyFont="1" applyFill="1" applyBorder="1"/>
    <xf numFmtId="37" fontId="0" fillId="0" borderId="0" xfId="0" applyNumberFormat="1" applyBorder="1"/>
    <xf numFmtId="184" fontId="38" fillId="0" borderId="2" xfId="0" applyFont="1" applyFill="1" applyBorder="1" applyAlignment="1">
      <alignment horizontal="center"/>
    </xf>
    <xf numFmtId="184" fontId="21" fillId="0" borderId="0" xfId="0" applyFont="1" applyAlignment="1">
      <alignment horizontal="center"/>
    </xf>
    <xf numFmtId="169" fontId="10" fillId="0" borderId="2" xfId="0" applyNumberFormat="1" applyFont="1" applyFill="1" applyBorder="1"/>
    <xf numFmtId="37" fontId="10" fillId="0" borderId="0" xfId="7" applyNumberFormat="1" applyFont="1" applyFill="1" applyBorder="1" applyAlignment="1">
      <alignment horizontal="right"/>
    </xf>
    <xf numFmtId="37" fontId="10" fillId="0" borderId="0" xfId="0" applyNumberFormat="1" applyFont="1" applyFill="1" applyBorder="1"/>
    <xf numFmtId="37" fontId="10" fillId="0" borderId="0" xfId="0" applyNumberFormat="1" applyFont="1" applyFill="1" applyBorder="1" applyAlignment="1">
      <alignment horizontal="right"/>
    </xf>
    <xf numFmtId="184" fontId="10" fillId="0" borderId="6" xfId="0" applyFont="1" applyBorder="1"/>
    <xf numFmtId="178" fontId="15" fillId="0" borderId="0" xfId="0" applyNumberFormat="1" applyFont="1" applyFill="1" applyBorder="1"/>
    <xf numFmtId="169" fontId="10" fillId="0" borderId="1" xfId="0" applyNumberFormat="1" applyFont="1" applyBorder="1"/>
    <xf numFmtId="169" fontId="10" fillId="0" borderId="5" xfId="1" applyNumberFormat="1" applyFont="1" applyFill="1" applyBorder="1"/>
    <xf numFmtId="169" fontId="10" fillId="0" borderId="16" xfId="1" applyNumberFormat="1" applyFont="1" applyFill="1" applyBorder="1"/>
    <xf numFmtId="37" fontId="10" fillId="0" borderId="13" xfId="7" applyNumberFormat="1" applyFont="1" applyFill="1" applyBorder="1" applyAlignment="1">
      <alignment horizontal="right"/>
    </xf>
    <xf numFmtId="37" fontId="10" fillId="0" borderId="6" xfId="0" applyNumberFormat="1" applyFont="1" applyFill="1" applyBorder="1"/>
    <xf numFmtId="37" fontId="10" fillId="0" borderId="6" xfId="7" applyNumberFormat="1" applyFont="1" applyFill="1" applyBorder="1" applyAlignment="1">
      <alignment horizontal="right"/>
    </xf>
    <xf numFmtId="37" fontId="10" fillId="0" borderId="3" xfId="7" applyNumberFormat="1" applyFont="1" applyFill="1" applyBorder="1" applyAlignment="1">
      <alignment horizontal="right"/>
    </xf>
    <xf numFmtId="184" fontId="0" fillId="0" borderId="3" xfId="0" applyFill="1" applyBorder="1"/>
    <xf numFmtId="37" fontId="10" fillId="0" borderId="25" xfId="1" applyNumberFormat="1" applyFont="1" applyFill="1" applyBorder="1" applyAlignment="1">
      <alignment horizontal="right"/>
    </xf>
    <xf numFmtId="184" fontId="10" fillId="0" borderId="11" xfId="0" applyFont="1" applyFill="1" applyBorder="1"/>
    <xf numFmtId="37" fontId="10" fillId="0" borderId="31" xfId="1" applyNumberFormat="1" applyFont="1" applyFill="1" applyBorder="1" applyAlignment="1">
      <alignment horizontal="right"/>
    </xf>
    <xf numFmtId="184" fontId="15" fillId="0" borderId="6" xfId="0" applyFont="1" applyFill="1" applyBorder="1"/>
    <xf numFmtId="39" fontId="15" fillId="0" borderId="0" xfId="0" applyNumberFormat="1" applyFont="1" applyFill="1" applyBorder="1"/>
    <xf numFmtId="37" fontId="10" fillId="0" borderId="5" xfId="0" applyNumberFormat="1" applyFont="1" applyFill="1" applyBorder="1"/>
    <xf numFmtId="169" fontId="10" fillId="0" borderId="5" xfId="0" applyNumberFormat="1" applyFont="1" applyBorder="1" applyAlignment="1">
      <alignment horizontal="right"/>
    </xf>
    <xf numFmtId="169" fontId="10" fillId="0" borderId="8" xfId="1" applyNumberFormat="1" applyFont="1" applyFill="1" applyBorder="1" applyAlignment="1">
      <alignment horizontal="right"/>
    </xf>
    <xf numFmtId="169" fontId="10" fillId="0" borderId="1" xfId="1" applyNumberFormat="1" applyFont="1" applyFill="1" applyBorder="1" applyAlignment="1">
      <alignment horizontal="right"/>
    </xf>
    <xf numFmtId="39" fontId="15" fillId="0" borderId="10" xfId="0" applyNumberFormat="1" applyFont="1" applyFill="1" applyBorder="1"/>
    <xf numFmtId="182" fontId="10" fillId="0" borderId="0" xfId="1" applyNumberFormat="1" applyFont="1" applyFill="1" applyBorder="1"/>
    <xf numFmtId="184" fontId="15" fillId="0" borderId="9" xfId="1" applyNumberFormat="1" applyFont="1" applyFill="1" applyBorder="1"/>
    <xf numFmtId="2" fontId="15" fillId="0" borderId="9" xfId="1" applyNumberFormat="1" applyFont="1" applyFill="1" applyBorder="1"/>
    <xf numFmtId="184" fontId="0" fillId="0" borderId="6" xfId="0" applyFill="1" applyBorder="1"/>
    <xf numFmtId="168" fontId="15" fillId="0" borderId="10" xfId="0" applyNumberFormat="1" applyFont="1" applyFill="1" applyBorder="1"/>
    <xf numFmtId="169" fontId="10" fillId="0" borderId="15" xfId="0" applyNumberFormat="1" applyFont="1" applyBorder="1"/>
    <xf numFmtId="169" fontId="10" fillId="0" borderId="8" xfId="0" applyNumberFormat="1" applyFont="1" applyBorder="1"/>
    <xf numFmtId="169" fontId="10" fillId="0" borderId="18" xfId="0" applyNumberFormat="1" applyFont="1" applyBorder="1"/>
    <xf numFmtId="37" fontId="10" fillId="0" borderId="3" xfId="0" applyNumberFormat="1" applyFont="1" applyFill="1" applyBorder="1"/>
    <xf numFmtId="184" fontId="38" fillId="0" borderId="9" xfId="0" applyFont="1" applyFill="1" applyBorder="1" applyAlignment="1">
      <alignment horizontal="center"/>
    </xf>
    <xf numFmtId="37" fontId="10" fillId="0" borderId="9" xfId="7" applyNumberFormat="1" applyFont="1" applyFill="1" applyBorder="1"/>
    <xf numFmtId="172" fontId="15" fillId="0" borderId="9" xfId="0" applyNumberFormat="1" applyFont="1" applyFill="1" applyBorder="1"/>
    <xf numFmtId="172" fontId="15" fillId="0" borderId="9" xfId="7" applyNumberFormat="1" applyFont="1" applyFill="1" applyBorder="1" applyAlignment="1">
      <alignment horizontal="right"/>
    </xf>
    <xf numFmtId="187" fontId="0" fillId="0" borderId="21" xfId="0" applyNumberFormat="1" applyBorder="1"/>
    <xf numFmtId="37" fontId="16" fillId="0" borderId="25" xfId="1" applyNumberFormat="1" applyFont="1" applyFill="1" applyBorder="1" applyAlignment="1">
      <alignment horizontal="right"/>
    </xf>
    <xf numFmtId="170" fontId="10" fillId="0" borderId="6" xfId="1" applyNumberFormat="1" applyFont="1" applyFill="1" applyBorder="1"/>
    <xf numFmtId="37" fontId="10" fillId="0" borderId="7" xfId="0" applyNumberFormat="1" applyFont="1" applyBorder="1"/>
    <xf numFmtId="168" fontId="15" fillId="0" borderId="9" xfId="0" applyNumberFormat="1" applyFont="1" applyFill="1" applyBorder="1" applyAlignment="1">
      <alignment horizontal="right"/>
    </xf>
    <xf numFmtId="184" fontId="19" fillId="2" borderId="28" xfId="0" applyFont="1" applyFill="1" applyBorder="1"/>
    <xf numFmtId="184" fontId="0" fillId="2" borderId="26" xfId="0" applyFill="1" applyBorder="1"/>
    <xf numFmtId="184" fontId="0" fillId="2" borderId="27" xfId="0" applyFill="1" applyBorder="1"/>
    <xf numFmtId="184" fontId="35" fillId="2" borderId="20" xfId="0" applyFont="1" applyFill="1" applyBorder="1"/>
    <xf numFmtId="184" fontId="0" fillId="2" borderId="0" xfId="0" applyFill="1" applyBorder="1"/>
    <xf numFmtId="184" fontId="0" fillId="2" borderId="21" xfId="0" applyFill="1" applyBorder="1"/>
    <xf numFmtId="184" fontId="19" fillId="2" borderId="0" xfId="0" applyFont="1" applyFill="1" applyBorder="1"/>
    <xf numFmtId="184" fontId="0" fillId="2" borderId="20" xfId="0" applyFill="1" applyBorder="1"/>
    <xf numFmtId="184" fontId="19" fillId="2" borderId="21" xfId="0" applyFont="1" applyFill="1" applyBorder="1"/>
    <xf numFmtId="183" fontId="5" fillId="2" borderId="0" xfId="1" applyNumberFormat="1" applyFill="1" applyAlignment="1">
      <alignment horizontal="center"/>
    </xf>
    <xf numFmtId="185" fontId="0" fillId="2" borderId="0" xfId="0" applyNumberFormat="1" applyFill="1"/>
    <xf numFmtId="184" fontId="26" fillId="2" borderId="20" xfId="0" applyFont="1" applyFill="1" applyBorder="1"/>
    <xf numFmtId="187" fontId="0" fillId="2" borderId="0" xfId="0" applyNumberFormat="1" applyFill="1" applyBorder="1"/>
    <xf numFmtId="187" fontId="0" fillId="2" borderId="21" xfId="0" applyNumberFormat="1" applyFill="1" applyBorder="1"/>
    <xf numFmtId="4" fontId="0" fillId="2" borderId="13" xfId="0" applyNumberFormat="1" applyFill="1" applyBorder="1"/>
    <xf numFmtId="4" fontId="0" fillId="2" borderId="29" xfId="0" applyNumberFormat="1" applyFill="1" applyBorder="1"/>
    <xf numFmtId="185" fontId="0" fillId="2" borderId="0" xfId="0" applyNumberFormat="1" applyFill="1" applyBorder="1"/>
    <xf numFmtId="185" fontId="0" fillId="2" borderId="21" xfId="0" applyNumberFormat="1" applyFill="1" applyBorder="1"/>
    <xf numFmtId="184" fontId="19" fillId="2" borderId="20" xfId="0" applyFont="1" applyFill="1" applyBorder="1"/>
    <xf numFmtId="3" fontId="19" fillId="2" borderId="19" xfId="0" applyNumberFormat="1" applyFont="1" applyFill="1" applyBorder="1"/>
    <xf numFmtId="3" fontId="19" fillId="2" borderId="30" xfId="0" applyNumberFormat="1" applyFont="1" applyFill="1" applyBorder="1"/>
    <xf numFmtId="3" fontId="19" fillId="2" borderId="0" xfId="0" applyNumberFormat="1" applyFont="1" applyFill="1" applyBorder="1"/>
    <xf numFmtId="3" fontId="19" fillId="2" borderId="21" xfId="0" applyNumberFormat="1" applyFont="1" applyFill="1" applyBorder="1"/>
    <xf numFmtId="184" fontId="0" fillId="2" borderId="22" xfId="0" applyFill="1" applyBorder="1"/>
    <xf numFmtId="3" fontId="19" fillId="2" borderId="24" xfId="0" applyNumberFormat="1" applyFont="1" applyFill="1" applyBorder="1"/>
    <xf numFmtId="184" fontId="19" fillId="2" borderId="24" xfId="0" applyFont="1" applyFill="1" applyBorder="1"/>
    <xf numFmtId="184" fontId="19" fillId="2" borderId="23" xfId="0" applyFont="1" applyFill="1" applyBorder="1"/>
    <xf numFmtId="168" fontId="16" fillId="0" borderId="17" xfId="7" applyNumberFormat="1" applyFont="1" applyFill="1" applyBorder="1" applyAlignment="1">
      <alignment horizontal="right"/>
    </xf>
    <xf numFmtId="184" fontId="16" fillId="0" borderId="3" xfId="0" applyFont="1" applyFill="1" applyBorder="1" applyAlignment="1">
      <alignment horizontal="center"/>
    </xf>
    <xf numFmtId="184" fontId="38" fillId="0" borderId="3" xfId="0" applyFont="1" applyFill="1" applyBorder="1" applyAlignment="1">
      <alignment horizontal="center"/>
    </xf>
    <xf numFmtId="169" fontId="10" fillId="0" borderId="2" xfId="1" applyNumberFormat="1" applyFont="1" applyFill="1" applyBorder="1"/>
    <xf numFmtId="168" fontId="10" fillId="0" borderId="4" xfId="7" applyNumberFormat="1" applyFont="1" applyFill="1" applyBorder="1" applyAlignment="1">
      <alignment horizontal="right"/>
    </xf>
    <xf numFmtId="169" fontId="10" fillId="0" borderId="3" xfId="1" applyNumberFormat="1" applyFont="1" applyFill="1" applyBorder="1"/>
    <xf numFmtId="168" fontId="10" fillId="0" borderId="13" xfId="7" applyNumberFormat="1" applyFont="1" applyFill="1" applyBorder="1" applyAlignment="1">
      <alignment horizontal="right"/>
    </xf>
    <xf numFmtId="37" fontId="10" fillId="0" borderId="0" xfId="1" applyNumberFormat="1" applyFont="1" applyFill="1" applyBorder="1" applyAlignment="1">
      <alignment horizontal="center"/>
    </xf>
    <xf numFmtId="37" fontId="10" fillId="0" borderId="11" xfId="1" applyNumberFormat="1" applyFont="1" applyFill="1" applyBorder="1" applyAlignment="1">
      <alignment horizontal="center"/>
    </xf>
    <xf numFmtId="37" fontId="10" fillId="0" borderId="19" xfId="1" applyNumberFormat="1" applyFont="1" applyFill="1" applyBorder="1" applyAlignment="1">
      <alignment horizontal="center"/>
    </xf>
    <xf numFmtId="37" fontId="10" fillId="0" borderId="17" xfId="1" applyNumberFormat="1" applyFont="1" applyFill="1" applyBorder="1" applyAlignment="1">
      <alignment horizontal="center"/>
    </xf>
    <xf numFmtId="184" fontId="10" fillId="0" borderId="0" xfId="0" applyFont="1" applyBorder="1" applyAlignment="1">
      <alignment wrapText="1"/>
    </xf>
    <xf numFmtId="37" fontId="10" fillId="0" borderId="2" xfId="1" applyNumberFormat="1" applyFont="1" applyFill="1" applyBorder="1" applyAlignment="1">
      <alignment horizontal="right"/>
    </xf>
    <xf numFmtId="169" fontId="10" fillId="0" borderId="19" xfId="1" applyNumberFormat="1" applyFont="1" applyFill="1" applyBorder="1"/>
    <xf numFmtId="168" fontId="10" fillId="0" borderId="11" xfId="7" applyNumberFormat="1" applyFont="1" applyFill="1" applyBorder="1" applyAlignment="1">
      <alignment horizontal="center"/>
    </xf>
    <xf numFmtId="168" fontId="10" fillId="0" borderId="17" xfId="7" applyNumberFormat="1" applyFont="1" applyFill="1" applyBorder="1" applyAlignment="1">
      <alignment horizontal="center"/>
    </xf>
    <xf numFmtId="184" fontId="10" fillId="0" borderId="9" xfId="0" applyFont="1" applyBorder="1" applyAlignment="1">
      <alignment horizontal="center"/>
    </xf>
    <xf numFmtId="168" fontId="10" fillId="0" borderId="1" xfId="0" applyNumberFormat="1" applyFont="1" applyFill="1" applyBorder="1" applyAlignment="1">
      <alignment horizontal="right"/>
    </xf>
    <xf numFmtId="168" fontId="10" fillId="0" borderId="11" xfId="0" applyNumberFormat="1" applyFont="1" applyBorder="1" applyAlignment="1">
      <alignment horizontal="right"/>
    </xf>
    <xf numFmtId="168" fontId="10" fillId="0" borderId="11" xfId="0" applyNumberFormat="1" applyFont="1" applyFill="1" applyBorder="1" applyAlignment="1">
      <alignment horizontal="right"/>
    </xf>
    <xf numFmtId="2" fontId="0" fillId="0" borderId="0" xfId="0" applyNumberFormat="1" applyBorder="1"/>
    <xf numFmtId="184" fontId="8" fillId="0" borderId="0" xfId="0" applyFont="1" applyFill="1" applyBorder="1" applyAlignment="1">
      <alignment horizontal="right"/>
    </xf>
    <xf numFmtId="43" fontId="10" fillId="0" borderId="10" xfId="1" applyFont="1" applyBorder="1" applyAlignment="1">
      <alignment horizontal="right"/>
    </xf>
    <xf numFmtId="168" fontId="10" fillId="0" borderId="3" xfId="7" applyNumberFormat="1" applyFont="1" applyFill="1" applyBorder="1" applyAlignment="1">
      <alignment horizontal="right"/>
    </xf>
    <xf numFmtId="168" fontId="10" fillId="0" borderId="19" xfId="7" applyNumberFormat="1" applyFont="1" applyFill="1" applyBorder="1" applyAlignment="1">
      <alignment horizontal="right"/>
    </xf>
    <xf numFmtId="184" fontId="19" fillId="0" borderId="10" xfId="0" applyFont="1" applyBorder="1" applyAlignment="1">
      <alignment horizontal="right"/>
    </xf>
    <xf numFmtId="184" fontId="19" fillId="0" borderId="0" xfId="0" applyFont="1" applyAlignment="1">
      <alignment horizontal="right"/>
    </xf>
    <xf numFmtId="184" fontId="19" fillId="0" borderId="0" xfId="0" applyFont="1" applyBorder="1" applyAlignment="1">
      <alignment horizontal="right"/>
    </xf>
    <xf numFmtId="184" fontId="10" fillId="0" borderId="11" xfId="0" applyFont="1" applyBorder="1" applyAlignment="1">
      <alignment horizontal="right"/>
    </xf>
    <xf numFmtId="37" fontId="10" fillId="0" borderId="9" xfId="1" applyNumberFormat="1" applyFont="1" applyFill="1" applyBorder="1" applyAlignment="1">
      <alignment horizontal="center"/>
    </xf>
    <xf numFmtId="169" fontId="10" fillId="0" borderId="9" xfId="1" applyNumberFormat="1" applyFont="1" applyFill="1" applyBorder="1" applyAlignment="1">
      <alignment horizontal="center"/>
    </xf>
    <xf numFmtId="37" fontId="10" fillId="0" borderId="18" xfId="1" applyNumberFormat="1" applyFont="1" applyFill="1" applyBorder="1" applyAlignment="1">
      <alignment horizontal="center"/>
    </xf>
    <xf numFmtId="169" fontId="10" fillId="0" borderId="18" xfId="1" applyNumberFormat="1" applyFont="1" applyFill="1" applyBorder="1" applyAlignment="1">
      <alignment horizontal="center"/>
    </xf>
    <xf numFmtId="37" fontId="10" fillId="0" borderId="13" xfId="1" applyNumberFormat="1" applyFont="1" applyFill="1" applyBorder="1" applyAlignment="1">
      <alignment horizontal="center"/>
    </xf>
    <xf numFmtId="37" fontId="10" fillId="0" borderId="14" xfId="1" applyNumberFormat="1" applyFont="1" applyFill="1" applyBorder="1" applyAlignment="1">
      <alignment horizontal="center"/>
    </xf>
    <xf numFmtId="37" fontId="10" fillId="0" borderId="15" xfId="1" applyNumberFormat="1" applyFont="1" applyFill="1" applyBorder="1" applyAlignment="1">
      <alignment horizontal="center"/>
    </xf>
    <xf numFmtId="169" fontId="10" fillId="0" borderId="15" xfId="1" applyNumberFormat="1" applyFont="1" applyFill="1" applyBorder="1" applyAlignment="1">
      <alignment horizontal="center"/>
    </xf>
    <xf numFmtId="168" fontId="10" fillId="0" borderId="0" xfId="7" applyNumberFormat="1" applyFont="1" applyFill="1" applyBorder="1" applyAlignment="1">
      <alignment horizontal="center"/>
    </xf>
    <xf numFmtId="178" fontId="15" fillId="0" borderId="10" xfId="0" applyNumberFormat="1" applyFont="1" applyFill="1" applyBorder="1"/>
    <xf numFmtId="2" fontId="15" fillId="0" borderId="9" xfId="0" applyNumberFormat="1" applyFont="1" applyFill="1" applyBorder="1"/>
    <xf numFmtId="2" fontId="15" fillId="0" borderId="9" xfId="7" applyNumberFormat="1" applyFont="1" applyFill="1" applyBorder="1" applyAlignment="1">
      <alignment horizontal="right"/>
    </xf>
    <xf numFmtId="169" fontId="10" fillId="0" borderId="12" xfId="0" applyNumberFormat="1" applyFont="1" applyFill="1" applyBorder="1"/>
    <xf numFmtId="168" fontId="10" fillId="0" borderId="14" xfId="0" applyNumberFormat="1" applyFont="1" applyFill="1" applyBorder="1"/>
    <xf numFmtId="37" fontId="10" fillId="0" borderId="15" xfId="0" applyNumberFormat="1" applyFont="1" applyBorder="1"/>
    <xf numFmtId="37" fontId="10" fillId="0" borderId="14" xfId="0" applyNumberFormat="1" applyFont="1" applyBorder="1"/>
    <xf numFmtId="168" fontId="10" fillId="0" borderId="0" xfId="0" applyNumberFormat="1" applyFont="1" applyFill="1" applyBorder="1" applyAlignment="1">
      <alignment horizontal="right"/>
    </xf>
    <xf numFmtId="182" fontId="10" fillId="0" borderId="13" xfId="1" applyNumberFormat="1" applyFont="1" applyBorder="1"/>
    <xf numFmtId="182" fontId="10" fillId="0" borderId="15" xfId="1" applyNumberFormat="1" applyFont="1" applyBorder="1"/>
    <xf numFmtId="169" fontId="0" fillId="0" borderId="0" xfId="0" applyNumberFormat="1" applyBorder="1"/>
    <xf numFmtId="182" fontId="10" fillId="0" borderId="10" xfId="1" applyNumberFormat="1" applyFont="1" applyFill="1" applyBorder="1" applyAlignment="1">
      <alignment horizontal="right"/>
    </xf>
    <xf numFmtId="182" fontId="0" fillId="0" borderId="0" xfId="1" applyNumberFormat="1" applyFont="1"/>
    <xf numFmtId="168" fontId="10" fillId="0" borderId="11" xfId="7" quotePrefix="1" applyNumberFormat="1" applyFont="1" applyFill="1" applyBorder="1" applyAlignment="1">
      <alignment horizontal="right"/>
    </xf>
    <xf numFmtId="169" fontId="10" fillId="0" borderId="11" xfId="0" quotePrefix="1" applyNumberFormat="1" applyFont="1" applyBorder="1" applyAlignment="1">
      <alignment horizontal="right"/>
    </xf>
    <xf numFmtId="168" fontId="15" fillId="0" borderId="9" xfId="7" applyNumberFormat="1" applyFont="1" applyFill="1" applyBorder="1" applyAlignment="1">
      <alignment horizontal="right"/>
    </xf>
    <xf numFmtId="168" fontId="10" fillId="0" borderId="9" xfId="7" applyNumberFormat="1" applyFont="1" applyFill="1" applyBorder="1" applyAlignment="1">
      <alignment horizontal="right"/>
    </xf>
    <xf numFmtId="168" fontId="10" fillId="0" borderId="9" xfId="7" applyNumberFormat="1" applyFont="1" applyFill="1" applyBorder="1"/>
    <xf numFmtId="189" fontId="5" fillId="0" borderId="0" xfId="1" applyNumberFormat="1" applyAlignment="1">
      <alignment horizontal="center"/>
    </xf>
    <xf numFmtId="171" fontId="0" fillId="0" borderId="0" xfId="7" applyNumberFormat="1" applyFont="1" applyBorder="1"/>
    <xf numFmtId="43" fontId="10" fillId="0" borderId="10" xfId="1" applyFont="1" applyFill="1" applyBorder="1" applyAlignment="1">
      <alignment horizontal="right"/>
    </xf>
    <xf numFmtId="9" fontId="15" fillId="0" borderId="0" xfId="7" applyFont="1" applyFill="1" applyBorder="1"/>
    <xf numFmtId="168" fontId="10" fillId="0" borderId="11" xfId="7" applyNumberFormat="1" applyFont="1" applyFill="1" applyBorder="1" applyAlignment="1"/>
    <xf numFmtId="168" fontId="10" fillId="0" borderId="14" xfId="7" applyNumberFormat="1" applyFont="1" applyFill="1" applyBorder="1" applyAlignment="1"/>
    <xf numFmtId="168" fontId="10" fillId="0" borderId="0" xfId="0" applyNumberFormat="1" applyFont="1" applyBorder="1" applyAlignment="1">
      <alignment horizontal="right"/>
    </xf>
    <xf numFmtId="182" fontId="0" fillId="0" borderId="0" xfId="0" applyNumberFormat="1"/>
    <xf numFmtId="184" fontId="17" fillId="0" borderId="9" xfId="0" applyFont="1" applyFill="1" applyBorder="1" applyAlignment="1">
      <alignment horizontal="center"/>
    </xf>
    <xf numFmtId="184" fontId="15" fillId="0" borderId="9" xfId="0" applyFont="1" applyFill="1" applyBorder="1" applyAlignment="1">
      <alignment horizontal="center"/>
    </xf>
    <xf numFmtId="184" fontId="10" fillId="0" borderId="9" xfId="0" applyFont="1" applyFill="1" applyBorder="1" applyAlignment="1">
      <alignment horizontal="center"/>
    </xf>
    <xf numFmtId="168" fontId="10" fillId="0" borderId="9" xfId="0" applyNumberFormat="1" applyFont="1" applyFill="1" applyBorder="1"/>
    <xf numFmtId="184" fontId="10" fillId="0" borderId="9" xfId="0" applyFont="1" applyFill="1" applyBorder="1" applyAlignment="1"/>
    <xf numFmtId="182" fontId="10" fillId="0" borderId="3" xfId="1" applyNumberFormat="1" applyFont="1" applyBorder="1"/>
    <xf numFmtId="182" fontId="10" fillId="0" borderId="0" xfId="1" applyNumberFormat="1" applyFont="1" applyBorder="1"/>
    <xf numFmtId="182" fontId="10" fillId="0" borderId="6" xfId="1" applyNumberFormat="1" applyFont="1" applyBorder="1"/>
    <xf numFmtId="37" fontId="10" fillId="0" borderId="4" xfId="0" applyNumberFormat="1" applyFont="1" applyFill="1" applyBorder="1"/>
    <xf numFmtId="182" fontId="10" fillId="0" borderId="3" xfId="1" applyNumberFormat="1" applyFont="1" applyFill="1" applyBorder="1"/>
    <xf numFmtId="168" fontId="10" fillId="0" borderId="3" xfId="7" applyNumberFormat="1" applyFont="1" applyFill="1" applyBorder="1" applyAlignment="1"/>
    <xf numFmtId="168" fontId="10" fillId="0" borderId="0" xfId="7" applyNumberFormat="1" applyFont="1" applyFill="1" applyBorder="1" applyAlignment="1"/>
    <xf numFmtId="37" fontId="16" fillId="0" borderId="9" xfId="1" applyNumberFormat="1" applyFont="1" applyFill="1" applyBorder="1" applyAlignment="1">
      <alignment horizontal="right"/>
    </xf>
    <xf numFmtId="184" fontId="10" fillId="0" borderId="9" xfId="0" applyFont="1" applyFill="1" applyBorder="1" applyAlignment="1">
      <alignment horizontal="right"/>
    </xf>
    <xf numFmtId="182" fontId="10" fillId="0" borderId="11" xfId="1" applyNumberFormat="1" applyFont="1" applyFill="1" applyBorder="1" applyAlignment="1">
      <alignment horizontal="right"/>
    </xf>
    <xf numFmtId="43" fontId="10" fillId="0" borderId="0" xfId="1" applyFont="1" applyFill="1" applyBorder="1" applyAlignment="1">
      <alignment horizontal="right"/>
    </xf>
    <xf numFmtId="43" fontId="10" fillId="0" borderId="0" xfId="1" applyFont="1" applyFill="1" applyBorder="1" applyAlignment="1"/>
    <xf numFmtId="182" fontId="10" fillId="0" borderId="0" xfId="1" applyNumberFormat="1" applyFont="1" applyFill="1" applyBorder="1" applyAlignment="1">
      <alignment horizontal="right"/>
    </xf>
    <xf numFmtId="183" fontId="41" fillId="0" borderId="0" xfId="1" applyNumberFormat="1" applyFont="1" applyAlignment="1">
      <alignment horizontal="center"/>
    </xf>
    <xf numFmtId="182" fontId="10" fillId="0" borderId="13" xfId="0" applyNumberFormat="1" applyFont="1" applyBorder="1"/>
    <xf numFmtId="176" fontId="29" fillId="0" borderId="0" xfId="4" applyNumberFormat="1" applyFont="1" applyFill="1"/>
    <xf numFmtId="184" fontId="5" fillId="0" borderId="0" xfId="0" applyFont="1"/>
    <xf numFmtId="184" fontId="0" fillId="0" borderId="0" xfId="0" applyBorder="1" applyAlignment="1"/>
    <xf numFmtId="184" fontId="0" fillId="0" borderId="6" xfId="0" applyBorder="1" applyAlignment="1"/>
    <xf numFmtId="43" fontId="6" fillId="0" borderId="0" xfId="1" applyFont="1" applyFill="1" applyBorder="1" applyAlignment="1">
      <alignment horizontal="right"/>
    </xf>
    <xf numFmtId="170" fontId="15" fillId="0" borderId="0" xfId="0" applyNumberFormat="1" applyFont="1" applyFill="1" applyBorder="1" applyAlignment="1"/>
    <xf numFmtId="171" fontId="15" fillId="0" borderId="0" xfId="7" applyNumberFormat="1" applyFont="1" applyFill="1" applyBorder="1" applyAlignment="1"/>
    <xf numFmtId="37" fontId="10" fillId="0" borderId="0" xfId="0" applyNumberFormat="1" applyFont="1" applyBorder="1" applyAlignment="1"/>
    <xf numFmtId="170" fontId="10" fillId="0" borderId="0" xfId="0" applyNumberFormat="1" applyFont="1" applyFill="1" applyBorder="1" applyAlignment="1"/>
    <xf numFmtId="184" fontId="10" fillId="0" borderId="0" xfId="0" applyFont="1" applyBorder="1" applyAlignment="1"/>
    <xf numFmtId="168" fontId="10" fillId="0" borderId="0" xfId="0" applyNumberFormat="1" applyFont="1" applyFill="1" applyBorder="1" applyAlignment="1"/>
    <xf numFmtId="37" fontId="10" fillId="0" borderId="10" xfId="0" applyNumberFormat="1" applyFont="1" applyBorder="1" applyAlignment="1"/>
    <xf numFmtId="37" fontId="10" fillId="0" borderId="5" xfId="0" applyNumberFormat="1" applyFont="1" applyBorder="1" applyAlignment="1"/>
    <xf numFmtId="37" fontId="10" fillId="0" borderId="12" xfId="0" applyNumberFormat="1" applyFont="1" applyBorder="1" applyAlignment="1"/>
    <xf numFmtId="182" fontId="10" fillId="0" borderId="2" xfId="1" applyNumberFormat="1" applyFont="1" applyBorder="1" applyAlignment="1"/>
    <xf numFmtId="182" fontId="10" fillId="0" borderId="10" xfId="1" applyNumberFormat="1" applyFont="1" applyBorder="1" applyAlignment="1"/>
    <xf numFmtId="182" fontId="10" fillId="0" borderId="5" xfId="1" applyNumberFormat="1" applyFont="1" applyBorder="1" applyAlignment="1"/>
    <xf numFmtId="182" fontId="10" fillId="0" borderId="12" xfId="1" applyNumberFormat="1" applyFont="1" applyBorder="1" applyAlignment="1"/>
    <xf numFmtId="169" fontId="10" fillId="0" borderId="0" xfId="0" applyNumberFormat="1" applyFont="1" applyBorder="1" applyAlignment="1"/>
    <xf numFmtId="37" fontId="10" fillId="0" borderId="2" xfId="0" applyNumberFormat="1" applyFont="1" applyBorder="1" applyAlignment="1"/>
    <xf numFmtId="169" fontId="10" fillId="0" borderId="0" xfId="1" applyNumberFormat="1" applyFont="1" applyFill="1" applyBorder="1" applyAlignment="1"/>
    <xf numFmtId="37" fontId="10" fillId="0" borderId="0" xfId="0" applyNumberFormat="1" applyFont="1" applyAlignment="1"/>
    <xf numFmtId="184" fontId="10" fillId="0" borderId="10" xfId="0" applyFont="1" applyBorder="1" applyAlignment="1"/>
    <xf numFmtId="184" fontId="10" fillId="0" borderId="11" xfId="0" applyFont="1" applyBorder="1" applyAlignment="1"/>
    <xf numFmtId="177" fontId="10" fillId="0" borderId="0" xfId="7" applyNumberFormat="1" applyFont="1" applyFill="1" applyAlignment="1"/>
    <xf numFmtId="169" fontId="10" fillId="0" borderId="3" xfId="0" applyNumberFormat="1" applyFont="1" applyFill="1" applyBorder="1" applyAlignment="1"/>
    <xf numFmtId="168" fontId="10" fillId="0" borderId="4" xfId="0" applyNumberFormat="1" applyFont="1" applyFill="1" applyBorder="1" applyAlignment="1"/>
    <xf numFmtId="169" fontId="10" fillId="0" borderId="0" xfId="0" applyNumberFormat="1" applyFont="1" applyFill="1" applyBorder="1" applyAlignment="1"/>
    <xf numFmtId="168" fontId="10" fillId="0" borderId="11" xfId="0" applyNumberFormat="1" applyFont="1" applyFill="1" applyBorder="1" applyAlignment="1"/>
    <xf numFmtId="169" fontId="10" fillId="0" borderId="6" xfId="0" applyNumberFormat="1" applyFont="1" applyFill="1" applyBorder="1" applyAlignment="1"/>
    <xf numFmtId="168" fontId="10" fillId="0" borderId="1" xfId="0" applyNumberFormat="1" applyFont="1" applyFill="1" applyBorder="1" applyAlignment="1"/>
    <xf numFmtId="182" fontId="10" fillId="0" borderId="0" xfId="1" applyNumberFormat="1" applyFont="1" applyBorder="1" applyAlignment="1"/>
    <xf numFmtId="182" fontId="10" fillId="0" borderId="6" xfId="1" applyNumberFormat="1" applyFont="1" applyBorder="1" applyAlignment="1"/>
    <xf numFmtId="182" fontId="10" fillId="0" borderId="13" xfId="1" applyNumberFormat="1" applyFont="1" applyBorder="1" applyAlignment="1"/>
    <xf numFmtId="184" fontId="10" fillId="0" borderId="4" xfId="0" applyFont="1" applyBorder="1" applyAlignment="1"/>
    <xf numFmtId="169" fontId="10" fillId="0" borderId="10" xfId="1" applyNumberFormat="1" applyFont="1" applyFill="1" applyBorder="1" applyAlignment="1"/>
    <xf numFmtId="169" fontId="10" fillId="0" borderId="0" xfId="0" applyNumberFormat="1" applyFont="1" applyAlignment="1"/>
    <xf numFmtId="182" fontId="10" fillId="0" borderId="0" xfId="1" applyNumberFormat="1" applyFont="1" applyFill="1" applyBorder="1" applyAlignment="1"/>
    <xf numFmtId="182" fontId="10" fillId="0" borderId="9" xfId="1" applyNumberFormat="1" applyFont="1" applyBorder="1"/>
    <xf numFmtId="171" fontId="10" fillId="0" borderId="0" xfId="7" applyNumberFormat="1" applyFont="1" applyBorder="1"/>
    <xf numFmtId="184" fontId="5" fillId="0" borderId="20" xfId="0" applyFont="1" applyBorder="1"/>
    <xf numFmtId="171" fontId="0" fillId="0" borderId="0" xfId="7" applyNumberFormat="1" applyFont="1"/>
    <xf numFmtId="3" fontId="44" fillId="0" borderId="0" xfId="0" applyNumberFormat="1" applyFont="1" applyAlignment="1">
      <alignment horizontal="right"/>
    </xf>
    <xf numFmtId="3" fontId="45" fillId="0" borderId="0" xfId="0" applyNumberFormat="1" applyFont="1" applyAlignment="1">
      <alignment horizontal="right"/>
    </xf>
    <xf numFmtId="3" fontId="0" fillId="0" borderId="0" xfId="0" applyNumberFormat="1" applyBorder="1"/>
    <xf numFmtId="37" fontId="10" fillId="0" borderId="10" xfId="7" applyNumberFormat="1" applyFont="1" applyFill="1" applyBorder="1" applyAlignment="1">
      <alignment horizontal="right"/>
    </xf>
    <xf numFmtId="172" fontId="10" fillId="0" borderId="9" xfId="0" applyNumberFormat="1" applyFont="1" applyFill="1" applyBorder="1"/>
    <xf numFmtId="170" fontId="10" fillId="0" borderId="9" xfId="0" applyNumberFormat="1" applyFont="1" applyFill="1" applyBorder="1"/>
    <xf numFmtId="184" fontId="17" fillId="0" borderId="0" xfId="0" applyFont="1" applyFill="1" applyBorder="1" applyAlignment="1">
      <alignment horizontal="center"/>
    </xf>
    <xf numFmtId="184" fontId="16" fillId="0" borderId="2" xfId="0" applyFont="1" applyFill="1" applyBorder="1" applyAlignment="1">
      <alignment horizontal="center"/>
    </xf>
    <xf numFmtId="168" fontId="10" fillId="0" borderId="9" xfId="0" applyNumberFormat="1" applyFont="1" applyFill="1" applyBorder="1" applyAlignment="1">
      <alignment horizontal="right"/>
    </xf>
    <xf numFmtId="43" fontId="15" fillId="0" borderId="11" xfId="1" applyFont="1" applyFill="1" applyBorder="1"/>
    <xf numFmtId="184" fontId="5" fillId="0" borderId="0" xfId="0" applyFont="1" applyFill="1" applyAlignment="1" applyProtection="1">
      <alignment horizontal="left" wrapText="1"/>
      <protection locked="0"/>
    </xf>
    <xf numFmtId="184" fontId="26" fillId="0" borderId="0" xfId="0" applyFont="1" applyFill="1" applyAlignment="1" applyProtection="1">
      <alignment horizontal="left" wrapText="1"/>
      <protection locked="0"/>
    </xf>
    <xf numFmtId="184" fontId="0" fillId="0" borderId="0" xfId="0" applyFill="1" applyAlignment="1" applyProtection="1">
      <alignment horizontal="left" wrapText="1"/>
      <protection locked="0"/>
    </xf>
    <xf numFmtId="184" fontId="28" fillId="0" borderId="0" xfId="0" applyFont="1" applyAlignment="1"/>
    <xf numFmtId="184" fontId="27" fillId="0" borderId="0" xfId="0" applyFont="1" applyAlignment="1"/>
    <xf numFmtId="184" fontId="26" fillId="0" borderId="0" xfId="0" applyFont="1" applyAlignment="1"/>
    <xf numFmtId="184" fontId="26" fillId="0" borderId="0" xfId="0" applyFont="1" applyFill="1" applyAlignment="1">
      <alignment horizontal="left" vertical="center"/>
    </xf>
    <xf numFmtId="184" fontId="27" fillId="0" borderId="0" xfId="0" applyFont="1" applyFill="1" applyAlignment="1"/>
    <xf numFmtId="2" fontId="15" fillId="0" borderId="11" xfId="0" applyNumberFormat="1" applyFont="1" applyFill="1" applyBorder="1"/>
    <xf numFmtId="184" fontId="15" fillId="0" borderId="0" xfId="0" applyFont="1" applyFill="1" applyBorder="1" applyAlignment="1">
      <alignment horizontal="center"/>
    </xf>
    <xf numFmtId="182" fontId="10" fillId="0" borderId="0" xfId="1" applyNumberFormat="1" applyFont="1" applyBorder="1" applyAlignment="1">
      <alignment horizontal="right"/>
    </xf>
    <xf numFmtId="184" fontId="0" fillId="0" borderId="0" xfId="0"/>
    <xf numFmtId="2" fontId="10" fillId="0" borderId="0" xfId="0" applyNumberFormat="1" applyFont="1" applyFill="1" applyBorder="1"/>
    <xf numFmtId="184" fontId="16" fillId="0" borderId="0" xfId="0" applyFont="1" applyFill="1" applyBorder="1"/>
    <xf numFmtId="169" fontId="10" fillId="0" borderId="9" xfId="0" applyNumberFormat="1" applyFont="1" applyBorder="1"/>
    <xf numFmtId="169" fontId="10" fillId="0" borderId="9" xfId="0" applyNumberFormat="1" applyFont="1" applyBorder="1" applyAlignment="1">
      <alignment horizontal="right"/>
    </xf>
    <xf numFmtId="169" fontId="10" fillId="0" borderId="0" xfId="0" applyNumberFormat="1" applyFont="1" applyFill="1"/>
    <xf numFmtId="37" fontId="10" fillId="0" borderId="11" xfId="0" applyNumberFormat="1" applyFont="1" applyFill="1" applyBorder="1"/>
    <xf numFmtId="37" fontId="10" fillId="0" borderId="0" xfId="0" applyNumberFormat="1" applyFont="1" applyFill="1"/>
    <xf numFmtId="168" fontId="15" fillId="0" borderId="0" xfId="7" applyNumberFormat="1" applyFont="1" applyFill="1" applyBorder="1" applyAlignment="1">
      <alignment horizontal="center"/>
    </xf>
    <xf numFmtId="171" fontId="15" fillId="0" borderId="0" xfId="0" applyNumberFormat="1" applyFont="1" applyFill="1" applyBorder="1" applyAlignment="1">
      <alignment horizontal="center"/>
    </xf>
    <xf numFmtId="171" fontId="15" fillId="0" borderId="9" xfId="0" applyNumberFormat="1" applyFont="1" applyFill="1" applyBorder="1" applyAlignment="1">
      <alignment horizontal="center"/>
    </xf>
    <xf numFmtId="171" fontId="15" fillId="0" borderId="11" xfId="0" applyNumberFormat="1" applyFont="1" applyFill="1" applyBorder="1" applyAlignment="1">
      <alignment horizontal="center"/>
    </xf>
    <xf numFmtId="171" fontId="15" fillId="0" borderId="11" xfId="7" applyNumberFormat="1" applyFont="1" applyFill="1" applyBorder="1" applyAlignment="1">
      <alignment horizontal="center"/>
    </xf>
    <xf numFmtId="184" fontId="28" fillId="0" borderId="0" xfId="0" applyFont="1" applyFill="1" applyBorder="1"/>
    <xf numFmtId="184" fontId="17" fillId="0" borderId="0" xfId="0" applyFont="1" applyFill="1" applyBorder="1" applyAlignment="1">
      <alignment horizontal="center"/>
    </xf>
    <xf numFmtId="184" fontId="17" fillId="0" borderId="11" xfId="0" applyFont="1" applyFill="1" applyBorder="1" applyAlignment="1">
      <alignment horizontal="center"/>
    </xf>
    <xf numFmtId="184" fontId="17" fillId="0" borderId="10" xfId="0" applyFont="1" applyFill="1" applyBorder="1" applyAlignment="1">
      <alignment horizontal="center"/>
    </xf>
    <xf numFmtId="184" fontId="6" fillId="0" borderId="10" xfId="0" applyFont="1" applyFill="1" applyBorder="1" applyAlignment="1">
      <alignment horizontal="center"/>
    </xf>
    <xf numFmtId="184" fontId="17" fillId="0" borderId="4" xfId="0" applyFont="1" applyFill="1" applyBorder="1" applyAlignment="1">
      <alignment horizontal="center"/>
    </xf>
    <xf numFmtId="184" fontId="9" fillId="0" borderId="12" xfId="0" applyFont="1" applyFill="1" applyBorder="1" applyAlignment="1">
      <alignment horizontal="center"/>
    </xf>
    <xf numFmtId="184" fontId="9" fillId="0" borderId="13" xfId="0" applyFont="1" applyFill="1" applyBorder="1" applyAlignment="1">
      <alignment horizontal="center"/>
    </xf>
    <xf numFmtId="184" fontId="9" fillId="0" borderId="14" xfId="0" applyFont="1" applyFill="1" applyBorder="1" applyAlignment="1">
      <alignment horizontal="center"/>
    </xf>
    <xf numFmtId="184" fontId="9" fillId="0" borderId="15" xfId="0" applyFont="1" applyFill="1" applyBorder="1" applyAlignment="1">
      <alignment horizontal="center"/>
    </xf>
    <xf numFmtId="184" fontId="16" fillId="0" borderId="9" xfId="0" applyFont="1" applyBorder="1" applyAlignment="1">
      <alignment horizontal="center"/>
    </xf>
    <xf numFmtId="182" fontId="10" fillId="0" borderId="0" xfId="0" applyNumberFormat="1" applyFont="1" applyBorder="1"/>
    <xf numFmtId="37" fontId="10" fillId="0" borderId="4" xfId="0" applyNumberFormat="1" applyFont="1" applyBorder="1"/>
    <xf numFmtId="182" fontId="10" fillId="0" borderId="7" xfId="1" applyNumberFormat="1" applyFont="1" applyBorder="1"/>
    <xf numFmtId="37" fontId="10" fillId="0" borderId="5" xfId="0" applyNumberFormat="1" applyFont="1" applyBorder="1" applyAlignment="1">
      <alignment horizontal="center"/>
    </xf>
    <xf numFmtId="37" fontId="10" fillId="0" borderId="1" xfId="0" applyNumberFormat="1" applyFont="1" applyBorder="1" applyAlignment="1">
      <alignment horizontal="center"/>
    </xf>
    <xf numFmtId="37" fontId="10" fillId="0" borderId="0" xfId="0" applyNumberFormat="1" applyFont="1" applyBorder="1" applyAlignment="1">
      <alignment horizontal="center"/>
    </xf>
    <xf numFmtId="184" fontId="0" fillId="0" borderId="0" xfId="0" applyFill="1" applyBorder="1" applyAlignment="1">
      <alignment horizontal="center"/>
    </xf>
    <xf numFmtId="182" fontId="10" fillId="0" borderId="8" xfId="1" applyNumberFormat="1" applyFont="1" applyBorder="1" applyAlignment="1">
      <alignment horizontal="center"/>
    </xf>
    <xf numFmtId="37" fontId="10" fillId="0" borderId="8" xfId="0" applyNumberFormat="1" applyFont="1" applyBorder="1" applyAlignment="1">
      <alignment horizontal="center"/>
    </xf>
    <xf numFmtId="184" fontId="0" fillId="0" borderId="0" xfId="0" applyFill="1" applyAlignment="1">
      <alignment horizontal="right"/>
    </xf>
    <xf numFmtId="184" fontId="16" fillId="0" borderId="3" xfId="0" applyFont="1" applyFill="1" applyBorder="1" applyAlignment="1">
      <alignment horizontal="centerContinuous"/>
    </xf>
    <xf numFmtId="184" fontId="16" fillId="0" borderId="4" xfId="0" applyFont="1" applyFill="1" applyBorder="1" applyAlignment="1">
      <alignment horizontal="centerContinuous"/>
    </xf>
    <xf numFmtId="184" fontId="0" fillId="0" borderId="13" xfId="0" applyBorder="1"/>
    <xf numFmtId="184" fontId="0" fillId="0" borderId="14" xfId="0" applyBorder="1"/>
    <xf numFmtId="182" fontId="10" fillId="0" borderId="5" xfId="1" applyNumberFormat="1" applyFont="1" applyBorder="1"/>
    <xf numFmtId="182" fontId="10" fillId="0" borderId="5" xfId="1" applyNumberFormat="1" applyFont="1" applyBorder="1" applyAlignment="1">
      <alignment horizontal="right"/>
    </xf>
    <xf numFmtId="182" fontId="10" fillId="0" borderId="19" xfId="1" applyNumberFormat="1" applyFont="1" applyFill="1" applyBorder="1" applyAlignment="1">
      <alignment horizontal="right"/>
    </xf>
    <xf numFmtId="182" fontId="10" fillId="0" borderId="6" xfId="1" applyNumberFormat="1" applyFont="1" applyBorder="1" applyAlignment="1">
      <alignment horizontal="right"/>
    </xf>
    <xf numFmtId="169" fontId="10" fillId="0" borderId="4" xfId="0" applyNumberFormat="1" applyFont="1" applyBorder="1"/>
    <xf numFmtId="182" fontId="10" fillId="0" borderId="3" xfId="0" applyNumberFormat="1" applyFont="1" applyBorder="1"/>
    <xf numFmtId="182" fontId="10" fillId="0" borderId="6" xfId="0" applyNumberFormat="1" applyFont="1" applyBorder="1" applyAlignment="1">
      <alignment horizontal="center"/>
    </xf>
    <xf numFmtId="184" fontId="10" fillId="0" borderId="3" xfId="0" applyFont="1" applyBorder="1" applyAlignment="1"/>
    <xf numFmtId="37" fontId="10" fillId="0" borderId="0" xfId="0" applyNumberFormat="1" applyFont="1" applyAlignment="1">
      <alignment horizontal="right"/>
    </xf>
    <xf numFmtId="168" fontId="10" fillId="0" borderId="11" xfId="7" applyNumberFormat="1" applyFont="1" applyFill="1" applyBorder="1" applyAlignment="1">
      <alignment horizontal="right"/>
    </xf>
    <xf numFmtId="184" fontId="16" fillId="0" borderId="2" xfId="0" applyFont="1" applyFill="1" applyBorder="1" applyAlignment="1">
      <alignment horizontal="centerContinuous"/>
    </xf>
    <xf numFmtId="182" fontId="26" fillId="0" borderId="0" xfId="1" applyNumberFormat="1" applyFont="1" applyBorder="1"/>
    <xf numFmtId="182" fontId="26" fillId="0" borderId="6" xfId="1" applyNumberFormat="1" applyFont="1" applyBorder="1"/>
    <xf numFmtId="43" fontId="0" fillId="0" borderId="0" xfId="1" applyFont="1" applyBorder="1"/>
    <xf numFmtId="182" fontId="0" fillId="0" borderId="0" xfId="1" applyNumberFormat="1" applyFont="1" applyBorder="1"/>
    <xf numFmtId="184" fontId="16" fillId="0" borderId="2" xfId="0" applyFont="1" applyFill="1" applyBorder="1" applyAlignment="1">
      <alignment horizontal="center"/>
    </xf>
    <xf numFmtId="184" fontId="6" fillId="0" borderId="9" xfId="0" applyFont="1" applyFill="1" applyBorder="1" applyAlignment="1">
      <alignment horizontal="center"/>
    </xf>
    <xf numFmtId="184" fontId="6" fillId="0" borderId="0" xfId="0" applyFont="1" applyFill="1" applyBorder="1" applyAlignment="1">
      <alignment horizontal="center"/>
    </xf>
    <xf numFmtId="184" fontId="6" fillId="0" borderId="4" xfId="0" applyFont="1" applyFill="1" applyBorder="1" applyAlignment="1">
      <alignment horizontal="center"/>
    </xf>
    <xf numFmtId="184" fontId="10" fillId="0" borderId="2" xfId="0" applyFont="1" applyBorder="1" applyAlignment="1"/>
    <xf numFmtId="169" fontId="10" fillId="0" borderId="16" xfId="1" applyNumberFormat="1" applyFont="1" applyFill="1" applyBorder="1" applyAlignment="1">
      <alignment horizontal="right"/>
    </xf>
    <xf numFmtId="169" fontId="10" fillId="0" borderId="2" xfId="1" applyNumberFormat="1" applyFont="1" applyFill="1" applyBorder="1" applyAlignment="1">
      <alignment horizontal="right"/>
    </xf>
    <xf numFmtId="169" fontId="10" fillId="0" borderId="3" xfId="1" applyNumberFormat="1" applyFont="1" applyFill="1" applyBorder="1" applyAlignment="1">
      <alignment horizontal="right"/>
    </xf>
    <xf numFmtId="182" fontId="10" fillId="0" borderId="12" xfId="1" applyNumberFormat="1" applyFont="1" applyBorder="1"/>
    <xf numFmtId="182" fontId="10" fillId="0" borderId="10" xfId="1" applyNumberFormat="1" applyFont="1" applyBorder="1" applyAlignment="1">
      <alignment horizontal="right"/>
    </xf>
    <xf numFmtId="182" fontId="10" fillId="0" borderId="0" xfId="1" applyNumberFormat="1" applyFont="1" applyAlignment="1">
      <alignment horizontal="right"/>
    </xf>
    <xf numFmtId="169" fontId="10" fillId="0" borderId="4" xfId="1" applyNumberFormat="1" applyFont="1" applyFill="1" applyBorder="1" applyAlignment="1">
      <alignment horizontal="right"/>
    </xf>
    <xf numFmtId="182" fontId="10" fillId="0" borderId="0" xfId="1" applyNumberFormat="1" applyFont="1"/>
    <xf numFmtId="168" fontId="10" fillId="0" borderId="14" xfId="0" applyNumberFormat="1" applyFont="1" applyBorder="1" applyAlignment="1">
      <alignment horizontal="right"/>
    </xf>
    <xf numFmtId="182" fontId="15" fillId="0" borderId="0" xfId="1" applyNumberFormat="1" applyFont="1" applyFill="1" applyBorder="1" applyAlignment="1">
      <alignment horizontal="center"/>
    </xf>
    <xf numFmtId="43" fontId="10" fillId="0" borderId="9" xfId="1" applyFont="1" applyFill="1" applyBorder="1"/>
    <xf numFmtId="169" fontId="15" fillId="0" borderId="9" xfId="1" applyNumberFormat="1" applyFont="1" applyFill="1" applyBorder="1" applyAlignment="1">
      <alignment horizontal="center"/>
    </xf>
    <xf numFmtId="169" fontId="15" fillId="0" borderId="0" xfId="1" applyNumberFormat="1" applyFont="1" applyFill="1" applyBorder="1" applyAlignment="1">
      <alignment horizontal="center"/>
    </xf>
    <xf numFmtId="169" fontId="15" fillId="0" borderId="11" xfId="1" applyNumberFormat="1" applyFont="1" applyFill="1" applyBorder="1" applyAlignment="1">
      <alignment horizontal="center"/>
    </xf>
    <xf numFmtId="168" fontId="10" fillId="0" borderId="11" xfId="7" applyNumberFormat="1" applyFont="1" applyFill="1" applyBorder="1" applyAlignment="1">
      <alignment horizontal="right"/>
    </xf>
    <xf numFmtId="169" fontId="10" fillId="0" borderId="10" xfId="1" applyNumberFormat="1" applyFont="1" applyFill="1" applyBorder="1"/>
    <xf numFmtId="37" fontId="10" fillId="0" borderId="0" xfId="1" applyNumberFormat="1" applyFont="1" applyFill="1" applyBorder="1" applyAlignment="1">
      <alignment horizontal="right"/>
    </xf>
    <xf numFmtId="168" fontId="10" fillId="0" borderId="14" xfId="0" applyNumberFormat="1" applyFont="1" applyFill="1" applyBorder="1" applyAlignment="1">
      <alignment horizontal="right"/>
    </xf>
    <xf numFmtId="168" fontId="28" fillId="0" borderId="0" xfId="0" applyNumberFormat="1" applyFont="1"/>
    <xf numFmtId="168" fontId="28" fillId="0" borderId="0" xfId="0" applyNumberFormat="1" applyFont="1" applyFill="1"/>
    <xf numFmtId="188" fontId="28" fillId="0" borderId="0" xfId="4" applyNumberFormat="1" applyFont="1" applyFill="1" applyBorder="1" applyAlignment="1">
      <alignment horizontal="center" vertical="top"/>
    </xf>
    <xf numFmtId="169" fontId="10" fillId="0" borderId="8" xfId="0" applyNumberFormat="1" applyFont="1" applyBorder="1" applyAlignment="1">
      <alignment horizontal="right"/>
    </xf>
    <xf numFmtId="184" fontId="19" fillId="0" borderId="0" xfId="0" applyNumberFormat="1" applyFont="1" applyFill="1" applyAlignment="1">
      <alignment horizontal="center"/>
    </xf>
    <xf numFmtId="184" fontId="16" fillId="0" borderId="2" xfId="0" applyFont="1" applyFill="1" applyBorder="1" applyAlignment="1">
      <alignment horizontal="center"/>
    </xf>
    <xf numFmtId="184" fontId="16" fillId="0" borderId="4" xfId="0" applyFont="1" applyFill="1" applyBorder="1" applyAlignment="1">
      <alignment horizontal="center"/>
    </xf>
    <xf numFmtId="184" fontId="0" fillId="0" borderId="9" xfId="0" applyBorder="1" applyAlignment="1">
      <alignment horizontal="center"/>
    </xf>
    <xf numFmtId="184" fontId="16" fillId="0" borderId="2" xfId="0" applyFont="1" applyBorder="1" applyAlignment="1">
      <alignment horizontal="center"/>
    </xf>
    <xf numFmtId="167" fontId="10" fillId="0" borderId="2" xfId="0" applyNumberFormat="1" applyFont="1" applyFill="1" applyBorder="1"/>
    <xf numFmtId="176" fontId="10" fillId="0" borderId="2" xfId="1" applyNumberFormat="1" applyFont="1" applyFill="1" applyBorder="1"/>
    <xf numFmtId="176" fontId="10" fillId="0" borderId="10" xfId="1" applyNumberFormat="1" applyFont="1" applyFill="1" applyBorder="1"/>
    <xf numFmtId="184" fontId="0" fillId="0" borderId="10" xfId="0" applyFill="1" applyBorder="1"/>
    <xf numFmtId="184" fontId="19" fillId="0" borderId="10" xfId="0" applyFont="1" applyBorder="1"/>
    <xf numFmtId="182" fontId="10" fillId="0" borderId="11" xfId="1" applyNumberFormat="1" applyFont="1" applyFill="1" applyBorder="1"/>
    <xf numFmtId="184" fontId="16" fillId="0" borderId="2" xfId="0" applyFont="1" applyFill="1" applyBorder="1" applyAlignment="1">
      <alignment horizontal="center"/>
    </xf>
    <xf numFmtId="182" fontId="10" fillId="0" borderId="9" xfId="1" applyNumberFormat="1" applyFont="1" applyFill="1" applyBorder="1"/>
    <xf numFmtId="43" fontId="10" fillId="0" borderId="11" xfId="1" applyFont="1" applyFill="1" applyBorder="1" applyAlignment="1">
      <alignment horizontal="right"/>
    </xf>
    <xf numFmtId="43" fontId="10" fillId="0" borderId="9" xfId="1" applyFont="1" applyFill="1" applyBorder="1" applyAlignment="1">
      <alignment horizontal="right"/>
    </xf>
    <xf numFmtId="43" fontId="10" fillId="0" borderId="8" xfId="1" applyFont="1" applyFill="1" applyBorder="1" applyAlignment="1">
      <alignment horizontal="right"/>
    </xf>
    <xf numFmtId="187" fontId="0" fillId="0" borderId="0" xfId="0" applyNumberFormat="1" applyFill="1" applyBorder="1"/>
    <xf numFmtId="192" fontId="0" fillId="0" borderId="0" xfId="1" applyNumberFormat="1" applyFont="1" applyAlignment="1">
      <alignment horizontal="center"/>
    </xf>
    <xf numFmtId="184" fontId="48" fillId="0" borderId="0" xfId="26" applyAlignment="1">
      <alignment horizontal="center"/>
    </xf>
    <xf numFmtId="183" fontId="48" fillId="0" borderId="0" xfId="27" applyNumberFormat="1" applyAlignment="1">
      <alignment horizontal="center"/>
    </xf>
    <xf numFmtId="184" fontId="48" fillId="0" borderId="0" xfId="28" applyAlignment="1">
      <alignment horizontal="center"/>
    </xf>
    <xf numFmtId="4" fontId="0" fillId="0" borderId="0" xfId="0" applyNumberFormat="1" applyBorder="1"/>
    <xf numFmtId="4" fontId="0" fillId="0" borderId="21" xfId="0" applyNumberFormat="1" applyBorder="1"/>
    <xf numFmtId="184" fontId="49" fillId="0" borderId="0" xfId="0" applyFont="1"/>
    <xf numFmtId="182" fontId="10" fillId="0" borderId="0" xfId="1" applyNumberFormat="1" applyFont="1" applyFill="1" applyBorder="1" applyAlignment="1">
      <alignment horizontal="center"/>
    </xf>
    <xf numFmtId="182" fontId="15" fillId="0" borderId="9" xfId="1" applyNumberFormat="1" applyFont="1" applyFill="1" applyBorder="1" applyAlignment="1">
      <alignment horizontal="center"/>
    </xf>
    <xf numFmtId="43" fontId="15" fillId="0" borderId="0" xfId="1" applyNumberFormat="1" applyFont="1" applyFill="1" applyBorder="1" applyAlignment="1"/>
    <xf numFmtId="171" fontId="8" fillId="0" borderId="0" xfId="7" applyNumberFormat="1" applyFont="1" applyFill="1" applyBorder="1" applyAlignment="1">
      <alignment horizontal="left"/>
    </xf>
    <xf numFmtId="184" fontId="0" fillId="0" borderId="0" xfId="0"/>
    <xf numFmtId="184" fontId="0" fillId="0" borderId="0" xfId="0" applyBorder="1"/>
    <xf numFmtId="168" fontId="10" fillId="0" borderId="11" xfId="7" applyNumberFormat="1" applyFont="1" applyFill="1" applyBorder="1" applyAlignment="1">
      <alignment horizontal="right"/>
    </xf>
    <xf numFmtId="184" fontId="10" fillId="0" borderId="0" xfId="0" applyFont="1"/>
    <xf numFmtId="184" fontId="10" fillId="0" borderId="0" xfId="0" applyFont="1" applyBorder="1"/>
    <xf numFmtId="184" fontId="10" fillId="0" borderId="0" xfId="0" applyFont="1" applyFill="1"/>
    <xf numFmtId="168" fontId="10" fillId="0" borderId="0" xfId="0" applyNumberFormat="1" applyFont="1"/>
    <xf numFmtId="37" fontId="10" fillId="0" borderId="9" xfId="1" applyNumberFormat="1" applyFont="1" applyFill="1" applyBorder="1"/>
    <xf numFmtId="37" fontId="10" fillId="0" borderId="9" xfId="0" applyNumberFormat="1" applyFont="1" applyBorder="1"/>
    <xf numFmtId="169" fontId="10" fillId="0" borderId="0" xfId="0" applyNumberFormat="1" applyFont="1" applyBorder="1"/>
    <xf numFmtId="167" fontId="10" fillId="0" borderId="0" xfId="0" applyNumberFormat="1" applyFont="1"/>
    <xf numFmtId="37" fontId="10" fillId="0" borderId="10" xfId="1" applyNumberFormat="1" applyFont="1" applyFill="1" applyBorder="1" applyAlignment="1">
      <alignment horizontal="right"/>
    </xf>
    <xf numFmtId="184" fontId="12" fillId="0" borderId="0" xfId="0" applyFont="1" applyFill="1"/>
    <xf numFmtId="37" fontId="10" fillId="0" borderId="0" xfId="0" applyNumberFormat="1" applyFont="1" applyBorder="1" applyAlignment="1">
      <alignment horizontal="right"/>
    </xf>
    <xf numFmtId="37" fontId="10" fillId="0" borderId="9" xfId="0" applyNumberFormat="1" applyFont="1" applyBorder="1" applyAlignment="1">
      <alignment horizontal="right"/>
    </xf>
    <xf numFmtId="167" fontId="10" fillId="0" borderId="0" xfId="0" applyNumberFormat="1" applyFont="1" applyFill="1"/>
    <xf numFmtId="37" fontId="10" fillId="0" borderId="10" xfId="0" applyNumberFormat="1" applyFont="1" applyBorder="1" applyAlignment="1">
      <alignment horizontal="right"/>
    </xf>
    <xf numFmtId="37" fontId="10" fillId="0" borderId="0" xfId="0" applyNumberFormat="1" applyFont="1" applyBorder="1"/>
    <xf numFmtId="37" fontId="10" fillId="0" borderId="11" xfId="0" applyNumberFormat="1" applyFont="1" applyBorder="1"/>
    <xf numFmtId="184" fontId="10" fillId="0" borderId="0" xfId="0" applyFont="1" applyBorder="1" applyAlignment="1">
      <alignment wrapText="1"/>
    </xf>
    <xf numFmtId="168" fontId="10" fillId="0" borderId="9" xfId="7" applyNumberFormat="1" applyFont="1" applyFill="1" applyBorder="1" applyAlignment="1">
      <alignment horizontal="right"/>
    </xf>
    <xf numFmtId="168" fontId="10" fillId="0" borderId="11" xfId="7" applyNumberFormat="1" applyFont="1" applyFill="1" applyBorder="1" applyAlignment="1">
      <alignment horizontal="right"/>
    </xf>
    <xf numFmtId="184" fontId="10" fillId="0" borderId="0" xfId="14" applyFont="1" applyFill="1"/>
    <xf numFmtId="37" fontId="10" fillId="0" borderId="9" xfId="1" applyNumberFormat="1" applyFont="1" applyFill="1" applyBorder="1" applyAlignment="1">
      <alignment horizontal="right"/>
    </xf>
    <xf numFmtId="37" fontId="10" fillId="0" borderId="0" xfId="1" applyNumberFormat="1" applyFont="1" applyFill="1" applyBorder="1" applyAlignment="1">
      <alignment horizontal="right"/>
    </xf>
    <xf numFmtId="37" fontId="10" fillId="0" borderId="11" xfId="1" applyNumberFormat="1" applyFont="1" applyFill="1" applyBorder="1" applyAlignment="1">
      <alignment horizontal="right"/>
    </xf>
    <xf numFmtId="184" fontId="12" fillId="0" borderId="0" xfId="14" applyFont="1" applyFill="1"/>
    <xf numFmtId="37" fontId="10" fillId="0" borderId="0" xfId="7" applyNumberFormat="1" applyFont="1" applyFill="1" applyBorder="1" applyAlignment="1">
      <alignment horizontal="right"/>
    </xf>
    <xf numFmtId="182" fontId="10" fillId="0" borderId="11" xfId="1" applyNumberFormat="1" applyFont="1" applyFill="1" applyBorder="1" applyAlignment="1">
      <alignment horizontal="right"/>
    </xf>
    <xf numFmtId="182" fontId="10" fillId="0" borderId="0" xfId="1" applyNumberFormat="1" applyFont="1" applyFill="1" applyBorder="1" applyAlignment="1">
      <alignment horizontal="right"/>
    </xf>
    <xf numFmtId="182" fontId="10" fillId="0" borderId="9" xfId="1" applyNumberFormat="1" applyFont="1" applyBorder="1"/>
    <xf numFmtId="182" fontId="10" fillId="0" borderId="9" xfId="1" applyNumberFormat="1" applyFont="1" applyFill="1" applyBorder="1" applyAlignment="1">
      <alignment horizontal="right"/>
    </xf>
    <xf numFmtId="184" fontId="5" fillId="0" borderId="0" xfId="14"/>
    <xf numFmtId="169" fontId="10" fillId="0" borderId="0" xfId="1" applyNumberFormat="1" applyFont="1" applyFill="1" applyBorder="1"/>
    <xf numFmtId="168" fontId="10" fillId="0" borderId="0" xfId="7" applyNumberFormat="1" applyFont="1" applyFill="1" applyBorder="1" applyAlignment="1">
      <alignment horizontal="right"/>
    </xf>
    <xf numFmtId="184" fontId="28" fillId="0" borderId="0" xfId="14" applyFont="1"/>
    <xf numFmtId="184" fontId="28" fillId="0" borderId="0" xfId="14" applyFont="1" applyFill="1"/>
    <xf numFmtId="184" fontId="29" fillId="0" borderId="0" xfId="14" applyFont="1" applyFill="1"/>
    <xf numFmtId="184" fontId="28" fillId="0" borderId="0" xfId="14" applyFont="1" applyFill="1" applyAlignment="1"/>
    <xf numFmtId="184" fontId="35" fillId="0" borderId="0" xfId="0" applyFont="1" applyFill="1" applyBorder="1" applyAlignment="1">
      <alignment horizontal="left"/>
    </xf>
    <xf numFmtId="184" fontId="0" fillId="0" borderId="0" xfId="0" applyFill="1" applyAlignment="1">
      <alignment wrapText="1"/>
    </xf>
    <xf numFmtId="43" fontId="10" fillId="0" borderId="0" xfId="1" applyFont="1" applyFill="1" applyBorder="1"/>
    <xf numFmtId="10" fontId="10" fillId="0" borderId="0" xfId="7" applyNumberFormat="1" applyFont="1"/>
    <xf numFmtId="182" fontId="8" fillId="0" borderId="0" xfId="1" applyNumberFormat="1" applyFont="1" applyFill="1" applyBorder="1" applyAlignment="1">
      <alignment horizontal="left"/>
    </xf>
    <xf numFmtId="182" fontId="5" fillId="0" borderId="0" xfId="1" applyNumberFormat="1" applyFont="1" applyFill="1" applyBorder="1" applyAlignment="1">
      <alignment horizontal="left"/>
    </xf>
    <xf numFmtId="167" fontId="0" fillId="0" borderId="0" xfId="0" applyNumberFormat="1" applyFill="1" applyAlignment="1"/>
    <xf numFmtId="184" fontId="5" fillId="0" borderId="0" xfId="14" applyFill="1"/>
    <xf numFmtId="2" fontId="10" fillId="0" borderId="9" xfId="0" applyNumberFormat="1" applyFont="1" applyFill="1" applyBorder="1"/>
    <xf numFmtId="184" fontId="17" fillId="0" borderId="0" xfId="0" applyFont="1" applyFill="1" applyBorder="1" applyAlignment="1">
      <alignment horizontal="center"/>
    </xf>
    <xf numFmtId="184" fontId="17" fillId="0" borderId="11" xfId="0" applyFont="1" applyFill="1" applyBorder="1" applyAlignment="1">
      <alignment horizontal="center"/>
    </xf>
    <xf numFmtId="184" fontId="17" fillId="0" borderId="10" xfId="0" applyFont="1" applyFill="1" applyBorder="1" applyAlignment="1">
      <alignment horizontal="center"/>
    </xf>
    <xf numFmtId="184" fontId="16" fillId="0" borderId="7" xfId="0" applyFont="1" applyBorder="1" applyAlignment="1">
      <alignment horizontal="center"/>
    </xf>
    <xf numFmtId="184" fontId="16" fillId="0" borderId="2" xfId="0" applyFont="1" applyBorder="1" applyAlignment="1">
      <alignment horizontal="center"/>
    </xf>
    <xf numFmtId="37" fontId="10" fillId="0" borderId="12" xfId="7" applyNumberFormat="1" applyFont="1" applyFill="1" applyBorder="1" applyAlignment="1">
      <alignment horizontal="right"/>
    </xf>
    <xf numFmtId="168" fontId="10" fillId="0" borderId="31" xfId="7" applyNumberFormat="1" applyFont="1" applyFill="1" applyBorder="1" applyAlignment="1">
      <alignment horizontal="right"/>
    </xf>
    <xf numFmtId="184" fontId="0" fillId="0" borderId="9" xfId="0" applyBorder="1" applyAlignment="1">
      <alignment horizontal="center"/>
    </xf>
    <xf numFmtId="182" fontId="10" fillId="5" borderId="0" xfId="1" applyNumberFormat="1" applyFont="1" applyFill="1" applyBorder="1" applyAlignment="1">
      <alignment horizontal="right"/>
    </xf>
    <xf numFmtId="182" fontId="10" fillId="5" borderId="11" xfId="1" applyNumberFormat="1" applyFont="1" applyFill="1" applyBorder="1"/>
    <xf numFmtId="182" fontId="10" fillId="5" borderId="13" xfId="7" applyNumberFormat="1" applyFont="1" applyFill="1" applyBorder="1" applyAlignment="1">
      <alignment horizontal="right"/>
    </xf>
    <xf numFmtId="182" fontId="10" fillId="5" borderId="14" xfId="1" applyNumberFormat="1" applyFont="1" applyFill="1" applyBorder="1"/>
    <xf numFmtId="182" fontId="10" fillId="5" borderId="12" xfId="1" applyNumberFormat="1" applyFont="1" applyFill="1" applyBorder="1" applyAlignment="1">
      <alignment horizontal="right"/>
    </xf>
    <xf numFmtId="182" fontId="10" fillId="5" borderId="13" xfId="1" applyNumberFormat="1" applyFont="1" applyFill="1" applyBorder="1" applyAlignment="1">
      <alignment horizontal="right"/>
    </xf>
    <xf numFmtId="37" fontId="10" fillId="5" borderId="0" xfId="7" applyNumberFormat="1" applyFont="1" applyFill="1" applyBorder="1" applyAlignment="1">
      <alignment horizontal="right"/>
    </xf>
    <xf numFmtId="37" fontId="10" fillId="5" borderId="11" xfId="1" applyNumberFormat="1" applyFont="1" applyFill="1" applyBorder="1"/>
    <xf numFmtId="182" fontId="10" fillId="5" borderId="11" xfId="1" applyNumberFormat="1" applyFont="1" applyFill="1" applyBorder="1" applyAlignment="1">
      <alignment horizontal="right"/>
    </xf>
    <xf numFmtId="182" fontId="10" fillId="5" borderId="13" xfId="1" applyNumberFormat="1" applyFont="1" applyFill="1" applyBorder="1"/>
    <xf numFmtId="182" fontId="10" fillId="5" borderId="19" xfId="1" applyNumberFormat="1" applyFont="1" applyFill="1" applyBorder="1" applyAlignment="1">
      <alignment horizontal="right"/>
    </xf>
    <xf numFmtId="182" fontId="10" fillId="5" borderId="17" xfId="1" applyNumberFormat="1" applyFont="1" applyFill="1" applyBorder="1" applyAlignment="1">
      <alignment horizontal="right"/>
    </xf>
    <xf numFmtId="182" fontId="10" fillId="5" borderId="9" xfId="1" applyNumberFormat="1" applyFont="1" applyFill="1" applyBorder="1" applyAlignment="1">
      <alignment horizontal="right"/>
    </xf>
    <xf numFmtId="182" fontId="10" fillId="5" borderId="15" xfId="1" applyNumberFormat="1" applyFont="1" applyFill="1" applyBorder="1" applyAlignment="1">
      <alignment horizontal="right"/>
    </xf>
    <xf numFmtId="182" fontId="10" fillId="5" borderId="9" xfId="0" applyNumberFormat="1" applyFont="1" applyFill="1" applyBorder="1" applyAlignment="1">
      <alignment horizontal="right"/>
    </xf>
    <xf numFmtId="182" fontId="10" fillId="5" borderId="14" xfId="1" applyNumberFormat="1" applyFont="1" applyFill="1" applyBorder="1" applyAlignment="1">
      <alignment horizontal="right"/>
    </xf>
    <xf numFmtId="182" fontId="10" fillId="5" borderId="15" xfId="1" applyNumberFormat="1" applyFont="1" applyFill="1" applyBorder="1"/>
    <xf numFmtId="182" fontId="10" fillId="5" borderId="7" xfId="1" applyNumberFormat="1" applyFont="1" applyFill="1" applyBorder="1" applyAlignment="1">
      <alignment horizontal="right"/>
    </xf>
    <xf numFmtId="182" fontId="10" fillId="5" borderId="4" xfId="1" applyNumberFormat="1" applyFont="1" applyFill="1" applyBorder="1" applyAlignment="1">
      <alignment horizontal="right"/>
    </xf>
    <xf numFmtId="182" fontId="10" fillId="5" borderId="8" xfId="1" applyNumberFormat="1" applyFont="1" applyFill="1" applyBorder="1" applyAlignment="1">
      <alignment horizontal="right"/>
    </xf>
    <xf numFmtId="182" fontId="10" fillId="5" borderId="17" xfId="1" applyNumberFormat="1" applyFont="1" applyFill="1" applyBorder="1" applyAlignment="1">
      <alignment horizontal="center"/>
    </xf>
    <xf numFmtId="182" fontId="10" fillId="5" borderId="0" xfId="7" applyNumberFormat="1" applyFont="1" applyFill="1" applyBorder="1" applyAlignment="1">
      <alignment horizontal="right"/>
    </xf>
    <xf numFmtId="182" fontId="10" fillId="5" borderId="0" xfId="1" applyNumberFormat="1" applyFont="1" applyFill="1" applyBorder="1"/>
    <xf numFmtId="182" fontId="10" fillId="5" borderId="0" xfId="7" applyNumberFormat="1" applyFont="1" applyFill="1" applyBorder="1"/>
    <xf numFmtId="182" fontId="10" fillId="5" borderId="0" xfId="0" applyNumberFormat="1" applyFont="1" applyFill="1" applyBorder="1"/>
    <xf numFmtId="182" fontId="10" fillId="5" borderId="11" xfId="0" applyNumberFormat="1" applyFont="1" applyFill="1" applyBorder="1"/>
    <xf numFmtId="182" fontId="10" fillId="5" borderId="6" xfId="0" applyNumberFormat="1" applyFont="1" applyFill="1" applyBorder="1"/>
    <xf numFmtId="182" fontId="10" fillId="5" borderId="1" xfId="0" applyNumberFormat="1" applyFont="1" applyFill="1" applyBorder="1"/>
    <xf numFmtId="182" fontId="10" fillId="5" borderId="9" xfId="0" applyNumberFormat="1" applyFont="1" applyFill="1" applyBorder="1"/>
    <xf numFmtId="182" fontId="10" fillId="5" borderId="8" xfId="0" applyNumberFormat="1" applyFont="1" applyFill="1" applyBorder="1"/>
    <xf numFmtId="182" fontId="10" fillId="5" borderId="13" xfId="0" applyNumberFormat="1" applyFont="1" applyFill="1" applyBorder="1"/>
    <xf numFmtId="182" fontId="10" fillId="5" borderId="14" xfId="0" applyNumberFormat="1" applyFont="1" applyFill="1" applyBorder="1"/>
    <xf numFmtId="182" fontId="10" fillId="5" borderId="2" xfId="1" applyNumberFormat="1" applyFont="1" applyFill="1" applyBorder="1"/>
    <xf numFmtId="182" fontId="10" fillId="5" borderId="10" xfId="1" applyNumberFormat="1" applyFont="1" applyFill="1" applyBorder="1"/>
    <xf numFmtId="182" fontId="10" fillId="5" borderId="5" xfId="1" applyNumberFormat="1" applyFont="1" applyFill="1" applyBorder="1"/>
    <xf numFmtId="182" fontId="10" fillId="5" borderId="12" xfId="0" applyNumberFormat="1" applyFont="1" applyFill="1" applyBorder="1"/>
    <xf numFmtId="182" fontId="10" fillId="5" borderId="15" xfId="0" applyNumberFormat="1" applyFont="1" applyFill="1" applyBorder="1"/>
    <xf numFmtId="43" fontId="5" fillId="0" borderId="0" xfId="1" applyFont="1" applyBorder="1"/>
    <xf numFmtId="184" fontId="28" fillId="0" borderId="0" xfId="0" applyFont="1" applyFill="1" applyAlignment="1"/>
    <xf numFmtId="169" fontId="10" fillId="0" borderId="0" xfId="7" applyNumberFormat="1" applyFont="1" applyFill="1" applyBorder="1" applyAlignment="1">
      <alignment horizontal="right"/>
    </xf>
    <xf numFmtId="169" fontId="10" fillId="0" borderId="0" xfId="1" applyNumberFormat="1" applyFont="1" applyBorder="1"/>
    <xf numFmtId="169" fontId="10" fillId="0" borderId="13" xfId="7" applyNumberFormat="1" applyFont="1" applyFill="1" applyBorder="1" applyAlignment="1">
      <alignment horizontal="right"/>
    </xf>
    <xf numFmtId="167" fontId="10" fillId="0" borderId="0" xfId="0" applyNumberFormat="1" applyFont="1" applyBorder="1"/>
    <xf numFmtId="169" fontId="10" fillId="0" borderId="6" xfId="0" applyNumberFormat="1" applyFont="1" applyBorder="1" applyAlignment="1">
      <alignment horizontal="right"/>
    </xf>
    <xf numFmtId="169" fontId="10" fillId="0" borderId="1" xfId="0" applyNumberFormat="1" applyFont="1" applyBorder="1" applyAlignment="1">
      <alignment horizontal="right"/>
    </xf>
    <xf numFmtId="169" fontId="10" fillId="0" borderId="8" xfId="1" applyNumberFormat="1" applyFont="1" applyBorder="1" applyAlignment="1">
      <alignment horizontal="right"/>
    </xf>
    <xf numFmtId="180" fontId="10" fillId="0" borderId="0" xfId="1" applyNumberFormat="1" applyFont="1" applyFill="1" applyBorder="1" applyAlignment="1">
      <alignment horizontal="right"/>
    </xf>
    <xf numFmtId="180" fontId="10" fillId="0" borderId="11" xfId="1" applyNumberFormat="1" applyFont="1" applyFill="1" applyBorder="1" applyAlignment="1">
      <alignment horizontal="right"/>
    </xf>
    <xf numFmtId="180" fontId="10" fillId="0" borderId="9" xfId="1" applyNumberFormat="1" applyFont="1" applyFill="1" applyBorder="1" applyAlignment="1">
      <alignment horizontal="right"/>
    </xf>
    <xf numFmtId="181" fontId="10" fillId="0" borderId="0" xfId="7" applyNumberFormat="1" applyFont="1" applyFill="1" applyBorder="1" applyAlignment="1">
      <alignment horizontal="right"/>
    </xf>
    <xf numFmtId="181" fontId="10" fillId="0" borderId="0" xfId="1" applyNumberFormat="1" applyFont="1" applyBorder="1"/>
    <xf numFmtId="167" fontId="10" fillId="0" borderId="0" xfId="1" applyNumberFormat="1" applyFont="1" applyFill="1" applyBorder="1" applyAlignment="1">
      <alignment horizontal="right"/>
    </xf>
    <xf numFmtId="167" fontId="10" fillId="0" borderId="11" xfId="1" applyNumberFormat="1" applyFont="1" applyFill="1" applyBorder="1" applyAlignment="1">
      <alignment horizontal="right"/>
    </xf>
    <xf numFmtId="167" fontId="10" fillId="0" borderId="0" xfId="1" applyNumberFormat="1" applyFont="1" applyFill="1" applyBorder="1"/>
    <xf numFmtId="169" fontId="15" fillId="0" borderId="0" xfId="0" applyNumberFormat="1" applyFont="1" applyFill="1" applyBorder="1"/>
    <xf numFmtId="182" fontId="10" fillId="0" borderId="11" xfId="1" applyNumberFormat="1" applyFont="1" applyBorder="1"/>
    <xf numFmtId="37" fontId="10" fillId="5" borderId="0" xfId="1" applyNumberFormat="1" applyFont="1" applyFill="1" applyBorder="1"/>
    <xf numFmtId="182" fontId="10" fillId="0" borderId="9" xfId="1" applyNumberFormat="1" applyFont="1" applyBorder="1" applyAlignment="1">
      <alignment horizontal="right"/>
    </xf>
    <xf numFmtId="43" fontId="0" fillId="0" borderId="0" xfId="1" applyFont="1" applyFill="1" applyBorder="1" applyAlignment="1"/>
    <xf numFmtId="182" fontId="10" fillId="0" borderId="6" xfId="1" applyNumberFormat="1" applyFont="1" applyFill="1" applyBorder="1" applyAlignment="1">
      <alignment horizontal="right"/>
    </xf>
    <xf numFmtId="182" fontId="10" fillId="0" borderId="1" xfId="1" applyNumberFormat="1" applyFont="1" applyFill="1" applyBorder="1"/>
    <xf numFmtId="37" fontId="10" fillId="0" borderId="5" xfId="7" applyNumberFormat="1" applyFont="1" applyFill="1" applyBorder="1" applyAlignment="1">
      <alignment horizontal="right"/>
    </xf>
    <xf numFmtId="37" fontId="10" fillId="5" borderId="6" xfId="7" applyNumberFormat="1" applyFont="1" applyFill="1" applyBorder="1" applyAlignment="1">
      <alignment horizontal="right"/>
    </xf>
    <xf numFmtId="37" fontId="10" fillId="5" borderId="1" xfId="1" applyNumberFormat="1" applyFont="1" applyFill="1" applyBorder="1"/>
    <xf numFmtId="182" fontId="10" fillId="5" borderId="8" xfId="0" applyNumberFormat="1" applyFont="1" applyFill="1" applyBorder="1" applyAlignment="1">
      <alignment horizontal="right"/>
    </xf>
    <xf numFmtId="182" fontId="10" fillId="0" borderId="8" xfId="1" applyNumberFormat="1" applyFont="1" applyBorder="1" applyAlignment="1">
      <alignment horizontal="right"/>
    </xf>
    <xf numFmtId="167" fontId="10" fillId="0" borderId="5" xfId="0" applyNumberFormat="1" applyFont="1" applyBorder="1" applyAlignment="1">
      <alignment horizontal="right"/>
    </xf>
    <xf numFmtId="184" fontId="17" fillId="0" borderId="0" xfId="0" applyFont="1" applyFill="1" applyBorder="1" applyAlignment="1">
      <alignment horizontal="center"/>
    </xf>
    <xf numFmtId="171" fontId="0" fillId="0" borderId="0" xfId="7" applyNumberFormat="1" applyFont="1" applyFill="1" applyBorder="1"/>
    <xf numFmtId="2" fontId="0" fillId="0" borderId="0" xfId="7" applyNumberFormat="1" applyFont="1" applyFill="1" applyBorder="1"/>
    <xf numFmtId="184" fontId="0" fillId="0" borderId="2" xfId="0" applyFill="1" applyBorder="1"/>
    <xf numFmtId="184" fontId="0" fillId="0" borderId="4" xfId="0" applyFill="1" applyBorder="1"/>
    <xf numFmtId="184" fontId="0" fillId="0" borderId="7" xfId="0" applyFill="1" applyBorder="1"/>
    <xf numFmtId="184" fontId="0" fillId="0" borderId="9" xfId="0" applyFill="1" applyBorder="1"/>
    <xf numFmtId="184" fontId="0" fillId="0" borderId="13" xfId="0" applyFill="1" applyBorder="1"/>
    <xf numFmtId="184" fontId="0" fillId="0" borderId="14" xfId="0" applyFill="1" applyBorder="1"/>
    <xf numFmtId="184" fontId="0" fillId="0" borderId="11" xfId="0" applyFill="1" applyBorder="1"/>
    <xf numFmtId="182" fontId="15" fillId="0" borderId="11" xfId="1" applyNumberFormat="1" applyFont="1" applyFill="1" applyBorder="1" applyAlignment="1">
      <alignment horizontal="center"/>
    </xf>
    <xf numFmtId="184" fontId="15" fillId="0" borderId="11" xfId="0" applyFont="1" applyFill="1" applyBorder="1" applyAlignment="1">
      <alignment horizontal="center"/>
    </xf>
    <xf numFmtId="184" fontId="15" fillId="0" borderId="5" xfId="0" applyFont="1" applyFill="1" applyBorder="1"/>
    <xf numFmtId="184" fontId="15" fillId="0" borderId="1" xfId="0" applyFont="1" applyFill="1" applyBorder="1"/>
    <xf numFmtId="184" fontId="42" fillId="0" borderId="0" xfId="0" applyFont="1" applyFill="1"/>
    <xf numFmtId="168" fontId="7" fillId="0" borderId="0" xfId="0" applyNumberFormat="1" applyFont="1" applyFill="1" applyBorder="1"/>
    <xf numFmtId="184" fontId="15" fillId="0" borderId="4" xfId="0" applyFont="1" applyFill="1" applyBorder="1"/>
    <xf numFmtId="184" fontId="15" fillId="0" borderId="3" xfId="0" applyFont="1" applyFill="1" applyBorder="1"/>
    <xf numFmtId="184" fontId="15" fillId="0" borderId="2" xfId="0" applyFont="1" applyFill="1" applyBorder="1"/>
    <xf numFmtId="37" fontId="15" fillId="0" borderId="11" xfId="0" applyNumberFormat="1" applyFont="1" applyFill="1" applyBorder="1"/>
    <xf numFmtId="184" fontId="39" fillId="0" borderId="0" xfId="0" applyFont="1" applyFill="1"/>
    <xf numFmtId="182" fontId="0" fillId="0" borderId="0" xfId="1" applyNumberFormat="1" applyFont="1" applyFill="1" applyBorder="1"/>
    <xf numFmtId="184" fontId="17" fillId="0" borderId="10" xfId="0" applyFont="1" applyFill="1" applyBorder="1" applyAlignment="1">
      <alignment horizontal="center"/>
    </xf>
    <xf numFmtId="43" fontId="8" fillId="0" borderId="0" xfId="1" applyFont="1" applyFill="1" applyBorder="1" applyAlignment="1">
      <alignment horizontal="left"/>
    </xf>
    <xf numFmtId="184" fontId="69" fillId="4" borderId="0" xfId="0" applyFont="1" applyFill="1" applyBorder="1"/>
    <xf numFmtId="168" fontId="15" fillId="4" borderId="0" xfId="7" applyNumberFormat="1" applyFont="1" applyFill="1" applyBorder="1" applyAlignment="1">
      <alignment horizontal="right"/>
    </xf>
    <xf numFmtId="184" fontId="10" fillId="0" borderId="0" xfId="0" applyFont="1" applyBorder="1" applyAlignment="1">
      <alignment horizontal="left" indent="1"/>
    </xf>
    <xf numFmtId="191" fontId="10" fillId="0" borderId="0" xfId="1" applyNumberFormat="1" applyFont="1" applyFill="1" applyBorder="1"/>
    <xf numFmtId="178" fontId="10" fillId="0" borderId="0" xfId="0" applyNumberFormat="1" applyFont="1" applyFill="1" applyBorder="1"/>
    <xf numFmtId="188" fontId="28" fillId="0" borderId="0" xfId="4" quotePrefix="1" applyNumberFormat="1" applyFont="1" applyFill="1" applyBorder="1" applyAlignment="1">
      <alignment horizontal="center"/>
    </xf>
    <xf numFmtId="191" fontId="0" fillId="0" borderId="0" xfId="1" applyNumberFormat="1" applyFont="1" applyBorder="1"/>
    <xf numFmtId="184" fontId="16" fillId="0" borderId="2" xfId="0" applyFont="1" applyFill="1" applyBorder="1" applyAlignment="1">
      <alignment horizontal="center"/>
    </xf>
    <xf numFmtId="184" fontId="10" fillId="0" borderId="41" xfId="0" applyFont="1" applyBorder="1"/>
    <xf numFmtId="37" fontId="10" fillId="0" borderId="41" xfId="1" applyNumberFormat="1" applyFont="1" applyFill="1" applyBorder="1" applyAlignment="1">
      <alignment horizontal="right"/>
    </xf>
    <xf numFmtId="171" fontId="0" fillId="0" borderId="0" xfId="7" applyNumberFormat="1" applyFont="1" applyAlignment="1"/>
    <xf numFmtId="2" fontId="45" fillId="0" borderId="0" xfId="0" applyNumberFormat="1" applyFont="1" applyBorder="1" applyAlignment="1">
      <alignment horizontal="right" vertical="center"/>
    </xf>
    <xf numFmtId="171" fontId="0" fillId="0" borderId="0" xfId="7" applyNumberFormat="1" applyFont="1" applyBorder="1" applyAlignment="1"/>
    <xf numFmtId="182" fontId="0" fillId="0" borderId="0" xfId="1" applyNumberFormat="1" applyFont="1" applyBorder="1" applyAlignment="1"/>
    <xf numFmtId="169" fontId="16" fillId="0" borderId="18" xfId="1" applyNumberFormat="1" applyFont="1" applyFill="1" applyBorder="1" applyAlignment="1">
      <alignment horizontal="right"/>
    </xf>
    <xf numFmtId="169" fontId="16" fillId="0" borderId="19" xfId="1" applyNumberFormat="1" applyFont="1" applyFill="1" applyBorder="1" applyAlignment="1">
      <alignment horizontal="right"/>
    </xf>
    <xf numFmtId="168" fontId="10" fillId="0" borderId="4" xfId="7" applyNumberFormat="1" applyFont="1" applyFill="1" applyBorder="1" applyAlignment="1"/>
    <xf numFmtId="37" fontId="10" fillId="0" borderId="3" xfId="1" applyNumberFormat="1" applyFont="1" applyFill="1" applyBorder="1" applyAlignment="1">
      <alignment horizontal="center"/>
    </xf>
    <xf numFmtId="37" fontId="10" fillId="0" borderId="4" xfId="1" applyNumberFormat="1" applyFont="1" applyFill="1" applyBorder="1" applyAlignment="1">
      <alignment horizontal="center"/>
    </xf>
    <xf numFmtId="169" fontId="10" fillId="0" borderId="7" xfId="1" applyNumberFormat="1" applyFont="1" applyFill="1" applyBorder="1" applyAlignment="1">
      <alignment horizontal="center"/>
    </xf>
    <xf numFmtId="37" fontId="10" fillId="0" borderId="2" xfId="1" applyNumberFormat="1" applyFont="1" applyFill="1" applyBorder="1" applyAlignment="1">
      <alignment horizontal="center"/>
    </xf>
    <xf numFmtId="167" fontId="10" fillId="0" borderId="11" xfId="1" applyNumberFormat="1" applyFont="1" applyFill="1" applyBorder="1"/>
    <xf numFmtId="184" fontId="16" fillId="0" borderId="0" xfId="0" applyFont="1" applyAlignment="1">
      <alignment wrapText="1"/>
    </xf>
    <xf numFmtId="184" fontId="16" fillId="0" borderId="0" xfId="0" applyFont="1" applyBorder="1" applyAlignment="1">
      <alignment wrapText="1"/>
    </xf>
    <xf numFmtId="37" fontId="10" fillId="0" borderId="10" xfId="1" applyNumberFormat="1" applyFont="1" applyFill="1" applyBorder="1" applyAlignment="1">
      <alignment horizontal="center"/>
    </xf>
    <xf numFmtId="37" fontId="10" fillId="0" borderId="1" xfId="1" applyNumberFormat="1" applyFont="1" applyFill="1" applyBorder="1" applyAlignment="1">
      <alignment horizontal="center"/>
    </xf>
    <xf numFmtId="169" fontId="10" fillId="0" borderId="8" xfId="1" applyNumberFormat="1" applyFont="1" applyFill="1" applyBorder="1" applyAlignment="1">
      <alignment horizontal="center"/>
    </xf>
    <xf numFmtId="184" fontId="10" fillId="0" borderId="0" xfId="0" applyFont="1" applyBorder="1" applyAlignment="1">
      <alignment horizontal="left" wrapText="1" indent="1"/>
    </xf>
    <xf numFmtId="167" fontId="10" fillId="0" borderId="1" xfId="1" applyNumberFormat="1" applyFont="1" applyFill="1" applyBorder="1" applyAlignment="1">
      <alignment horizontal="right"/>
    </xf>
    <xf numFmtId="167" fontId="10" fillId="0" borderId="9" xfId="1" applyNumberFormat="1" applyFont="1" applyFill="1" applyBorder="1" applyAlignment="1">
      <alignment horizontal="right"/>
    </xf>
    <xf numFmtId="167" fontId="10" fillId="0" borderId="7" xfId="1" applyNumberFormat="1" applyFont="1" applyFill="1" applyBorder="1" applyAlignment="1">
      <alignment horizontal="right"/>
    </xf>
    <xf numFmtId="167" fontId="10" fillId="0" borderId="6" xfId="1" applyNumberFormat="1" applyFont="1" applyFill="1" applyBorder="1" applyAlignment="1">
      <alignment horizontal="right"/>
    </xf>
    <xf numFmtId="167" fontId="10" fillId="0" borderId="11" xfId="0" applyNumberFormat="1" applyFont="1" applyBorder="1"/>
    <xf numFmtId="169" fontId="10" fillId="0" borderId="11" xfId="7" applyNumberFormat="1" applyFont="1" applyFill="1" applyBorder="1" applyAlignment="1">
      <alignment horizontal="right"/>
    </xf>
    <xf numFmtId="169" fontId="10" fillId="0" borderId="9" xfId="7" applyNumberFormat="1" applyFont="1" applyFill="1" applyBorder="1" applyAlignment="1">
      <alignment horizontal="right"/>
    </xf>
    <xf numFmtId="169" fontId="10" fillId="0" borderId="10" xfId="7" applyNumberFormat="1" applyFont="1" applyFill="1" applyBorder="1" applyAlignment="1">
      <alignment horizontal="right"/>
    </xf>
    <xf numFmtId="169" fontId="10" fillId="0" borderId="0" xfId="7" applyNumberFormat="1" applyFont="1" applyFill="1" applyBorder="1"/>
    <xf numFmtId="169" fontId="10" fillId="0" borderId="9" xfId="7" applyNumberFormat="1" applyFont="1" applyFill="1" applyBorder="1"/>
    <xf numFmtId="37" fontId="10" fillId="0" borderId="42" xfId="1" applyNumberFormat="1" applyFont="1" applyFill="1" applyBorder="1" applyAlignment="1">
      <alignment horizontal="right"/>
    </xf>
    <xf numFmtId="167" fontId="10" fillId="4" borderId="9" xfId="1" applyNumberFormat="1" applyFont="1" applyFill="1" applyBorder="1" applyAlignment="1">
      <alignment horizontal="right"/>
    </xf>
    <xf numFmtId="37" fontId="10" fillId="4" borderId="9" xfId="1" applyNumberFormat="1" applyFont="1" applyFill="1" applyBorder="1" applyAlignment="1">
      <alignment horizontal="right"/>
    </xf>
    <xf numFmtId="37" fontId="10" fillId="4" borderId="8" xfId="1" applyNumberFormat="1" applyFont="1" applyFill="1" applyBorder="1" applyAlignment="1">
      <alignment horizontal="right"/>
    </xf>
    <xf numFmtId="182" fontId="10" fillId="0" borderId="4" xfId="1" applyNumberFormat="1" applyFont="1" applyFill="1" applyBorder="1" applyAlignment="1">
      <alignment horizontal="right"/>
    </xf>
    <xf numFmtId="37" fontId="10" fillId="0" borderId="7" xfId="1" applyNumberFormat="1" applyFont="1" applyFill="1" applyBorder="1" applyAlignment="1">
      <alignment horizontal="center"/>
    </xf>
    <xf numFmtId="182" fontId="10" fillId="5" borderId="4" xfId="1" applyNumberFormat="1" applyFont="1" applyFill="1" applyBorder="1" applyAlignment="1">
      <alignment horizontal="center"/>
    </xf>
    <xf numFmtId="182" fontId="10" fillId="0" borderId="3" xfId="1" applyNumberFormat="1" applyFont="1" applyFill="1" applyBorder="1" applyAlignment="1">
      <alignment horizontal="right"/>
    </xf>
    <xf numFmtId="182" fontId="10" fillId="0" borderId="7" xfId="1" applyNumberFormat="1" applyFont="1" applyFill="1" applyBorder="1" applyAlignment="1">
      <alignment horizontal="right"/>
    </xf>
    <xf numFmtId="169" fontId="10" fillId="0" borderId="43" xfId="1" applyNumberFormat="1" applyFont="1" applyFill="1" applyBorder="1"/>
    <xf numFmtId="182" fontId="10" fillId="5" borderId="25" xfId="1" applyNumberFormat="1" applyFont="1" applyFill="1" applyBorder="1" applyAlignment="1">
      <alignment horizontal="right"/>
    </xf>
    <xf numFmtId="182" fontId="10" fillId="5" borderId="31" xfId="1" applyNumberFormat="1" applyFont="1" applyFill="1" applyBorder="1" applyAlignment="1">
      <alignment horizontal="right"/>
    </xf>
    <xf numFmtId="182" fontId="10" fillId="5" borderId="44" xfId="1" applyNumberFormat="1" applyFont="1" applyFill="1" applyBorder="1" applyAlignment="1">
      <alignment horizontal="right"/>
    </xf>
    <xf numFmtId="182" fontId="10" fillId="5" borderId="44" xfId="1" applyNumberFormat="1" applyFont="1" applyFill="1" applyBorder="1" applyAlignment="1">
      <alignment horizontal="center"/>
    </xf>
    <xf numFmtId="182" fontId="10" fillId="0" borderId="1" xfId="1" applyNumberFormat="1" applyFont="1" applyFill="1" applyBorder="1" applyAlignment="1">
      <alignment horizontal="right"/>
    </xf>
    <xf numFmtId="167" fontId="10" fillId="5" borderId="0" xfId="1" applyNumberFormat="1" applyFont="1" applyFill="1" applyBorder="1" applyAlignment="1">
      <alignment horizontal="right"/>
    </xf>
    <xf numFmtId="37" fontId="10" fillId="5" borderId="0" xfId="1" applyNumberFormat="1" applyFont="1" applyFill="1" applyBorder="1" applyAlignment="1">
      <alignment horizontal="right"/>
    </xf>
    <xf numFmtId="167" fontId="10" fillId="0" borderId="4" xfId="1" applyNumberFormat="1" applyFont="1" applyFill="1" applyBorder="1" applyAlignment="1">
      <alignment horizontal="right"/>
    </xf>
    <xf numFmtId="167" fontId="10" fillId="0" borderId="14" xfId="1" applyNumberFormat="1" applyFont="1" applyFill="1" applyBorder="1" applyAlignment="1">
      <alignment horizontal="right"/>
    </xf>
    <xf numFmtId="37" fontId="10" fillId="0" borderId="42" xfId="0" applyNumberFormat="1" applyFont="1" applyBorder="1" applyAlignment="1">
      <alignment horizontal="right"/>
    </xf>
    <xf numFmtId="167" fontId="10" fillId="0" borderId="1" xfId="0" applyNumberFormat="1" applyFont="1" applyBorder="1"/>
    <xf numFmtId="167" fontId="10" fillId="0" borderId="6" xfId="1" applyNumberFormat="1" applyFont="1" applyFill="1" applyBorder="1"/>
    <xf numFmtId="167" fontId="10" fillId="0" borderId="1" xfId="1" applyNumberFormat="1" applyFont="1" applyFill="1" applyBorder="1"/>
    <xf numFmtId="167" fontId="10" fillId="0" borderId="8" xfId="1" applyNumberFormat="1" applyFont="1" applyFill="1" applyBorder="1" applyAlignment="1">
      <alignment horizontal="right"/>
    </xf>
    <xf numFmtId="182" fontId="10" fillId="0" borderId="14" xfId="1" applyNumberFormat="1" applyFont="1" applyFill="1" applyBorder="1" applyAlignment="1">
      <alignment horizontal="right"/>
    </xf>
    <xf numFmtId="182" fontId="10" fillId="5" borderId="15" xfId="1" applyNumberFormat="1" applyFont="1" applyFill="1" applyBorder="1" applyAlignment="1">
      <alignment horizontal="center"/>
    </xf>
    <xf numFmtId="167" fontId="10" fillId="5" borderId="13" xfId="1" applyNumberFormat="1" applyFont="1" applyFill="1" applyBorder="1" applyAlignment="1">
      <alignment horizontal="right"/>
    </xf>
    <xf numFmtId="167" fontId="10" fillId="5" borderId="14" xfId="1" applyNumberFormat="1" applyFont="1" applyFill="1" applyBorder="1" applyAlignment="1">
      <alignment horizontal="right"/>
    </xf>
    <xf numFmtId="184" fontId="26" fillId="0" borderId="10" xfId="0" applyFont="1" applyBorder="1" applyAlignment="1">
      <alignment horizontal="left" wrapText="1" indent="2"/>
    </xf>
    <xf numFmtId="184" fontId="17" fillId="0" borderId="0" xfId="0" applyFont="1" applyFill="1" applyBorder="1" applyAlignment="1">
      <alignment horizontal="center"/>
    </xf>
    <xf numFmtId="184" fontId="17" fillId="0" borderId="11" xfId="0" applyFont="1" applyFill="1" applyBorder="1" applyAlignment="1">
      <alignment horizontal="center"/>
    </xf>
    <xf numFmtId="184" fontId="16" fillId="0" borderId="2" xfId="0" applyFont="1" applyFill="1" applyBorder="1" applyAlignment="1">
      <alignment horizontal="center"/>
    </xf>
    <xf numFmtId="184" fontId="16" fillId="0" borderId="0" xfId="0" applyFont="1" applyAlignment="1">
      <alignment wrapText="1"/>
    </xf>
    <xf numFmtId="184" fontId="17" fillId="0" borderId="10" xfId="0" applyFont="1" applyFill="1" applyBorder="1" applyAlignment="1">
      <alignment horizontal="center"/>
    </xf>
    <xf numFmtId="184" fontId="16" fillId="0" borderId="7" xfId="0" applyFont="1" applyBorder="1" applyAlignment="1">
      <alignment horizontal="center"/>
    </xf>
    <xf numFmtId="184" fontId="16" fillId="0" borderId="2" xfId="0" applyFont="1" applyBorder="1" applyAlignment="1">
      <alignment horizontal="center"/>
    </xf>
    <xf numFmtId="0" fontId="5" fillId="0" borderId="0" xfId="75"/>
    <xf numFmtId="0" fontId="5" fillId="0" borderId="0" xfId="75" applyBorder="1"/>
    <xf numFmtId="37" fontId="5" fillId="0" borderId="0" xfId="75" applyNumberFormat="1" applyBorder="1"/>
    <xf numFmtId="0" fontId="5" fillId="0" borderId="0" xfId="75" applyAlignment="1"/>
    <xf numFmtId="0" fontId="7" fillId="0" borderId="0" xfId="75" applyFont="1"/>
    <xf numFmtId="0" fontId="8" fillId="0" borderId="0" xfId="75" applyFont="1" applyFill="1" applyBorder="1" applyAlignment="1">
      <alignment horizontal="left"/>
    </xf>
    <xf numFmtId="0" fontId="5" fillId="0" borderId="0" xfId="75" applyFill="1" applyBorder="1"/>
    <xf numFmtId="0" fontId="5" fillId="0" borderId="6" xfId="75" applyFill="1" applyBorder="1"/>
    <xf numFmtId="0" fontId="5" fillId="0" borderId="0" xfId="75" applyBorder="1" applyAlignment="1"/>
    <xf numFmtId="0" fontId="9" fillId="0" borderId="0" xfId="75" applyFont="1" applyFill="1" applyBorder="1"/>
    <xf numFmtId="0" fontId="10" fillId="0" borderId="0" xfId="75" applyFont="1" applyFill="1" applyBorder="1"/>
    <xf numFmtId="0" fontId="16" fillId="0" borderId="9" xfId="75" applyFont="1" applyFill="1" applyBorder="1" applyAlignment="1">
      <alignment horizontal="center"/>
    </xf>
    <xf numFmtId="0" fontId="5" fillId="0" borderId="3" xfId="75" applyBorder="1"/>
    <xf numFmtId="0" fontId="5" fillId="0" borderId="4" xfId="75" applyBorder="1"/>
    <xf numFmtId="0" fontId="5" fillId="0" borderId="2" xfId="75" applyBorder="1"/>
    <xf numFmtId="0" fontId="5" fillId="0" borderId="9" xfId="75" applyBorder="1"/>
    <xf numFmtId="0" fontId="16" fillId="0" borderId="0" xfId="75" applyFont="1" applyFill="1" applyBorder="1" applyAlignment="1">
      <alignment horizontal="center"/>
    </xf>
    <xf numFmtId="0" fontId="16" fillId="0" borderId="7" xfId="75" applyFont="1" applyFill="1" applyBorder="1" applyAlignment="1">
      <alignment horizontal="center"/>
    </xf>
    <xf numFmtId="0" fontId="5" fillId="0" borderId="7" xfId="75" applyBorder="1"/>
    <xf numFmtId="0" fontId="16" fillId="0" borderId="7" xfId="75" applyFont="1" applyBorder="1" applyAlignment="1">
      <alignment horizontal="center"/>
    </xf>
    <xf numFmtId="0" fontId="5" fillId="0" borderId="10" xfId="75" applyBorder="1"/>
    <xf numFmtId="0" fontId="6" fillId="0" borderId="9" xfId="75" applyFont="1" applyFill="1" applyBorder="1" applyAlignment="1">
      <alignment horizontal="center"/>
    </xf>
    <xf numFmtId="0" fontId="16" fillId="0" borderId="6" xfId="75" applyFont="1" applyFill="1" applyBorder="1" applyAlignment="1">
      <alignment horizontal="center"/>
    </xf>
    <xf numFmtId="0" fontId="16" fillId="0" borderId="1" xfId="75" applyFont="1" applyFill="1" applyBorder="1" applyAlignment="1">
      <alignment horizontal="center"/>
    </xf>
    <xf numFmtId="0" fontId="16" fillId="0" borderId="5" xfId="75" applyFont="1" applyFill="1" applyBorder="1" applyAlignment="1">
      <alignment horizontal="center"/>
    </xf>
    <xf numFmtId="0" fontId="6" fillId="0" borderId="0" xfId="75" applyFont="1" applyFill="1" applyBorder="1" applyAlignment="1">
      <alignment horizontal="center"/>
    </xf>
    <xf numFmtId="0" fontId="16" fillId="0" borderId="8" xfId="75" applyFont="1" applyFill="1" applyBorder="1" applyAlignment="1">
      <alignment horizontal="center"/>
    </xf>
    <xf numFmtId="0" fontId="71" fillId="0" borderId="10" xfId="75" applyFont="1" applyFill="1" applyBorder="1" applyAlignment="1">
      <alignment horizontal="center"/>
    </xf>
    <xf numFmtId="0" fontId="71" fillId="0" borderId="4" xfId="75" applyFont="1" applyFill="1" applyBorder="1" applyAlignment="1">
      <alignment horizontal="center"/>
    </xf>
    <xf numFmtId="0" fontId="71" fillId="0" borderId="9" xfId="75" applyFont="1" applyFill="1" applyBorder="1" applyAlignment="1">
      <alignment horizontal="center"/>
    </xf>
    <xf numFmtId="0" fontId="9" fillId="0" borderId="13" xfId="75" applyFont="1" applyFill="1" applyBorder="1" applyAlignment="1">
      <alignment horizontal="center"/>
    </xf>
    <xf numFmtId="0" fontId="9" fillId="0" borderId="14" xfId="75" applyFont="1" applyFill="1" applyBorder="1" applyAlignment="1">
      <alignment horizontal="center"/>
    </xf>
    <xf numFmtId="0" fontId="9" fillId="0" borderId="0" xfId="75" applyFont="1" applyFill="1" applyBorder="1" applyAlignment="1">
      <alignment horizontal="center"/>
    </xf>
    <xf numFmtId="0" fontId="9" fillId="0" borderId="11" xfId="75" applyFont="1" applyFill="1" applyBorder="1" applyAlignment="1">
      <alignment horizontal="center"/>
    </xf>
    <xf numFmtId="0" fontId="9" fillId="0" borderId="10" xfId="75" applyFont="1" applyFill="1" applyBorder="1" applyAlignment="1">
      <alignment horizontal="center"/>
    </xf>
    <xf numFmtId="0" fontId="9" fillId="0" borderId="9" xfId="75" applyFont="1" applyFill="1" applyBorder="1" applyAlignment="1">
      <alignment horizontal="center"/>
    </xf>
    <xf numFmtId="184" fontId="9" fillId="0" borderId="12" xfId="29" applyFont="1" applyFill="1" applyBorder="1" applyAlignment="1">
      <alignment horizontal="center"/>
    </xf>
    <xf numFmtId="184" fontId="9" fillId="0" borderId="13" xfId="29" applyFont="1" applyFill="1" applyBorder="1" applyAlignment="1">
      <alignment horizontal="center"/>
    </xf>
    <xf numFmtId="184" fontId="5" fillId="0" borderId="13" xfId="29" applyBorder="1"/>
    <xf numFmtId="184" fontId="5" fillId="0" borderId="14" xfId="29" applyBorder="1"/>
    <xf numFmtId="0" fontId="71" fillId="0" borderId="0" xfId="75" applyFont="1" applyFill="1" applyBorder="1" applyAlignment="1">
      <alignment horizontal="center"/>
    </xf>
    <xf numFmtId="0" fontId="9" fillId="0" borderId="15" xfId="75" applyFont="1" applyFill="1" applyBorder="1" applyAlignment="1">
      <alignment horizontal="center"/>
    </xf>
    <xf numFmtId="0" fontId="35" fillId="0" borderId="10" xfId="75" applyFont="1" applyBorder="1"/>
    <xf numFmtId="0" fontId="35" fillId="0" borderId="0" xfId="75" applyFont="1" applyBorder="1"/>
    <xf numFmtId="0" fontId="35" fillId="0" borderId="0" xfId="75" applyFont="1"/>
    <xf numFmtId="0" fontId="16" fillId="0" borderId="0" xfId="75" applyFont="1" applyFill="1" applyBorder="1"/>
    <xf numFmtId="0" fontId="12" fillId="0" borderId="0" xfId="75" applyFont="1" applyFill="1" applyBorder="1"/>
    <xf numFmtId="0" fontId="10" fillId="0" borderId="10" xfId="75" applyFont="1" applyBorder="1"/>
    <xf numFmtId="0" fontId="10" fillId="0" borderId="11" xfId="75" applyFont="1" applyBorder="1"/>
    <xf numFmtId="0" fontId="10" fillId="0" borderId="9" xfId="75" applyFont="1" applyBorder="1"/>
    <xf numFmtId="0" fontId="10" fillId="0" borderId="0" xfId="75" applyFont="1" applyBorder="1"/>
    <xf numFmtId="0" fontId="10" fillId="0" borderId="3" xfId="75" applyFont="1" applyBorder="1"/>
    <xf numFmtId="0" fontId="10" fillId="0" borderId="3" xfId="75" applyFont="1" applyBorder="1" applyAlignment="1"/>
    <xf numFmtId="0" fontId="10" fillId="0" borderId="4" xfId="75" applyFont="1" applyBorder="1" applyAlignment="1"/>
    <xf numFmtId="0" fontId="10" fillId="0" borderId="0" xfId="75" applyFont="1"/>
    <xf numFmtId="176" fontId="10" fillId="0" borderId="9" xfId="13" applyNumberFormat="1" applyFont="1" applyFill="1" applyBorder="1"/>
    <xf numFmtId="176" fontId="10" fillId="0" borderId="7" xfId="13" applyNumberFormat="1" applyFont="1" applyFill="1" applyBorder="1"/>
    <xf numFmtId="169" fontId="10" fillId="0" borderId="10" xfId="13" applyNumberFormat="1" applyFont="1" applyFill="1" applyBorder="1"/>
    <xf numFmtId="168" fontId="10" fillId="0" borderId="11" xfId="16" applyNumberFormat="1" applyFont="1" applyFill="1" applyBorder="1" applyAlignment="1">
      <alignment horizontal="right"/>
    </xf>
    <xf numFmtId="168" fontId="10" fillId="0" borderId="9" xfId="16" applyNumberFormat="1" applyFont="1" applyFill="1" applyBorder="1" applyAlignment="1">
      <alignment horizontal="right"/>
    </xf>
    <xf numFmtId="37" fontId="10" fillId="0" borderId="6" xfId="13" applyNumberFormat="1" applyFont="1" applyFill="1" applyBorder="1"/>
    <xf numFmtId="37" fontId="10" fillId="0" borderId="11" xfId="13" applyNumberFormat="1" applyFont="1" applyFill="1" applyBorder="1"/>
    <xf numFmtId="37" fontId="10" fillId="0" borderId="6" xfId="75" applyNumberFormat="1" applyFont="1" applyFill="1" applyBorder="1"/>
    <xf numFmtId="37" fontId="10" fillId="0" borderId="0" xfId="16" applyNumberFormat="1" applyFont="1" applyFill="1" applyBorder="1" applyAlignment="1">
      <alignment horizontal="right"/>
    </xf>
    <xf numFmtId="169" fontId="10" fillId="0" borderId="0" xfId="75" applyNumberFormat="1" applyFont="1" applyBorder="1"/>
    <xf numFmtId="169" fontId="10" fillId="0" borderId="0" xfId="75" applyNumberFormat="1" applyFont="1"/>
    <xf numFmtId="169" fontId="10" fillId="0" borderId="11" xfId="75" applyNumberFormat="1" applyFont="1" applyBorder="1"/>
    <xf numFmtId="169" fontId="10" fillId="0" borderId="10" xfId="75" applyNumberFormat="1" applyFont="1" applyBorder="1"/>
    <xf numFmtId="169" fontId="10" fillId="0" borderId="0" xfId="13" applyNumberFormat="1" applyFont="1" applyFill="1" applyBorder="1" applyAlignment="1"/>
    <xf numFmtId="37" fontId="10" fillId="0" borderId="9" xfId="13" applyNumberFormat="1" applyFont="1" applyFill="1" applyBorder="1" applyAlignment="1">
      <alignment horizontal="right"/>
    </xf>
    <xf numFmtId="169" fontId="10" fillId="0" borderId="12" xfId="13" applyNumberFormat="1" applyFont="1" applyFill="1" applyBorder="1"/>
    <xf numFmtId="168" fontId="10" fillId="0" borderId="14" xfId="16" applyNumberFormat="1" applyFont="1" applyFill="1" applyBorder="1" applyAlignment="1">
      <alignment horizontal="right"/>
    </xf>
    <xf numFmtId="37" fontId="10" fillId="0" borderId="14" xfId="13" applyNumberFormat="1" applyFont="1" applyFill="1" applyBorder="1"/>
    <xf numFmtId="37" fontId="10" fillId="0" borderId="13" xfId="13" applyNumberFormat="1" applyFont="1" applyFill="1" applyBorder="1"/>
    <xf numFmtId="37" fontId="10" fillId="0" borderId="12" xfId="13" applyNumberFormat="1" applyFont="1" applyFill="1" applyBorder="1"/>
    <xf numFmtId="169" fontId="10" fillId="0" borderId="13" xfId="13" applyNumberFormat="1" applyFont="1" applyFill="1" applyBorder="1" applyAlignment="1"/>
    <xf numFmtId="37" fontId="10" fillId="0" borderId="15" xfId="13" applyNumberFormat="1" applyFont="1" applyFill="1" applyBorder="1" applyAlignment="1">
      <alignment horizontal="right"/>
    </xf>
    <xf numFmtId="169" fontId="10" fillId="0" borderId="15" xfId="13" applyNumberFormat="1" applyFont="1" applyFill="1" applyBorder="1"/>
    <xf numFmtId="37" fontId="10" fillId="0" borderId="3" xfId="16" applyNumberFormat="1" applyFont="1" applyFill="1" applyBorder="1" applyAlignment="1">
      <alignment horizontal="right"/>
    </xf>
    <xf numFmtId="37" fontId="10" fillId="0" borderId="4" xfId="13" applyNumberFormat="1" applyFont="1" applyFill="1" applyBorder="1"/>
    <xf numFmtId="37" fontId="10" fillId="0" borderId="0" xfId="13" applyNumberFormat="1" applyFont="1" applyFill="1" applyBorder="1"/>
    <xf numFmtId="37" fontId="10" fillId="0" borderId="10" xfId="13" applyNumberFormat="1" applyFont="1" applyFill="1" applyBorder="1"/>
    <xf numFmtId="0" fontId="10" fillId="0" borderId="9" xfId="75" applyFont="1" applyBorder="1" applyAlignment="1">
      <alignment horizontal="right"/>
    </xf>
    <xf numFmtId="169" fontId="10" fillId="0" borderId="9" xfId="13" applyNumberFormat="1" applyFont="1" applyFill="1" applyBorder="1"/>
    <xf numFmtId="37" fontId="10" fillId="0" borderId="9" xfId="75" applyNumberFormat="1" applyFont="1" applyBorder="1" applyAlignment="1">
      <alignment horizontal="right"/>
    </xf>
    <xf numFmtId="169" fontId="10" fillId="0" borderId="9" xfId="13" applyNumberFormat="1" applyFont="1" applyFill="1" applyBorder="1" applyAlignment="1"/>
    <xf numFmtId="37" fontId="10" fillId="0" borderId="11" xfId="13" applyNumberFormat="1" applyFont="1" applyFill="1" applyBorder="1" applyAlignment="1">
      <alignment horizontal="right"/>
    </xf>
    <xf numFmtId="169" fontId="10" fillId="0" borderId="5" xfId="13" applyNumberFormat="1" applyFont="1" applyFill="1" applyBorder="1"/>
    <xf numFmtId="168" fontId="10" fillId="0" borderId="1" xfId="16" applyNumberFormat="1" applyFont="1" applyFill="1" applyBorder="1" applyAlignment="1">
      <alignment horizontal="right"/>
    </xf>
    <xf numFmtId="37" fontId="10" fillId="0" borderId="6" xfId="16" applyNumberFormat="1" applyFont="1" applyFill="1" applyBorder="1" applyAlignment="1">
      <alignment horizontal="right"/>
    </xf>
    <xf numFmtId="37" fontId="10" fillId="0" borderId="1" xfId="13" applyNumberFormat="1" applyFont="1" applyFill="1" applyBorder="1"/>
    <xf numFmtId="169" fontId="10" fillId="0" borderId="6" xfId="13" applyNumberFormat="1" applyFont="1" applyFill="1" applyBorder="1" applyAlignment="1"/>
    <xf numFmtId="37" fontId="10" fillId="0" borderId="8" xfId="75" applyNumberFormat="1" applyFont="1" applyBorder="1" applyAlignment="1">
      <alignment horizontal="right"/>
    </xf>
    <xf numFmtId="169" fontId="10" fillId="0" borderId="8" xfId="13" applyNumberFormat="1" applyFont="1" applyFill="1" applyBorder="1" applyAlignment="1"/>
    <xf numFmtId="169" fontId="10" fillId="0" borderId="0" xfId="13" applyNumberFormat="1" applyFont="1" applyFill="1" applyBorder="1"/>
    <xf numFmtId="169" fontId="10" fillId="0" borderId="11" xfId="13" applyNumberFormat="1" applyFont="1" applyFill="1" applyBorder="1"/>
    <xf numFmtId="37" fontId="10" fillId="0" borderId="0" xfId="13" applyNumberFormat="1" applyFont="1" applyFill="1" applyBorder="1" applyAlignment="1">
      <alignment horizontal="right"/>
    </xf>
    <xf numFmtId="169" fontId="10" fillId="0" borderId="0" xfId="13" applyNumberFormat="1" applyFont="1" applyFill="1" applyBorder="1" applyAlignment="1">
      <alignment horizontal="right"/>
    </xf>
    <xf numFmtId="0" fontId="10" fillId="0" borderId="0" xfId="75" applyFont="1" applyBorder="1" applyAlignment="1">
      <alignment horizontal="right"/>
    </xf>
    <xf numFmtId="168" fontId="10" fillId="0" borderId="11" xfId="16" applyNumberFormat="1" applyFont="1" applyFill="1" applyBorder="1" applyAlignment="1"/>
    <xf numFmtId="169" fontId="10" fillId="0" borderId="11" xfId="13" applyNumberFormat="1" applyFont="1" applyFill="1" applyBorder="1" applyAlignment="1">
      <alignment horizontal="right"/>
    </xf>
    <xf numFmtId="43" fontId="10" fillId="0" borderId="0" xfId="13" applyFont="1" applyFill="1" applyBorder="1" applyAlignment="1">
      <alignment horizontal="right"/>
    </xf>
    <xf numFmtId="43" fontId="10" fillId="0" borderId="11" xfId="13" applyFont="1" applyFill="1" applyBorder="1" applyAlignment="1">
      <alignment horizontal="right"/>
    </xf>
    <xf numFmtId="43" fontId="10" fillId="0" borderId="11" xfId="13" applyFont="1" applyFill="1" applyBorder="1"/>
    <xf numFmtId="43" fontId="10" fillId="0" borderId="0" xfId="13" applyFont="1" applyBorder="1"/>
    <xf numFmtId="43" fontId="10" fillId="0" borderId="10" xfId="13" applyFont="1" applyBorder="1"/>
    <xf numFmtId="43" fontId="10" fillId="0" borderId="11" xfId="13" applyFont="1" applyBorder="1"/>
    <xf numFmtId="43" fontId="10" fillId="0" borderId="9" xfId="13" applyFont="1" applyBorder="1"/>
    <xf numFmtId="169" fontId="10" fillId="0" borderId="0" xfId="16" applyNumberFormat="1" applyFont="1" applyFill="1" applyBorder="1" applyAlignment="1">
      <alignment horizontal="right"/>
    </xf>
    <xf numFmtId="182" fontId="10" fillId="0" borderId="0" xfId="13" applyNumberFormat="1" applyFont="1" applyFill="1" applyBorder="1" applyAlignment="1"/>
    <xf numFmtId="43" fontId="10" fillId="0" borderId="9" xfId="13" applyFont="1" applyBorder="1" applyAlignment="1">
      <alignment horizontal="right"/>
    </xf>
    <xf numFmtId="43" fontId="10" fillId="0" borderId="9" xfId="13" applyFont="1" applyFill="1" applyBorder="1"/>
    <xf numFmtId="169" fontId="10" fillId="0" borderId="0" xfId="75" applyNumberFormat="1" applyFont="1" applyBorder="1" applyAlignment="1">
      <alignment horizontal="right"/>
    </xf>
    <xf numFmtId="169" fontId="10" fillId="0" borderId="11" xfId="75" applyNumberFormat="1" applyFont="1" applyBorder="1" applyAlignment="1">
      <alignment horizontal="right"/>
    </xf>
    <xf numFmtId="169" fontId="10" fillId="0" borderId="10" xfId="75" applyNumberFormat="1" applyFont="1" applyBorder="1" applyAlignment="1">
      <alignment horizontal="right"/>
    </xf>
    <xf numFmtId="169" fontId="10" fillId="0" borderId="9" xfId="75" applyNumberFormat="1" applyFont="1" applyBorder="1" applyAlignment="1">
      <alignment horizontal="right"/>
    </xf>
    <xf numFmtId="0" fontId="10" fillId="0" borderId="0" xfId="75" applyFont="1" applyFill="1"/>
    <xf numFmtId="43" fontId="10" fillId="0" borderId="6" xfId="13" applyFont="1" applyFill="1" applyBorder="1" applyAlignment="1">
      <alignment horizontal="right"/>
    </xf>
    <xf numFmtId="43" fontId="10" fillId="0" borderId="1" xfId="13" applyFont="1" applyFill="1" applyBorder="1" applyAlignment="1">
      <alignment horizontal="right"/>
    </xf>
    <xf numFmtId="169" fontId="10" fillId="0" borderId="5" xfId="75" applyNumberFormat="1" applyFont="1" applyBorder="1" applyAlignment="1">
      <alignment horizontal="right"/>
    </xf>
    <xf numFmtId="43" fontId="10" fillId="0" borderId="8" xfId="13" applyFont="1" applyBorder="1" applyAlignment="1">
      <alignment horizontal="right"/>
    </xf>
    <xf numFmtId="168" fontId="10" fillId="0" borderId="4" xfId="16" applyNumberFormat="1" applyFont="1" applyFill="1" applyBorder="1" applyAlignment="1"/>
    <xf numFmtId="37" fontId="10" fillId="0" borderId="3" xfId="13" applyNumberFormat="1" applyFont="1" applyFill="1" applyBorder="1"/>
    <xf numFmtId="37" fontId="10" fillId="0" borderId="2" xfId="13" applyNumberFormat="1" applyFont="1" applyFill="1" applyBorder="1"/>
    <xf numFmtId="37" fontId="10" fillId="0" borderId="3" xfId="13" applyNumberFormat="1" applyFont="1" applyFill="1" applyBorder="1" applyAlignment="1"/>
    <xf numFmtId="168" fontId="10" fillId="0" borderId="4" xfId="16" applyNumberFormat="1" applyFont="1" applyFill="1" applyBorder="1" applyAlignment="1">
      <alignment horizontal="right"/>
    </xf>
    <xf numFmtId="37" fontId="10" fillId="0" borderId="7" xfId="13" applyNumberFormat="1" applyFont="1" applyFill="1" applyBorder="1" applyAlignment="1">
      <alignment horizontal="right"/>
    </xf>
    <xf numFmtId="169" fontId="10" fillId="0" borderId="7" xfId="13" applyNumberFormat="1" applyFont="1" applyFill="1" applyBorder="1"/>
    <xf numFmtId="168" fontId="10" fillId="0" borderId="14" xfId="16" applyNumberFormat="1" applyFont="1" applyFill="1" applyBorder="1" applyAlignment="1"/>
    <xf numFmtId="37" fontId="10" fillId="0" borderId="14" xfId="13" applyNumberFormat="1" applyFont="1" applyFill="1" applyBorder="1" applyAlignment="1">
      <alignment horizontal="right"/>
    </xf>
    <xf numFmtId="169" fontId="10" fillId="0" borderId="17" xfId="13" applyNumberFormat="1" applyFont="1" applyFill="1" applyBorder="1"/>
    <xf numFmtId="0" fontId="19" fillId="0" borderId="0" xfId="75" applyFont="1" applyBorder="1"/>
    <xf numFmtId="0" fontId="19" fillId="0" borderId="0" xfId="75" applyFont="1"/>
    <xf numFmtId="0" fontId="16" fillId="0" borderId="0" xfId="75" applyFont="1" applyAlignment="1">
      <alignment wrapText="1"/>
    </xf>
    <xf numFmtId="0" fontId="10" fillId="0" borderId="0" xfId="75" applyFont="1" applyBorder="1" applyAlignment="1">
      <alignment wrapText="1"/>
    </xf>
    <xf numFmtId="0" fontId="10" fillId="0" borderId="0" xfId="75" applyFont="1" applyBorder="1" applyAlignment="1">
      <alignment horizontal="center"/>
    </xf>
    <xf numFmtId="169" fontId="10" fillId="0" borderId="9" xfId="13" applyNumberFormat="1" applyFont="1" applyFill="1" applyBorder="1" applyAlignment="1">
      <alignment horizontal="right"/>
    </xf>
    <xf numFmtId="169" fontId="10" fillId="0" borderId="16" xfId="13" applyNumberFormat="1" applyFont="1" applyFill="1" applyBorder="1"/>
    <xf numFmtId="37" fontId="10" fillId="0" borderId="19" xfId="13" applyNumberFormat="1" applyFont="1" applyFill="1" applyBorder="1" applyAlignment="1">
      <alignment horizontal="right"/>
    </xf>
    <xf numFmtId="37" fontId="10" fillId="0" borderId="17" xfId="13" applyNumberFormat="1" applyFont="1" applyFill="1" applyBorder="1" applyAlignment="1">
      <alignment horizontal="right"/>
    </xf>
    <xf numFmtId="37" fontId="10" fillId="0" borderId="18" xfId="13" applyNumberFormat="1" applyFont="1" applyFill="1" applyBorder="1" applyAlignment="1">
      <alignment horizontal="right"/>
    </xf>
    <xf numFmtId="169" fontId="10" fillId="0" borderId="18" xfId="13" applyNumberFormat="1" applyFont="1" applyFill="1" applyBorder="1"/>
    <xf numFmtId="168" fontId="10" fillId="0" borderId="0" xfId="16" applyNumberFormat="1" applyFont="1" applyFill="1" applyBorder="1" applyAlignment="1">
      <alignment horizontal="right"/>
    </xf>
    <xf numFmtId="0" fontId="10" fillId="0" borderId="0" xfId="16" applyNumberFormat="1" applyFont="1" applyFill="1" applyBorder="1" applyAlignment="1">
      <alignment horizontal="right"/>
    </xf>
    <xf numFmtId="170" fontId="10" fillId="0" borderId="0" xfId="75" applyNumberFormat="1" applyFont="1" applyBorder="1"/>
    <xf numFmtId="177" fontId="10" fillId="0" borderId="0" xfId="75" applyNumberFormat="1" applyFont="1" applyFill="1" applyBorder="1" applyAlignment="1">
      <alignment horizontal="right"/>
    </xf>
    <xf numFmtId="168" fontId="10" fillId="0" borderId="0" xfId="75" applyNumberFormat="1" applyFont="1" applyBorder="1"/>
    <xf numFmtId="168" fontId="10" fillId="0" borderId="0" xfId="75" applyNumberFormat="1" applyFont="1"/>
    <xf numFmtId="168" fontId="10" fillId="0" borderId="0" xfId="75" applyNumberFormat="1" applyFont="1" applyFill="1"/>
    <xf numFmtId="168" fontId="10" fillId="0" borderId="0" xfId="16" applyNumberFormat="1" applyFont="1" applyFill="1" applyBorder="1"/>
    <xf numFmtId="168" fontId="10" fillId="0" borderId="0" xfId="16" applyNumberFormat="1" applyFont="1" applyFill="1"/>
    <xf numFmtId="177" fontId="10" fillId="0" borderId="0" xfId="75" applyNumberFormat="1" applyFont="1" applyFill="1" applyBorder="1" applyAlignment="1">
      <alignment horizontal="center"/>
    </xf>
    <xf numFmtId="168" fontId="10" fillId="0" borderId="0" xfId="75" applyNumberFormat="1" applyFont="1" applyFill="1" applyBorder="1"/>
    <xf numFmtId="171" fontId="10" fillId="0" borderId="0" xfId="16" applyNumberFormat="1" applyFont="1" applyFill="1"/>
    <xf numFmtId="0" fontId="10" fillId="0" borderId="0" xfId="75" applyFont="1" applyBorder="1" applyAlignment="1"/>
    <xf numFmtId="181" fontId="10" fillId="0" borderId="0" xfId="75" applyNumberFormat="1" applyFont="1" applyFill="1"/>
    <xf numFmtId="168" fontId="7" fillId="0" borderId="0" xfId="77" applyNumberFormat="1" applyFont="1" applyBorder="1"/>
    <xf numFmtId="170" fontId="10" fillId="0" borderId="0" xfId="75" applyNumberFormat="1" applyFont="1" applyFill="1"/>
    <xf numFmtId="168" fontId="12" fillId="0" borderId="0" xfId="75" applyNumberFormat="1" applyFont="1" applyBorder="1"/>
    <xf numFmtId="0" fontId="10" fillId="0" borderId="6" xfId="75" applyFont="1" applyBorder="1"/>
    <xf numFmtId="0" fontId="10" fillId="0" borderId="2" xfId="75" applyFont="1" applyBorder="1"/>
    <xf numFmtId="0" fontId="10" fillId="0" borderId="7" xfId="75" applyFont="1" applyBorder="1"/>
    <xf numFmtId="0" fontId="10" fillId="0" borderId="0" xfId="75" applyFont="1" applyFill="1" applyBorder="1" applyAlignment="1">
      <alignment horizontal="center"/>
    </xf>
    <xf numFmtId="0" fontId="9" fillId="0" borderId="0" xfId="75" applyFont="1"/>
    <xf numFmtId="169" fontId="10" fillId="0" borderId="10" xfId="75" applyNumberFormat="1" applyFont="1" applyFill="1" applyBorder="1"/>
    <xf numFmtId="168" fontId="10" fillId="0" borderId="11" xfId="75" applyNumberFormat="1" applyFont="1" applyFill="1" applyBorder="1"/>
    <xf numFmtId="37" fontId="10" fillId="0" borderId="0" xfId="75" applyNumberFormat="1" applyFont="1" applyFill="1" applyBorder="1"/>
    <xf numFmtId="37" fontId="10" fillId="0" borderId="11" xfId="75" applyNumberFormat="1" applyFont="1" applyBorder="1"/>
    <xf numFmtId="37" fontId="10" fillId="0" borderId="3" xfId="75" applyNumberFormat="1" applyFont="1" applyFill="1" applyBorder="1"/>
    <xf numFmtId="168" fontId="10" fillId="0" borderId="4" xfId="75" applyNumberFormat="1" applyFont="1" applyFill="1" applyBorder="1" applyAlignment="1"/>
    <xf numFmtId="37" fontId="10" fillId="0" borderId="9" xfId="75" applyNumberFormat="1" applyFont="1" applyBorder="1"/>
    <xf numFmtId="37" fontId="10" fillId="0" borderId="7" xfId="13" applyNumberFormat="1" applyFont="1" applyFill="1" applyBorder="1"/>
    <xf numFmtId="168" fontId="10" fillId="0" borderId="9" xfId="75" applyNumberFormat="1" applyFont="1" applyFill="1" applyBorder="1"/>
    <xf numFmtId="37" fontId="10" fillId="0" borderId="0" xfId="13" applyNumberFormat="1" applyFont="1" applyFill="1" applyBorder="1" applyAlignment="1"/>
    <xf numFmtId="168" fontId="10" fillId="0" borderId="11" xfId="75" applyNumberFormat="1" applyFont="1" applyFill="1" applyBorder="1" applyAlignment="1"/>
    <xf numFmtId="37" fontId="10" fillId="0" borderId="9" xfId="13" applyNumberFormat="1" applyFont="1" applyFill="1" applyBorder="1"/>
    <xf numFmtId="37" fontId="10" fillId="0" borderId="5" xfId="13" applyNumberFormat="1" applyFont="1" applyFill="1" applyBorder="1"/>
    <xf numFmtId="37" fontId="10" fillId="0" borderId="8" xfId="13" applyNumberFormat="1" applyFont="1" applyFill="1" applyBorder="1"/>
    <xf numFmtId="169" fontId="10" fillId="0" borderId="8" xfId="13" applyNumberFormat="1" applyFont="1" applyFill="1" applyBorder="1"/>
    <xf numFmtId="169" fontId="10" fillId="0" borderId="5" xfId="75" applyNumberFormat="1" applyFont="1" applyFill="1" applyBorder="1"/>
    <xf numFmtId="168" fontId="10" fillId="0" borderId="1" xfId="75" applyNumberFormat="1" applyFont="1" applyFill="1" applyBorder="1" applyAlignment="1">
      <alignment horizontal="right"/>
    </xf>
    <xf numFmtId="37" fontId="10" fillId="0" borderId="1" xfId="75" applyNumberFormat="1" applyFont="1" applyBorder="1"/>
    <xf numFmtId="37" fontId="10" fillId="0" borderId="8" xfId="75" applyNumberFormat="1" applyFont="1" applyBorder="1"/>
    <xf numFmtId="169" fontId="10" fillId="0" borderId="0" xfId="75" applyNumberFormat="1" applyFont="1" applyFill="1" applyBorder="1"/>
    <xf numFmtId="169" fontId="10" fillId="0" borderId="0" xfId="75" applyNumberFormat="1" applyFont="1" applyFill="1" applyBorder="1" applyAlignment="1"/>
    <xf numFmtId="168" fontId="10" fillId="0" borderId="0" xfId="75" applyNumberFormat="1" applyFont="1" applyFill="1" applyBorder="1" applyAlignment="1"/>
    <xf numFmtId="177" fontId="10" fillId="0" borderId="0" xfId="75" applyNumberFormat="1" applyFont="1"/>
    <xf numFmtId="168" fontId="7" fillId="0" borderId="0" xfId="75" applyNumberFormat="1" applyFont="1" applyBorder="1"/>
    <xf numFmtId="37" fontId="10" fillId="0" borderId="11" xfId="75" applyNumberFormat="1" applyFont="1" applyFill="1" applyBorder="1"/>
    <xf numFmtId="37" fontId="10" fillId="0" borderId="10" xfId="75" applyNumberFormat="1" applyFont="1" applyFill="1" applyBorder="1"/>
    <xf numFmtId="37" fontId="10" fillId="0" borderId="10" xfId="75" applyNumberFormat="1" applyFont="1" applyBorder="1"/>
    <xf numFmtId="37" fontId="10" fillId="0" borderId="4" xfId="75" applyNumberFormat="1" applyFont="1" applyFill="1" applyBorder="1"/>
    <xf numFmtId="182" fontId="10" fillId="0" borderId="3" xfId="13" applyNumberFormat="1" applyFont="1" applyFill="1" applyBorder="1" applyAlignment="1"/>
    <xf numFmtId="182" fontId="10" fillId="0" borderId="0" xfId="13" applyNumberFormat="1" applyFont="1" applyBorder="1" applyAlignment="1"/>
    <xf numFmtId="182" fontId="10" fillId="0" borderId="9" xfId="13" applyNumberFormat="1" applyFont="1" applyFill="1" applyBorder="1"/>
    <xf numFmtId="182" fontId="10" fillId="0" borderId="0" xfId="13" applyNumberFormat="1" applyFont="1" applyFill="1" applyBorder="1"/>
    <xf numFmtId="43" fontId="10" fillId="0" borderId="0" xfId="13" applyFont="1" applyFill="1" applyBorder="1"/>
    <xf numFmtId="0" fontId="10" fillId="0" borderId="9" xfId="75" applyFont="1" applyFill="1" applyBorder="1" applyAlignment="1"/>
    <xf numFmtId="37" fontId="10" fillId="0" borderId="1" xfId="75" applyNumberFormat="1" applyFont="1" applyFill="1" applyBorder="1"/>
    <xf numFmtId="182" fontId="10" fillId="0" borderId="6" xfId="13" applyNumberFormat="1" applyFont="1" applyFill="1" applyBorder="1"/>
    <xf numFmtId="43" fontId="10" fillId="0" borderId="6" xfId="13" applyFont="1" applyFill="1" applyBorder="1"/>
    <xf numFmtId="43" fontId="10" fillId="0" borderId="1" xfId="13" applyFont="1" applyFill="1" applyBorder="1"/>
    <xf numFmtId="169" fontId="10" fillId="0" borderId="12" xfId="75" applyNumberFormat="1" applyFont="1" applyFill="1" applyBorder="1"/>
    <xf numFmtId="168" fontId="10" fillId="0" borderId="14" xfId="75" applyNumberFormat="1" applyFont="1" applyFill="1" applyBorder="1"/>
    <xf numFmtId="37" fontId="10" fillId="0" borderId="13" xfId="75" applyNumberFormat="1" applyFont="1" applyBorder="1"/>
    <xf numFmtId="37" fontId="10" fillId="0" borderId="14" xfId="75" applyNumberFormat="1" applyFont="1" applyBorder="1"/>
    <xf numFmtId="37" fontId="10" fillId="0" borderId="12" xfId="75" applyNumberFormat="1" applyFont="1" applyBorder="1"/>
    <xf numFmtId="182" fontId="10" fillId="0" borderId="13" xfId="13" applyNumberFormat="1" applyFont="1" applyBorder="1" applyAlignment="1"/>
    <xf numFmtId="168" fontId="10" fillId="0" borderId="14" xfId="75" applyNumberFormat="1" applyFont="1" applyFill="1" applyBorder="1" applyAlignment="1"/>
    <xf numFmtId="169" fontId="10" fillId="0" borderId="15" xfId="75" applyNumberFormat="1" applyFont="1" applyBorder="1"/>
    <xf numFmtId="169" fontId="10" fillId="0" borderId="14" xfId="75" applyNumberFormat="1" applyFont="1" applyBorder="1"/>
    <xf numFmtId="168" fontId="10" fillId="0" borderId="1" xfId="75" applyNumberFormat="1" applyFont="1" applyFill="1" applyBorder="1"/>
    <xf numFmtId="37" fontId="10" fillId="0" borderId="0" xfId="75" applyNumberFormat="1" applyFont="1" applyBorder="1"/>
    <xf numFmtId="37" fontId="10" fillId="0" borderId="6" xfId="75" applyNumberFormat="1" applyFont="1" applyBorder="1"/>
    <xf numFmtId="37" fontId="10" fillId="0" borderId="5" xfId="75" applyNumberFormat="1" applyFont="1" applyBorder="1"/>
    <xf numFmtId="182" fontId="10" fillId="0" borderId="6" xfId="13" applyNumberFormat="1" applyFont="1" applyBorder="1" applyAlignment="1"/>
    <xf numFmtId="168" fontId="10" fillId="0" borderId="1" xfId="75" applyNumberFormat="1" applyFont="1" applyFill="1" applyBorder="1" applyAlignment="1"/>
    <xf numFmtId="169" fontId="10" fillId="0" borderId="8" xfId="75" applyNumberFormat="1" applyFont="1" applyBorder="1"/>
    <xf numFmtId="169" fontId="10" fillId="0" borderId="1" xfId="75" applyNumberFormat="1" applyFont="1" applyBorder="1"/>
    <xf numFmtId="169" fontId="10" fillId="0" borderId="5" xfId="76" applyNumberFormat="1" applyFont="1" applyFill="1" applyBorder="1"/>
    <xf numFmtId="168" fontId="10" fillId="0" borderId="1" xfId="76" applyNumberFormat="1" applyFont="1" applyFill="1" applyBorder="1"/>
    <xf numFmtId="184" fontId="70" fillId="0" borderId="9" xfId="76" applyNumberFormat="1" applyBorder="1"/>
    <xf numFmtId="169" fontId="10" fillId="0" borderId="13" xfId="76" applyNumberFormat="1" applyFont="1" applyBorder="1"/>
    <xf numFmtId="169" fontId="10" fillId="0" borderId="1" xfId="76" applyNumberFormat="1" applyFont="1" applyBorder="1"/>
    <xf numFmtId="37" fontId="10" fillId="0" borderId="5" xfId="76" applyNumberFormat="1" applyFont="1" applyBorder="1"/>
    <xf numFmtId="37" fontId="10" fillId="0" borderId="6" xfId="76" applyNumberFormat="1" applyFont="1" applyBorder="1"/>
    <xf numFmtId="37" fontId="10" fillId="0" borderId="1" xfId="76" applyNumberFormat="1" applyFont="1" applyBorder="1"/>
    <xf numFmtId="37" fontId="10" fillId="0" borderId="5" xfId="76" applyNumberFormat="1" applyFont="1" applyBorder="1" applyAlignment="1">
      <alignment horizontal="center"/>
    </xf>
    <xf numFmtId="37" fontId="10" fillId="0" borderId="6" xfId="76" applyNumberFormat="1" applyFont="1" applyBorder="1" applyAlignment="1">
      <alignment horizontal="center"/>
    </xf>
    <xf numFmtId="37" fontId="10" fillId="0" borderId="1" xfId="76" applyNumberFormat="1" applyFont="1" applyBorder="1" applyAlignment="1">
      <alignment horizontal="center"/>
    </xf>
    <xf numFmtId="37" fontId="10" fillId="0" borderId="0" xfId="76" applyNumberFormat="1" applyFont="1" applyBorder="1" applyAlignment="1">
      <alignment horizontal="center"/>
    </xf>
    <xf numFmtId="184" fontId="70" fillId="0" borderId="0" xfId="76" applyNumberFormat="1" applyFill="1" applyBorder="1" applyAlignment="1">
      <alignment horizontal="center"/>
    </xf>
    <xf numFmtId="184" fontId="70" fillId="0" borderId="9" xfId="76" applyNumberFormat="1" applyBorder="1" applyAlignment="1">
      <alignment horizontal="center"/>
    </xf>
    <xf numFmtId="168" fontId="10" fillId="0" borderId="1" xfId="76" applyNumberFormat="1" applyFont="1" applyFill="1" applyBorder="1" applyAlignment="1">
      <alignment horizontal="right"/>
    </xf>
    <xf numFmtId="184" fontId="70" fillId="0" borderId="0" xfId="76" applyNumberFormat="1" applyAlignment="1">
      <alignment horizontal="center"/>
    </xf>
    <xf numFmtId="37" fontId="10" fillId="0" borderId="8" xfId="76" applyNumberFormat="1" applyFont="1" applyBorder="1" applyAlignment="1">
      <alignment horizontal="center"/>
    </xf>
    <xf numFmtId="169" fontId="10" fillId="0" borderId="0" xfId="76" applyNumberFormat="1" applyFont="1" applyBorder="1"/>
    <xf numFmtId="168" fontId="10" fillId="0" borderId="0" xfId="76" applyNumberFormat="1" applyFont="1"/>
    <xf numFmtId="184" fontId="70" fillId="0" borderId="0" xfId="76" applyNumberFormat="1"/>
    <xf numFmtId="169" fontId="5" fillId="0" borderId="0" xfId="75" applyNumberFormat="1" applyBorder="1"/>
    <xf numFmtId="37" fontId="5" fillId="0" borderId="0" xfId="75" applyNumberFormat="1" applyBorder="1" applyAlignment="1"/>
    <xf numFmtId="37" fontId="5" fillId="0" borderId="0" xfId="75" applyNumberFormat="1" applyFill="1" applyBorder="1"/>
    <xf numFmtId="169" fontId="10" fillId="0" borderId="0" xfId="75" applyNumberFormat="1" applyFont="1" applyAlignment="1"/>
    <xf numFmtId="170" fontId="10" fillId="0" borderId="0" xfId="13" applyNumberFormat="1" applyFont="1" applyFill="1" applyBorder="1"/>
    <xf numFmtId="170" fontId="5" fillId="0" borderId="0" xfId="75" applyNumberFormat="1" applyFill="1" applyBorder="1"/>
    <xf numFmtId="3" fontId="5" fillId="0" borderId="0" xfId="75" applyNumberFormat="1" applyBorder="1"/>
    <xf numFmtId="170" fontId="10" fillId="0" borderId="0" xfId="75" applyNumberFormat="1" applyFont="1" applyFill="1" applyBorder="1"/>
    <xf numFmtId="39" fontId="10" fillId="0" borderId="0" xfId="75" applyNumberFormat="1" applyFont="1" applyFill="1" applyBorder="1"/>
    <xf numFmtId="175" fontId="10" fillId="0" borderId="0" xfId="75" applyNumberFormat="1" applyFont="1" applyFill="1" applyBorder="1" applyAlignment="1">
      <alignment horizontal="right"/>
    </xf>
    <xf numFmtId="172" fontId="10" fillId="0" borderId="0" xfId="75" applyNumberFormat="1" applyFont="1" applyFill="1" applyBorder="1"/>
    <xf numFmtId="170" fontId="10" fillId="0" borderId="0" xfId="75" applyNumberFormat="1" applyFont="1" applyFill="1" applyBorder="1" applyAlignment="1">
      <alignment horizontal="right"/>
    </xf>
    <xf numFmtId="171" fontId="10" fillId="0" borderId="0" xfId="16" applyNumberFormat="1" applyFont="1" applyFill="1" applyBorder="1"/>
    <xf numFmtId="173" fontId="10" fillId="0" borderId="0" xfId="75" applyNumberFormat="1" applyFont="1" applyFill="1" applyBorder="1"/>
    <xf numFmtId="184" fontId="7" fillId="0" borderId="0" xfId="77" applyFont="1"/>
    <xf numFmtId="37" fontId="10" fillId="0" borderId="10" xfId="77" applyNumberFormat="1" applyFont="1" applyBorder="1" applyAlignment="1">
      <alignment horizontal="right"/>
    </xf>
    <xf numFmtId="37" fontId="10" fillId="0" borderId="11" xfId="16" applyNumberFormat="1" applyFont="1" applyFill="1" applyBorder="1" applyAlignment="1">
      <alignment horizontal="right"/>
    </xf>
    <xf numFmtId="167" fontId="10" fillId="0" borderId="0" xfId="16" applyNumberFormat="1" applyFont="1" applyFill="1" applyBorder="1" applyAlignment="1">
      <alignment horizontal="right"/>
    </xf>
    <xf numFmtId="180" fontId="10" fillId="0" borderId="0" xfId="13" applyNumberFormat="1" applyFont="1" applyFill="1" applyBorder="1" applyAlignment="1"/>
    <xf numFmtId="169" fontId="10" fillId="0" borderId="9" xfId="1" applyNumberFormat="1" applyFont="1" applyBorder="1" applyAlignment="1">
      <alignment horizontal="right"/>
    </xf>
    <xf numFmtId="169" fontId="10" fillId="0" borderId="9" xfId="13" applyNumberFormat="1" applyFont="1" applyBorder="1" applyAlignment="1">
      <alignment horizontal="right"/>
    </xf>
    <xf numFmtId="169" fontId="10" fillId="0" borderId="9" xfId="75" applyNumberFormat="1" applyFont="1" applyBorder="1"/>
    <xf numFmtId="169" fontId="10" fillId="0" borderId="9" xfId="75" applyNumberFormat="1" applyFont="1" applyFill="1" applyBorder="1" applyAlignment="1">
      <alignment horizontal="right"/>
    </xf>
    <xf numFmtId="169" fontId="10" fillId="0" borderId="8" xfId="13" applyNumberFormat="1" applyFont="1" applyBorder="1" applyAlignment="1">
      <alignment horizontal="right"/>
    </xf>
    <xf numFmtId="0" fontId="10" fillId="0" borderId="4" xfId="75" applyFont="1" applyBorder="1"/>
    <xf numFmtId="0" fontId="10" fillId="0" borderId="9" xfId="75" applyFont="1" applyFill="1" applyBorder="1" applyAlignment="1">
      <alignment horizontal="center"/>
    </xf>
    <xf numFmtId="168" fontId="10" fillId="0" borderId="11" xfId="75" applyNumberFormat="1" applyFont="1" applyFill="1" applyBorder="1" applyAlignment="1">
      <alignment horizontal="right"/>
    </xf>
    <xf numFmtId="169" fontId="10" fillId="0" borderId="0" xfId="75" applyNumberFormat="1" applyFont="1" applyFill="1"/>
    <xf numFmtId="169" fontId="10" fillId="0" borderId="11" xfId="75" applyNumberFormat="1" applyFont="1" applyFill="1" applyBorder="1"/>
    <xf numFmtId="0" fontId="10" fillId="0" borderId="9" xfId="75" applyFont="1" applyFill="1" applyBorder="1"/>
    <xf numFmtId="37" fontId="10" fillId="0" borderId="9" xfId="75" applyNumberFormat="1" applyFont="1" applyFill="1" applyBorder="1"/>
    <xf numFmtId="37" fontId="10" fillId="0" borderId="10" xfId="77" applyNumberFormat="1" applyFont="1" applyFill="1" applyBorder="1" applyAlignment="1">
      <alignment horizontal="right"/>
    </xf>
    <xf numFmtId="0" fontId="10" fillId="0" borderId="9" xfId="75" applyFont="1" applyFill="1" applyBorder="1" applyAlignment="1">
      <alignment horizontal="right"/>
    </xf>
    <xf numFmtId="37" fontId="10" fillId="0" borderId="8" xfId="75" applyNumberFormat="1" applyFont="1" applyFill="1" applyBorder="1"/>
    <xf numFmtId="182" fontId="10" fillId="0" borderId="5" xfId="1" applyNumberFormat="1" applyFont="1" applyFill="1" applyBorder="1" applyAlignment="1">
      <alignment horizontal="right"/>
    </xf>
    <xf numFmtId="182" fontId="10" fillId="0" borderId="8" xfId="1" applyNumberFormat="1" applyFont="1" applyFill="1" applyBorder="1" applyAlignment="1">
      <alignment horizontal="right"/>
    </xf>
    <xf numFmtId="0" fontId="10" fillId="0" borderId="0" xfId="75" applyFont="1" applyFill="1" applyBorder="1" applyAlignment="1">
      <alignment horizontal="right"/>
    </xf>
    <xf numFmtId="169" fontId="10" fillId="0" borderId="0" xfId="75" applyNumberFormat="1" applyFont="1" applyFill="1" applyBorder="1" applyAlignment="1">
      <alignment horizontal="right"/>
    </xf>
    <xf numFmtId="169" fontId="10" fillId="0" borderId="5" xfId="75" applyNumberFormat="1" applyFont="1" applyFill="1" applyBorder="1" applyAlignment="1">
      <alignment horizontal="right"/>
    </xf>
    <xf numFmtId="169" fontId="10" fillId="0" borderId="10" xfId="75" applyNumberFormat="1" applyFont="1" applyFill="1" applyBorder="1" applyAlignment="1">
      <alignment horizontal="right"/>
    </xf>
    <xf numFmtId="169" fontId="10" fillId="0" borderId="11" xfId="75" applyNumberFormat="1" applyFont="1" applyFill="1" applyBorder="1" applyAlignment="1">
      <alignment horizontal="right"/>
    </xf>
    <xf numFmtId="169" fontId="10" fillId="0" borderId="9" xfId="75" applyNumberFormat="1" applyFont="1" applyFill="1" applyBorder="1"/>
    <xf numFmtId="167" fontId="10" fillId="0" borderId="0" xfId="13" applyNumberFormat="1" applyFont="1" applyFill="1" applyBorder="1" applyAlignment="1">
      <alignment horizontal="right"/>
    </xf>
    <xf numFmtId="43" fontId="10" fillId="0" borderId="10" xfId="13" applyFont="1" applyFill="1" applyBorder="1"/>
    <xf numFmtId="180" fontId="10" fillId="0" borderId="0" xfId="13" applyNumberFormat="1" applyFont="1" applyFill="1" applyBorder="1" applyAlignment="1">
      <alignment horizontal="right"/>
    </xf>
    <xf numFmtId="43" fontId="10" fillId="0" borderId="0" xfId="13" applyFont="1" applyFill="1"/>
    <xf numFmtId="168" fontId="10" fillId="0" borderId="17" xfId="16" applyNumberFormat="1" applyFont="1" applyFill="1" applyBorder="1" applyAlignment="1">
      <alignment horizontal="right"/>
    </xf>
    <xf numFmtId="184" fontId="10" fillId="0" borderId="0" xfId="157" applyNumberFormat="1" applyFont="1" applyFill="1" applyBorder="1"/>
    <xf numFmtId="184" fontId="70" fillId="0" borderId="9" xfId="157" applyNumberFormat="1" applyBorder="1"/>
    <xf numFmtId="169" fontId="10" fillId="0" borderId="13" xfId="157" applyNumberFormat="1" applyFont="1" applyBorder="1"/>
    <xf numFmtId="169" fontId="10" fillId="0" borderId="1" xfId="157" applyNumberFormat="1" applyFont="1" applyBorder="1"/>
    <xf numFmtId="169" fontId="10" fillId="0" borderId="5" xfId="157" applyNumberFormat="1" applyFont="1" applyBorder="1"/>
    <xf numFmtId="169" fontId="10" fillId="0" borderId="6" xfId="157" applyNumberFormat="1" applyFont="1" applyBorder="1"/>
    <xf numFmtId="169" fontId="10" fillId="0" borderId="5" xfId="157" applyNumberFormat="1" applyFont="1" applyBorder="1" applyAlignment="1">
      <alignment horizontal="center"/>
    </xf>
    <xf numFmtId="169" fontId="10" fillId="0" borderId="6" xfId="157" applyNumberFormat="1" applyFont="1" applyBorder="1" applyAlignment="1">
      <alignment horizontal="center"/>
    </xf>
    <xf numFmtId="169" fontId="10" fillId="0" borderId="1" xfId="157" applyNumberFormat="1" applyFont="1" applyBorder="1" applyAlignment="1">
      <alignment horizontal="center"/>
    </xf>
    <xf numFmtId="169" fontId="10" fillId="0" borderId="0" xfId="157" applyNumberFormat="1" applyFont="1" applyBorder="1" applyAlignment="1">
      <alignment horizontal="center"/>
    </xf>
    <xf numFmtId="169" fontId="70" fillId="0" borderId="0" xfId="157" applyNumberFormat="1" applyFill="1" applyBorder="1" applyAlignment="1">
      <alignment horizontal="center"/>
    </xf>
    <xf numFmtId="169" fontId="70" fillId="0" borderId="9" xfId="157" applyNumberFormat="1" applyBorder="1" applyAlignment="1">
      <alignment horizontal="center"/>
    </xf>
    <xf numFmtId="168" fontId="10" fillId="0" borderId="1" xfId="157" applyNumberFormat="1" applyFont="1" applyFill="1" applyBorder="1" applyAlignment="1">
      <alignment horizontal="right"/>
    </xf>
    <xf numFmtId="184" fontId="70" fillId="0" borderId="0" xfId="157" applyNumberFormat="1" applyAlignment="1">
      <alignment horizontal="center"/>
    </xf>
    <xf numFmtId="37" fontId="10" fillId="0" borderId="8" xfId="157" applyNumberFormat="1" applyFont="1" applyBorder="1" applyAlignment="1">
      <alignment horizontal="center"/>
    </xf>
    <xf numFmtId="169" fontId="10" fillId="0" borderId="0" xfId="157" applyNumberFormat="1" applyFont="1" applyBorder="1"/>
    <xf numFmtId="168" fontId="10" fillId="0" borderId="0" xfId="157" applyNumberFormat="1" applyFont="1"/>
    <xf numFmtId="184" fontId="70" fillId="0" borderId="0" xfId="157" applyNumberFormat="1"/>
    <xf numFmtId="169" fontId="5" fillId="0" borderId="0" xfId="75" applyNumberFormat="1"/>
    <xf numFmtId="184" fontId="6" fillId="0" borderId="11" xfId="0" applyFont="1" applyFill="1" applyBorder="1" applyAlignment="1">
      <alignment horizontal="center"/>
    </xf>
    <xf numFmtId="37" fontId="10" fillId="0" borderId="7" xfId="75" applyNumberFormat="1" applyFont="1" applyFill="1" applyBorder="1"/>
    <xf numFmtId="169" fontId="10" fillId="0" borderId="13" xfId="13" applyNumberFormat="1" applyFont="1" applyFill="1" applyBorder="1" applyAlignment="1">
      <alignment horizontal="right"/>
    </xf>
    <xf numFmtId="169" fontId="10" fillId="0" borderId="0" xfId="75" applyNumberFormat="1" applyFont="1" applyBorder="1" applyAlignment="1">
      <alignment horizontal="center"/>
    </xf>
    <xf numFmtId="167" fontId="10" fillId="0" borderId="11" xfId="13" applyNumberFormat="1" applyFont="1" applyFill="1" applyBorder="1"/>
    <xf numFmtId="167" fontId="10" fillId="0" borderId="0" xfId="13" applyNumberFormat="1" applyFont="1" applyFill="1" applyBorder="1"/>
    <xf numFmtId="167" fontId="10" fillId="0" borderId="10" xfId="13" applyNumberFormat="1" applyFont="1" applyFill="1" applyBorder="1"/>
    <xf numFmtId="167" fontId="10" fillId="0" borderId="9" xfId="75" applyNumberFormat="1" applyFont="1" applyBorder="1"/>
    <xf numFmtId="167" fontId="10" fillId="0" borderId="0" xfId="13" applyNumberFormat="1" applyFont="1" applyFill="1" applyBorder="1" applyAlignment="1"/>
    <xf numFmtId="167" fontId="10" fillId="0" borderId="0" xfId="75" applyNumberFormat="1" applyFont="1"/>
    <xf numFmtId="167" fontId="10" fillId="0" borderId="9" xfId="13" applyNumberFormat="1" applyFont="1" applyFill="1" applyBorder="1" applyAlignment="1">
      <alignment horizontal="right"/>
    </xf>
    <xf numFmtId="167" fontId="10" fillId="0" borderId="11" xfId="13" applyNumberFormat="1" applyFont="1" applyFill="1" applyBorder="1" applyAlignment="1">
      <alignment horizontal="right"/>
    </xf>
    <xf numFmtId="167" fontId="10" fillId="0" borderId="9" xfId="75" applyNumberFormat="1" applyFont="1" applyBorder="1" applyAlignment="1">
      <alignment horizontal="right"/>
    </xf>
    <xf numFmtId="167" fontId="10" fillId="0" borderId="0" xfId="75" applyNumberFormat="1" applyFont="1" applyBorder="1" applyAlignment="1">
      <alignment horizontal="right"/>
    </xf>
    <xf numFmtId="167" fontId="10" fillId="0" borderId="9" xfId="13" applyNumberFormat="1" applyFont="1" applyFill="1" applyBorder="1"/>
    <xf numFmtId="167" fontId="10" fillId="0" borderId="0" xfId="13" applyNumberFormat="1" applyFont="1" applyBorder="1"/>
    <xf numFmtId="167" fontId="10" fillId="0" borderId="10" xfId="13" applyNumberFormat="1" applyFont="1" applyBorder="1"/>
    <xf numFmtId="167" fontId="10" fillId="0" borderId="11" xfId="13" applyNumberFormat="1" applyFont="1" applyBorder="1"/>
    <xf numFmtId="167" fontId="10" fillId="0" borderId="9" xfId="13" applyNumberFormat="1" applyFont="1" applyBorder="1"/>
    <xf numFmtId="167" fontId="10" fillId="0" borderId="0" xfId="13" applyNumberFormat="1" applyFont="1"/>
    <xf numFmtId="167" fontId="10" fillId="0" borderId="9" xfId="13" applyNumberFormat="1" applyFont="1" applyBorder="1" applyAlignment="1">
      <alignment horizontal="right"/>
    </xf>
    <xf numFmtId="167" fontId="10" fillId="0" borderId="11" xfId="75" applyNumberFormat="1" applyFont="1" applyBorder="1" applyAlignment="1">
      <alignment horizontal="right"/>
    </xf>
    <xf numFmtId="167" fontId="10" fillId="0" borderId="0" xfId="75" applyNumberFormat="1" applyFont="1" applyBorder="1"/>
    <xf numFmtId="167" fontId="10" fillId="0" borderId="10" xfId="75" applyNumberFormat="1" applyFont="1" applyBorder="1" applyAlignment="1">
      <alignment horizontal="right"/>
    </xf>
    <xf numFmtId="167" fontId="10" fillId="0" borderId="10" xfId="75" applyNumberFormat="1" applyFont="1" applyBorder="1"/>
    <xf numFmtId="167" fontId="10" fillId="0" borderId="11" xfId="75" applyNumberFormat="1" applyFont="1" applyBorder="1"/>
    <xf numFmtId="167" fontId="10" fillId="0" borderId="0" xfId="75" applyNumberFormat="1" applyFont="1" applyBorder="1" applyAlignment="1"/>
    <xf numFmtId="167" fontId="10" fillId="0" borderId="9" xfId="75" applyNumberFormat="1" applyFont="1" applyFill="1" applyBorder="1" applyAlignment="1">
      <alignment horizontal="right"/>
    </xf>
    <xf numFmtId="167" fontId="10" fillId="0" borderId="6" xfId="13" applyNumberFormat="1" applyFont="1" applyFill="1" applyBorder="1" applyAlignment="1">
      <alignment horizontal="right"/>
    </xf>
    <xf numFmtId="167" fontId="10" fillId="0" borderId="1" xfId="13" applyNumberFormat="1" applyFont="1" applyFill="1" applyBorder="1" applyAlignment="1">
      <alignment horizontal="right"/>
    </xf>
    <xf numFmtId="167" fontId="10" fillId="0" borderId="5" xfId="75" applyNumberFormat="1" applyFont="1" applyBorder="1" applyAlignment="1">
      <alignment horizontal="right"/>
    </xf>
    <xf numFmtId="184" fontId="0" fillId="0" borderId="0" xfId="0" applyBorder="1" applyAlignment="1">
      <alignment horizontal="left" indent="2"/>
    </xf>
    <xf numFmtId="184" fontId="5" fillId="0" borderId="10" xfId="0" applyFont="1" applyBorder="1" applyAlignment="1">
      <alignment horizontal="left" indent="2"/>
    </xf>
    <xf numFmtId="37" fontId="10" fillId="0" borderId="9" xfId="13" applyNumberFormat="1" applyFont="1" applyFill="1" applyBorder="1" applyAlignment="1">
      <alignment horizontal="center"/>
    </xf>
    <xf numFmtId="182" fontId="92" fillId="0" borderId="0" xfId="1" applyNumberFormat="1" applyFont="1" applyAlignment="1">
      <alignment horizontal="right" vertical="center" wrapText="1"/>
    </xf>
    <xf numFmtId="182" fontId="92" fillId="0" borderId="0" xfId="1" applyNumberFormat="1" applyFont="1" applyBorder="1" applyAlignment="1">
      <alignment horizontal="right" vertical="center" wrapText="1"/>
    </xf>
    <xf numFmtId="37" fontId="10" fillId="0" borderId="5" xfId="16" applyNumberFormat="1" applyFont="1" applyFill="1" applyBorder="1" applyAlignment="1">
      <alignment horizontal="right"/>
    </xf>
    <xf numFmtId="167" fontId="10" fillId="0" borderId="6" xfId="13" applyNumberFormat="1" applyFont="1" applyFill="1" applyBorder="1"/>
    <xf numFmtId="167" fontId="10" fillId="0" borderId="6" xfId="75" applyNumberFormat="1" applyFont="1" applyFill="1" applyBorder="1"/>
    <xf numFmtId="167" fontId="10" fillId="0" borderId="14" xfId="13" applyNumberFormat="1" applyFont="1" applyFill="1" applyBorder="1"/>
    <xf numFmtId="167" fontId="10" fillId="0" borderId="13" xfId="13" applyNumberFormat="1" applyFont="1" applyFill="1" applyBorder="1"/>
    <xf numFmtId="167" fontId="10" fillId="0" borderId="12" xfId="13" applyNumberFormat="1" applyFont="1" applyFill="1" applyBorder="1"/>
    <xf numFmtId="167" fontId="10" fillId="0" borderId="3" xfId="16" applyNumberFormat="1" applyFont="1" applyFill="1" applyBorder="1" applyAlignment="1">
      <alignment horizontal="right"/>
    </xf>
    <xf numFmtId="167" fontId="10" fillId="0" borderId="4" xfId="13" applyNumberFormat="1" applyFont="1" applyFill="1" applyBorder="1"/>
    <xf numFmtId="167" fontId="10" fillId="0" borderId="6" xfId="16" applyNumberFormat="1" applyFont="1" applyFill="1" applyBorder="1" applyAlignment="1">
      <alignment horizontal="right"/>
    </xf>
    <xf numFmtId="167" fontId="10" fillId="0" borderId="1" xfId="13" applyNumberFormat="1" applyFont="1" applyFill="1" applyBorder="1"/>
    <xf numFmtId="167" fontId="10" fillId="0" borderId="3" xfId="13" applyNumberFormat="1" applyFont="1" applyFill="1" applyBorder="1"/>
    <xf numFmtId="167" fontId="10" fillId="0" borderId="2" xfId="13" applyNumberFormat="1" applyFont="1" applyFill="1" applyBorder="1"/>
    <xf numFmtId="167" fontId="10" fillId="0" borderId="14" xfId="13" applyNumberFormat="1" applyFont="1" applyFill="1" applyBorder="1" applyAlignment="1">
      <alignment horizontal="right"/>
    </xf>
    <xf numFmtId="167" fontId="10" fillId="0" borderId="13" xfId="13" applyNumberFormat="1" applyFont="1" applyFill="1" applyBorder="1" applyAlignment="1">
      <alignment horizontal="right"/>
    </xf>
    <xf numFmtId="167" fontId="10" fillId="0" borderId="0" xfId="13" applyNumberFormat="1" applyFont="1" applyFill="1" applyBorder="1" applyAlignment="1">
      <alignment horizontal="center"/>
    </xf>
    <xf numFmtId="167" fontId="10" fillId="0" borderId="11" xfId="13" applyNumberFormat="1" applyFont="1" applyFill="1" applyBorder="1" applyAlignment="1">
      <alignment horizontal="center"/>
    </xf>
    <xf numFmtId="167" fontId="10" fillId="0" borderId="9" xfId="75" applyNumberFormat="1" applyFont="1" applyBorder="1" applyAlignment="1">
      <alignment horizontal="center"/>
    </xf>
    <xf numFmtId="167" fontId="10" fillId="0" borderId="19" xfId="13" applyNumberFormat="1" applyFont="1" applyFill="1" applyBorder="1" applyAlignment="1">
      <alignment horizontal="right"/>
    </xf>
    <xf numFmtId="167" fontId="10" fillId="0" borderId="17" xfId="13" applyNumberFormat="1" applyFont="1" applyFill="1" applyBorder="1" applyAlignment="1">
      <alignment horizontal="right"/>
    </xf>
    <xf numFmtId="167" fontId="10" fillId="0" borderId="19" xfId="13" applyNumberFormat="1" applyFont="1" applyFill="1" applyBorder="1" applyAlignment="1">
      <alignment horizontal="center"/>
    </xf>
    <xf numFmtId="167" fontId="10" fillId="0" borderId="17" xfId="13" applyNumberFormat="1" applyFont="1" applyFill="1" applyBorder="1" applyAlignment="1">
      <alignment horizontal="center"/>
    </xf>
    <xf numFmtId="0" fontId="16" fillId="0" borderId="0" xfId="75" applyFont="1" applyAlignment="1">
      <alignment wrapText="1"/>
    </xf>
    <xf numFmtId="184" fontId="0" fillId="0" borderId="0" xfId="0" applyFill="1" applyAlignment="1">
      <alignment wrapText="1"/>
    </xf>
    <xf numFmtId="182" fontId="0" fillId="0" borderId="0" xfId="1" applyNumberFormat="1" applyFont="1" applyFill="1" applyBorder="1" applyAlignment="1"/>
    <xf numFmtId="184" fontId="0" fillId="0" borderId="0" xfId="0" applyFill="1" applyAlignment="1">
      <alignment horizontal="center"/>
    </xf>
    <xf numFmtId="182" fontId="10" fillId="0" borderId="13" xfId="1" applyNumberFormat="1" applyFont="1" applyFill="1" applyBorder="1"/>
    <xf numFmtId="182" fontId="10" fillId="0" borderId="8" xfId="1" applyNumberFormat="1" applyFont="1" applyBorder="1"/>
    <xf numFmtId="182" fontId="10" fillId="0" borderId="1" xfId="1" applyNumberFormat="1" applyFont="1" applyBorder="1"/>
    <xf numFmtId="182" fontId="10" fillId="0" borderId="14" xfId="1" applyNumberFormat="1" applyFont="1" applyFill="1" applyBorder="1"/>
    <xf numFmtId="182" fontId="10" fillId="0" borderId="17" xfId="1" applyNumberFormat="1" applyFont="1" applyFill="1" applyBorder="1"/>
    <xf numFmtId="182" fontId="10" fillId="0" borderId="19" xfId="1" applyNumberFormat="1" applyFont="1" applyFill="1" applyBorder="1"/>
    <xf numFmtId="182" fontId="10" fillId="0" borderId="19" xfId="1" applyNumberFormat="1" applyFont="1" applyBorder="1"/>
    <xf numFmtId="182" fontId="10" fillId="0" borderId="17" xfId="1" applyNumberFormat="1" applyFont="1" applyBorder="1"/>
    <xf numFmtId="182" fontId="10" fillId="0" borderId="18" xfId="1" applyNumberFormat="1" applyFont="1" applyBorder="1"/>
    <xf numFmtId="182" fontId="10" fillId="0" borderId="15" xfId="1" applyNumberFormat="1" applyFont="1" applyFill="1" applyBorder="1"/>
    <xf numFmtId="182" fontId="10" fillId="0" borderId="18" xfId="1" applyNumberFormat="1" applyFont="1" applyFill="1" applyBorder="1"/>
    <xf numFmtId="182" fontId="10" fillId="0" borderId="12" xfId="1" applyNumberFormat="1" applyFont="1" applyFill="1" applyBorder="1"/>
    <xf numFmtId="182" fontId="15" fillId="0" borderId="11" xfId="1" applyNumberFormat="1" applyFont="1" applyFill="1" applyBorder="1"/>
    <xf numFmtId="182" fontId="15" fillId="0" borderId="0" xfId="1" applyNumberFormat="1" applyFont="1" applyFill="1" applyBorder="1"/>
    <xf numFmtId="182" fontId="10" fillId="0" borderId="6" xfId="1" applyNumberFormat="1" applyFont="1" applyFill="1" applyBorder="1"/>
    <xf numFmtId="182" fontId="15" fillId="0" borderId="9" xfId="1" applyNumberFormat="1" applyFont="1" applyFill="1" applyBorder="1"/>
    <xf numFmtId="182" fontId="10" fillId="0" borderId="8" xfId="1" applyNumberFormat="1" applyFont="1" applyFill="1" applyBorder="1"/>
    <xf numFmtId="182" fontId="10" fillId="0" borderId="17" xfId="1" applyNumberFormat="1" applyFont="1" applyFill="1" applyBorder="1" applyAlignment="1">
      <alignment horizontal="right"/>
    </xf>
    <xf numFmtId="182" fontId="10" fillId="0" borderId="16" xfId="1" applyNumberFormat="1" applyFont="1" applyFill="1" applyBorder="1" applyAlignment="1">
      <alignment horizontal="right"/>
    </xf>
    <xf numFmtId="182" fontId="10" fillId="0" borderId="13" xfId="1" applyNumberFormat="1" applyFont="1" applyFill="1" applyBorder="1" applyAlignment="1">
      <alignment horizontal="right"/>
    </xf>
    <xf numFmtId="182" fontId="10" fillId="0" borderId="12" xfId="1" applyNumberFormat="1" applyFont="1" applyFill="1" applyBorder="1" applyAlignment="1">
      <alignment horizontal="right"/>
    </xf>
    <xf numFmtId="182" fontId="10" fillId="0" borderId="18" xfId="1" applyNumberFormat="1" applyFont="1" applyFill="1" applyBorder="1" applyAlignment="1">
      <alignment horizontal="right"/>
    </xf>
    <xf numFmtId="182" fontId="10" fillId="0" borderId="10" xfId="1" applyNumberFormat="1" applyFont="1" applyBorder="1"/>
    <xf numFmtId="182" fontId="10" fillId="0" borderId="15" xfId="1" applyNumberFormat="1" applyFont="1" applyFill="1" applyBorder="1" applyAlignment="1">
      <alignment horizontal="right"/>
    </xf>
    <xf numFmtId="182" fontId="10" fillId="0" borderId="11" xfId="1" applyNumberFormat="1" applyFont="1" applyFill="1" applyBorder="1" applyAlignment="1">
      <alignment horizontal="center"/>
    </xf>
    <xf numFmtId="182" fontId="10" fillId="0" borderId="9" xfId="1" applyNumberFormat="1" applyFont="1" applyBorder="1" applyAlignment="1">
      <alignment horizontal="center"/>
    </xf>
    <xf numFmtId="182" fontId="10" fillId="0" borderId="19" xfId="1" applyNumberFormat="1" applyFont="1" applyFill="1" applyBorder="1" applyAlignment="1">
      <alignment horizontal="center"/>
    </xf>
    <xf numFmtId="182" fontId="10" fillId="0" borderId="17" xfId="1" applyNumberFormat="1" applyFont="1" applyFill="1" applyBorder="1" applyAlignment="1">
      <alignment horizontal="center"/>
    </xf>
    <xf numFmtId="182" fontId="10" fillId="0" borderId="3" xfId="1" applyNumberFormat="1" applyFont="1" applyFill="1" applyBorder="1" applyAlignment="1"/>
    <xf numFmtId="182" fontId="10" fillId="0" borderId="10" xfId="1" applyNumberFormat="1" applyFont="1" applyFill="1" applyBorder="1"/>
    <xf numFmtId="182" fontId="10" fillId="0" borderId="5" xfId="1" applyNumberFormat="1" applyFont="1" applyFill="1" applyBorder="1"/>
    <xf numFmtId="182" fontId="10" fillId="0" borderId="6" xfId="1" applyNumberFormat="1" applyFont="1" applyFill="1" applyBorder="1" applyAlignment="1"/>
    <xf numFmtId="182" fontId="10" fillId="0" borderId="4" xfId="1" applyNumberFormat="1" applyFont="1" applyFill="1" applyBorder="1"/>
    <xf numFmtId="182" fontId="16" fillId="0" borderId="0" xfId="1" applyNumberFormat="1" applyFont="1" applyFill="1" applyBorder="1" applyAlignment="1">
      <alignment horizontal="center"/>
    </xf>
    <xf numFmtId="182" fontId="10" fillId="0" borderId="14" xfId="1" applyNumberFormat="1" applyFont="1" applyBorder="1"/>
    <xf numFmtId="182" fontId="5" fillId="0" borderId="0" xfId="1" applyNumberFormat="1" applyFill="1" applyBorder="1"/>
    <xf numFmtId="182" fontId="5" fillId="0" borderId="9" xfId="1" applyNumberFormat="1" applyBorder="1"/>
    <xf numFmtId="182" fontId="10" fillId="0" borderId="13" xfId="1" applyNumberFormat="1" applyFont="1" applyBorder="1" applyAlignment="1">
      <alignment horizontal="right"/>
    </xf>
    <xf numFmtId="182" fontId="10" fillId="0" borderId="12" xfId="1" applyNumberFormat="1" applyFont="1" applyBorder="1" applyAlignment="1">
      <alignment horizontal="right"/>
    </xf>
    <xf numFmtId="182" fontId="10" fillId="0" borderId="14" xfId="1" applyNumberFormat="1" applyFont="1" applyBorder="1" applyAlignment="1">
      <alignment horizontal="right"/>
    </xf>
    <xf numFmtId="182" fontId="10" fillId="0" borderId="1" xfId="1" applyNumberFormat="1" applyFont="1" applyBorder="1" applyAlignment="1">
      <alignment horizontal="right"/>
    </xf>
    <xf numFmtId="182" fontId="10" fillId="0" borderId="5" xfId="1" applyNumberFormat="1" applyFont="1" applyBorder="1" applyAlignment="1">
      <alignment horizontal="center"/>
    </xf>
    <xf numFmtId="182" fontId="10" fillId="0" borderId="1" xfId="1" applyNumberFormat="1" applyFont="1" applyBorder="1" applyAlignment="1">
      <alignment horizontal="center"/>
    </xf>
    <xf numFmtId="182" fontId="10" fillId="0" borderId="0" xfId="1" applyNumberFormat="1" applyFont="1" applyBorder="1" applyAlignment="1">
      <alignment horizontal="center"/>
    </xf>
    <xf numFmtId="182" fontId="0" fillId="0" borderId="0" xfId="1" applyNumberFormat="1" applyFont="1" applyFill="1" applyBorder="1" applyAlignment="1">
      <alignment horizontal="center"/>
    </xf>
    <xf numFmtId="182" fontId="0" fillId="0" borderId="9" xfId="1" applyNumberFormat="1" applyFont="1" applyBorder="1" applyAlignment="1">
      <alignment horizontal="center"/>
    </xf>
    <xf numFmtId="182" fontId="10" fillId="0" borderId="25" xfId="1" applyNumberFormat="1" applyFont="1" applyFill="1" applyBorder="1" applyAlignment="1">
      <alignment horizontal="right"/>
    </xf>
    <xf numFmtId="182" fontId="10" fillId="0" borderId="31" xfId="1" applyNumberFormat="1" applyFont="1" applyFill="1" applyBorder="1" applyAlignment="1">
      <alignment horizontal="right"/>
    </xf>
    <xf numFmtId="182" fontId="10" fillId="0" borderId="43" xfId="1" applyNumberFormat="1" applyFont="1" applyFill="1" applyBorder="1" applyAlignment="1">
      <alignment horizontal="right"/>
    </xf>
    <xf numFmtId="184" fontId="0" fillId="0" borderId="0" xfId="0" applyAlignment="1">
      <alignment wrapText="1"/>
    </xf>
    <xf numFmtId="184" fontId="20" fillId="0" borderId="0" xfId="0" applyFont="1" applyAlignment="1">
      <alignment horizontal="center"/>
    </xf>
    <xf numFmtId="182" fontId="10" fillId="0" borderId="0" xfId="1" applyNumberFormat="1" applyFont="1" applyFill="1" applyAlignment="1">
      <alignment horizontal="right"/>
    </xf>
    <xf numFmtId="0" fontId="16" fillId="0" borderId="0" xfId="75" applyFont="1" applyAlignment="1">
      <alignment wrapText="1"/>
    </xf>
    <xf numFmtId="167" fontId="10" fillId="0" borderId="12" xfId="13" applyNumberFormat="1" applyFont="1" applyFill="1" applyBorder="1" applyAlignment="1">
      <alignment horizontal="right"/>
    </xf>
    <xf numFmtId="169" fontId="10" fillId="0" borderId="15" xfId="13" applyNumberFormat="1" applyFont="1" applyFill="1" applyBorder="1" applyAlignment="1">
      <alignment horizontal="right"/>
    </xf>
    <xf numFmtId="169" fontId="10" fillId="0" borderId="9" xfId="75" applyNumberFormat="1" applyFont="1" applyBorder="1" applyAlignment="1">
      <alignment horizontal="center"/>
    </xf>
    <xf numFmtId="169" fontId="10" fillId="0" borderId="14" xfId="1" applyNumberFormat="1" applyFont="1" applyFill="1" applyBorder="1" applyAlignment="1">
      <alignment horizontal="right"/>
    </xf>
    <xf numFmtId="180" fontId="10" fillId="0" borderId="13" xfId="1" applyNumberFormat="1" applyFont="1" applyFill="1" applyBorder="1" applyAlignment="1">
      <alignment horizontal="right"/>
    </xf>
    <xf numFmtId="180" fontId="10" fillId="0" borderId="14" xfId="1" applyNumberFormat="1" applyFont="1" applyFill="1" applyBorder="1" applyAlignment="1">
      <alignment horizontal="right"/>
    </xf>
    <xf numFmtId="194" fontId="10" fillId="0" borderId="11" xfId="75" applyNumberFormat="1" applyFont="1" applyFill="1" applyBorder="1" applyAlignment="1">
      <alignment horizontal="right"/>
    </xf>
    <xf numFmtId="171" fontId="10" fillId="0" borderId="0" xfId="0" applyNumberFormat="1" applyFont="1" applyFill="1" applyBorder="1" applyAlignment="1">
      <alignment horizontal="right"/>
    </xf>
    <xf numFmtId="171" fontId="10" fillId="0" borderId="9" xfId="0" applyNumberFormat="1" applyFont="1" applyFill="1" applyBorder="1"/>
    <xf numFmtId="171" fontId="10" fillId="0" borderId="11" xfId="0" applyNumberFormat="1" applyFont="1" applyFill="1" applyBorder="1"/>
    <xf numFmtId="171" fontId="10" fillId="0" borderId="11" xfId="7" applyNumberFormat="1" applyFont="1" applyFill="1" applyBorder="1"/>
    <xf numFmtId="43" fontId="10" fillId="0" borderId="0" xfId="1" applyNumberFormat="1" applyFont="1" applyFill="1" applyBorder="1" applyAlignment="1"/>
    <xf numFmtId="190" fontId="10" fillId="0" borderId="0" xfId="1" applyNumberFormat="1" applyFont="1" applyFill="1" applyBorder="1" applyAlignment="1"/>
    <xf numFmtId="172" fontId="10" fillId="0" borderId="11" xfId="0" applyNumberFormat="1" applyFont="1" applyFill="1" applyBorder="1"/>
    <xf numFmtId="175" fontId="10" fillId="0" borderId="0" xfId="0" applyNumberFormat="1" applyFont="1" applyFill="1" applyBorder="1" applyAlignment="1">
      <alignment horizontal="right"/>
    </xf>
    <xf numFmtId="170" fontId="10" fillId="0" borderId="11" xfId="0" applyNumberFormat="1" applyFont="1" applyFill="1" applyBorder="1"/>
    <xf numFmtId="39" fontId="10" fillId="0" borderId="11" xfId="0" applyNumberFormat="1" applyFont="1" applyFill="1" applyBorder="1"/>
    <xf numFmtId="170" fontId="10" fillId="0" borderId="11" xfId="0" applyNumberFormat="1" applyFont="1" applyFill="1" applyBorder="1" applyAlignment="1">
      <alignment horizontal="right"/>
    </xf>
    <xf numFmtId="171" fontId="10" fillId="0" borderId="0" xfId="7" applyNumberFormat="1" applyFont="1" applyFill="1" applyBorder="1" applyAlignment="1"/>
    <xf numFmtId="168" fontId="10" fillId="0" borderId="11" xfId="7" applyNumberFormat="1" applyFont="1" applyFill="1" applyBorder="1"/>
    <xf numFmtId="173" fontId="10" fillId="0" borderId="11" xfId="0" applyNumberFormat="1" applyFont="1" applyFill="1" applyBorder="1"/>
    <xf numFmtId="178" fontId="10" fillId="0" borderId="11" xfId="0" applyNumberFormat="1" applyFont="1" applyFill="1" applyBorder="1"/>
    <xf numFmtId="173" fontId="10" fillId="0" borderId="9" xfId="0" applyNumberFormat="1" applyFont="1" applyFill="1" applyBorder="1"/>
    <xf numFmtId="168" fontId="10" fillId="4" borderId="0" xfId="7" applyNumberFormat="1" applyFont="1" applyFill="1" applyBorder="1" applyAlignment="1">
      <alignment horizontal="right"/>
    </xf>
    <xf numFmtId="178" fontId="10" fillId="0" borderId="10" xfId="0" applyNumberFormat="1" applyFont="1" applyFill="1" applyBorder="1"/>
    <xf numFmtId="193" fontId="10" fillId="0" borderId="0" xfId="0" applyNumberFormat="1" applyFont="1" applyFill="1" applyBorder="1"/>
    <xf numFmtId="173" fontId="10" fillId="0" borderId="10" xfId="0" applyNumberFormat="1" applyFont="1" applyFill="1" applyBorder="1"/>
    <xf numFmtId="0" fontId="5" fillId="0" borderId="10" xfId="75" applyFont="1" applyBorder="1"/>
    <xf numFmtId="0" fontId="5" fillId="0" borderId="0" xfId="75" applyFont="1"/>
    <xf numFmtId="0" fontId="5" fillId="0" borderId="0" xfId="75" applyFont="1" applyBorder="1"/>
    <xf numFmtId="184" fontId="5" fillId="0" borderId="0" xfId="0" applyFont="1" applyBorder="1"/>
    <xf numFmtId="184" fontId="5" fillId="0" borderId="0" xfId="0" applyFont="1" applyFill="1" applyAlignment="1">
      <alignment wrapText="1"/>
    </xf>
    <xf numFmtId="184" fontId="5" fillId="0" borderId="10" xfId="0" applyFont="1" applyFill="1" applyBorder="1"/>
    <xf numFmtId="184" fontId="5" fillId="0" borderId="0" xfId="0" applyFont="1" applyFill="1"/>
    <xf numFmtId="184" fontId="16" fillId="0" borderId="2" xfId="0" applyFont="1" applyFill="1" applyBorder="1" applyAlignment="1">
      <alignment horizontal="center"/>
    </xf>
    <xf numFmtId="182" fontId="10" fillId="0" borderId="8" xfId="1" applyNumberFormat="1" applyFont="1" applyBorder="1" applyAlignment="1"/>
    <xf numFmtId="191" fontId="10" fillId="0" borderId="0" xfId="1" applyNumberFormat="1" applyFont="1"/>
    <xf numFmtId="43" fontId="10" fillId="0" borderId="0" xfId="1" applyFont="1" applyBorder="1" applyAlignment="1"/>
    <xf numFmtId="37" fontId="5" fillId="0" borderId="0" xfId="75" applyNumberFormat="1"/>
    <xf numFmtId="167" fontId="5" fillId="0" borderId="0" xfId="75" applyNumberFormat="1" applyBorder="1"/>
    <xf numFmtId="171" fontId="5" fillId="0" borderId="0" xfId="7" applyNumberFormat="1" applyBorder="1"/>
    <xf numFmtId="43" fontId="19" fillId="0" borderId="0" xfId="1" applyFont="1" applyBorder="1"/>
    <xf numFmtId="9" fontId="19" fillId="0" borderId="0" xfId="7" applyFont="1" applyBorder="1"/>
    <xf numFmtId="43" fontId="10" fillId="0" borderId="10" xfId="1" applyFont="1" applyFill="1" applyBorder="1"/>
    <xf numFmtId="37" fontId="10" fillId="0" borderId="14" xfId="7" applyNumberFormat="1" applyFont="1" applyFill="1" applyBorder="1" applyAlignment="1">
      <alignment horizontal="right"/>
    </xf>
    <xf numFmtId="168" fontId="10" fillId="0" borderId="14" xfId="75" applyNumberFormat="1" applyFont="1" applyFill="1" applyBorder="1" applyAlignment="1">
      <alignment horizontal="right"/>
    </xf>
    <xf numFmtId="10" fontId="10" fillId="0" borderId="0" xfId="7" applyNumberFormat="1" applyFont="1" applyBorder="1"/>
    <xf numFmtId="184" fontId="0" fillId="0" borderId="0" xfId="0" applyFill="1" applyAlignment="1">
      <alignment wrapText="1"/>
    </xf>
    <xf numFmtId="184" fontId="22" fillId="0" borderId="0" xfId="0" applyFont="1" applyAlignment="1">
      <alignment horizontal="center" wrapText="1"/>
    </xf>
    <xf numFmtId="184" fontId="0" fillId="0" borderId="0" xfId="0" applyAlignment="1">
      <alignment wrapText="1"/>
    </xf>
    <xf numFmtId="184" fontId="28" fillId="0" borderId="0" xfId="14" applyFont="1" applyFill="1" applyAlignment="1">
      <alignment wrapText="1"/>
    </xf>
    <xf numFmtId="184" fontId="5" fillId="0" borderId="0" xfId="0" applyFont="1" applyFill="1" applyAlignment="1">
      <alignment horizontal="left"/>
    </xf>
    <xf numFmtId="184" fontId="0" fillId="0" borderId="0" xfId="0" applyAlignment="1">
      <alignment horizontal="left"/>
    </xf>
    <xf numFmtId="184" fontId="28" fillId="0" borderId="0" xfId="14" applyFont="1" applyFill="1" applyAlignment="1">
      <alignment horizontal="left"/>
    </xf>
    <xf numFmtId="168" fontId="10" fillId="0" borderId="9" xfId="7" applyNumberFormat="1" applyFont="1" applyFill="1" applyBorder="1" applyAlignment="1">
      <alignment horizontal="left"/>
    </xf>
    <xf numFmtId="37" fontId="10" fillId="0" borderId="9" xfId="1" applyNumberFormat="1" applyFont="1" applyFill="1" applyBorder="1" applyAlignment="1">
      <alignment horizontal="left"/>
    </xf>
    <xf numFmtId="168" fontId="10" fillId="0" borderId="9" xfId="16" applyNumberFormat="1" applyFont="1" applyFill="1" applyBorder="1" applyAlignment="1">
      <alignment horizontal="left"/>
    </xf>
    <xf numFmtId="168" fontId="15" fillId="0" borderId="9" xfId="7" applyNumberFormat="1" applyFont="1" applyFill="1" applyBorder="1" applyAlignment="1">
      <alignment horizontal="left"/>
    </xf>
    <xf numFmtId="184" fontId="26" fillId="0" borderId="0" xfId="0" applyFont="1" applyAlignment="1">
      <alignment horizontal="left"/>
    </xf>
    <xf numFmtId="167" fontId="10" fillId="0" borderId="0" xfId="7" applyNumberFormat="1" applyFont="1" applyFill="1" applyBorder="1" applyAlignment="1">
      <alignment horizontal="right"/>
    </xf>
    <xf numFmtId="167" fontId="10" fillId="0" borderId="6" xfId="7" applyNumberFormat="1" applyFont="1" applyFill="1" applyBorder="1" applyAlignment="1">
      <alignment horizontal="right"/>
    </xf>
    <xf numFmtId="167" fontId="10" fillId="0" borderId="5" xfId="1" applyNumberFormat="1" applyFont="1" applyFill="1" applyBorder="1"/>
    <xf numFmtId="167" fontId="10" fillId="0" borderId="9" xfId="0" applyNumberFormat="1" applyFont="1" applyBorder="1"/>
    <xf numFmtId="167" fontId="10" fillId="0" borderId="5" xfId="1" applyNumberFormat="1" applyFont="1" applyBorder="1"/>
    <xf numFmtId="167" fontId="10" fillId="0" borderId="6" xfId="1" applyNumberFormat="1" applyFont="1" applyBorder="1"/>
    <xf numFmtId="171" fontId="0" fillId="0" borderId="6" xfId="7" applyNumberFormat="1" applyFont="1" applyFill="1" applyBorder="1"/>
    <xf numFmtId="168" fontId="10" fillId="0" borderId="25" xfId="7" applyNumberFormat="1" applyFont="1" applyFill="1" applyBorder="1" applyAlignment="1">
      <alignment horizontal="right"/>
    </xf>
    <xf numFmtId="9" fontId="10" fillId="0" borderId="0" xfId="7" applyFont="1"/>
    <xf numFmtId="43" fontId="10" fillId="0" borderId="0" xfId="1" applyFont="1" applyFill="1"/>
    <xf numFmtId="182" fontId="10" fillId="0" borderId="0" xfId="1" applyNumberFormat="1" applyFont="1" applyFill="1"/>
    <xf numFmtId="184" fontId="10" fillId="0" borderId="6" xfId="0" applyFont="1" applyFill="1" applyBorder="1"/>
    <xf numFmtId="184" fontId="10" fillId="0" borderId="4" xfId="0" applyFont="1" applyFill="1" applyBorder="1"/>
    <xf numFmtId="184" fontId="10" fillId="0" borderId="3" xfId="0" applyFont="1" applyFill="1" applyBorder="1"/>
    <xf numFmtId="184" fontId="10" fillId="0" borderId="2" xfId="0" applyFont="1" applyFill="1" applyBorder="1"/>
    <xf numFmtId="170" fontId="15" fillId="0" borderId="0" xfId="1" applyNumberFormat="1" applyFont="1" applyFill="1" applyBorder="1" applyAlignment="1">
      <alignment horizontal="right"/>
    </xf>
    <xf numFmtId="43" fontId="10" fillId="0" borderId="9" xfId="1" applyFont="1" applyBorder="1"/>
    <xf numFmtId="9" fontId="0" fillId="0" borderId="0" xfId="7" applyFont="1"/>
    <xf numFmtId="182" fontId="10" fillId="0" borderId="16" xfId="1" applyNumberFormat="1" applyFont="1" applyFill="1" applyBorder="1"/>
    <xf numFmtId="43" fontId="15" fillId="0" borderId="10" xfId="1" applyFont="1" applyFill="1" applyBorder="1"/>
    <xf numFmtId="43" fontId="10" fillId="0" borderId="0" xfId="1" applyFont="1" applyBorder="1"/>
    <xf numFmtId="182" fontId="16" fillId="0" borderId="16" xfId="1" applyNumberFormat="1" applyFont="1" applyFill="1" applyBorder="1" applyAlignment="1">
      <alignment horizontal="right"/>
    </xf>
    <xf numFmtId="186" fontId="10" fillId="0" borderId="0" xfId="1" applyNumberFormat="1" applyFont="1" applyFill="1" applyBorder="1" applyAlignment="1">
      <alignment horizontal="right"/>
    </xf>
    <xf numFmtId="184" fontId="16" fillId="0" borderId="2" xfId="0" applyFont="1" applyFill="1" applyBorder="1" applyAlignment="1">
      <alignment horizontal="center"/>
    </xf>
    <xf numFmtId="169" fontId="10" fillId="0" borderId="19" xfId="13" applyNumberFormat="1" applyFont="1" applyFill="1" applyBorder="1"/>
    <xf numFmtId="0" fontId="19" fillId="0" borderId="10" xfId="75" applyFont="1" applyBorder="1"/>
    <xf numFmtId="0" fontId="16" fillId="0" borderId="2" xfId="75" applyFont="1" applyBorder="1" applyAlignment="1">
      <alignment horizontal="center"/>
    </xf>
    <xf numFmtId="176" fontId="10" fillId="0" borderId="2" xfId="13" applyNumberFormat="1" applyFont="1" applyFill="1" applyBorder="1"/>
    <xf numFmtId="176" fontId="10" fillId="0" borderId="10" xfId="13" applyNumberFormat="1" applyFont="1" applyFill="1" applyBorder="1"/>
    <xf numFmtId="37" fontId="10" fillId="0" borderId="8" xfId="13" applyNumberFormat="1" applyFont="1" applyFill="1" applyBorder="1" applyAlignment="1">
      <alignment horizontal="right"/>
    </xf>
    <xf numFmtId="194" fontId="10" fillId="0" borderId="14" xfId="16" applyNumberFormat="1" applyFont="1" applyFill="1" applyBorder="1" applyAlignment="1">
      <alignment horizontal="right"/>
    </xf>
    <xf numFmtId="184" fontId="16" fillId="0" borderId="2" xfId="0" applyFont="1" applyFill="1" applyBorder="1" applyAlignment="1">
      <alignment horizontal="center"/>
    </xf>
    <xf numFmtId="37" fontId="10" fillId="0" borderId="2" xfId="0" applyNumberFormat="1" applyFont="1" applyFill="1" applyBorder="1"/>
    <xf numFmtId="43" fontId="0" fillId="0" borderId="0" xfId="1" applyFont="1" applyFill="1" applyBorder="1"/>
    <xf numFmtId="182" fontId="0" fillId="0" borderId="0" xfId="1" applyNumberFormat="1" applyFont="1" applyFill="1"/>
    <xf numFmtId="10" fontId="0" fillId="0" borderId="0" xfId="0" applyNumberFormat="1" applyFill="1"/>
    <xf numFmtId="43" fontId="0" fillId="0" borderId="0" xfId="1" applyFont="1" applyFill="1"/>
    <xf numFmtId="184" fontId="22" fillId="0" borderId="0" xfId="0" applyFont="1" applyAlignment="1">
      <alignment horizontal="center" wrapText="1"/>
    </xf>
    <xf numFmtId="184" fontId="0" fillId="0" borderId="0" xfId="0" applyAlignment="1">
      <alignment wrapText="1"/>
    </xf>
    <xf numFmtId="184" fontId="21" fillId="0" borderId="0" xfId="0" applyFont="1" applyAlignment="1">
      <alignment horizontal="center" wrapText="1"/>
    </xf>
    <xf numFmtId="184" fontId="5" fillId="0" borderId="10" xfId="0" applyFont="1" applyBorder="1" applyAlignment="1">
      <alignment horizontal="left" wrapText="1" indent="2"/>
    </xf>
    <xf numFmtId="184" fontId="0" fillId="0" borderId="0" xfId="0" applyBorder="1" applyAlignment="1">
      <alignment horizontal="left" indent="2"/>
    </xf>
    <xf numFmtId="184" fontId="26" fillId="0" borderId="10" xfId="0" applyFont="1" applyBorder="1" applyAlignment="1">
      <alignment horizontal="left" indent="2"/>
    </xf>
    <xf numFmtId="184" fontId="26" fillId="0" borderId="0" xfId="0" applyFont="1" applyBorder="1" applyAlignment="1">
      <alignment horizontal="left" indent="2"/>
    </xf>
    <xf numFmtId="184" fontId="5" fillId="0" borderId="10" xfId="0" applyFont="1" applyBorder="1" applyAlignment="1">
      <alignment horizontal="left" indent="2"/>
    </xf>
    <xf numFmtId="184" fontId="26" fillId="0" borderId="10" xfId="0" applyFont="1" applyBorder="1" applyAlignment="1">
      <alignment horizontal="left" wrapText="1" indent="2"/>
    </xf>
    <xf numFmtId="184" fontId="5" fillId="0" borderId="0" xfId="0" applyFont="1" applyFill="1" applyAlignment="1" applyProtection="1">
      <alignment horizontal="left" wrapText="1"/>
      <protection locked="0"/>
    </xf>
    <xf numFmtId="184" fontId="26" fillId="0" borderId="0" xfId="0" applyFont="1" applyFill="1" applyAlignment="1" applyProtection="1">
      <alignment horizontal="left" wrapText="1"/>
      <protection locked="0"/>
    </xf>
    <xf numFmtId="184" fontId="0" fillId="0" borderId="0" xfId="0" applyFill="1" applyAlignment="1" applyProtection="1">
      <alignment horizontal="left" wrapText="1"/>
      <protection locked="0"/>
    </xf>
    <xf numFmtId="184" fontId="5" fillId="0" borderId="0" xfId="0" applyFont="1" applyFill="1" applyAlignment="1" applyProtection="1">
      <alignment horizontal="left" vertical="top" wrapText="1"/>
      <protection locked="0"/>
    </xf>
    <xf numFmtId="184" fontId="26" fillId="0" borderId="0" xfId="0" applyFont="1" applyFill="1" applyAlignment="1" applyProtection="1">
      <alignment horizontal="left" vertical="top" wrapText="1"/>
      <protection locked="0"/>
    </xf>
    <xf numFmtId="184" fontId="0" fillId="0" borderId="0" xfId="0" applyFill="1" applyAlignment="1" applyProtection="1">
      <alignment horizontal="left" vertical="top" wrapText="1"/>
      <protection locked="0"/>
    </xf>
    <xf numFmtId="184" fontId="5" fillId="0" borderId="0" xfId="0" applyFont="1" applyFill="1" applyAlignment="1">
      <alignment horizontal="left" wrapText="1"/>
    </xf>
    <xf numFmtId="184" fontId="26" fillId="0" borderId="0" xfId="0" applyFont="1" applyFill="1" applyAlignment="1">
      <alignment horizontal="left" wrapText="1"/>
    </xf>
    <xf numFmtId="184" fontId="0" fillId="0" borderId="0" xfId="0" applyFill="1" applyAlignment="1">
      <alignment horizontal="left" wrapText="1"/>
    </xf>
    <xf numFmtId="184" fontId="26" fillId="0" borderId="5" xfId="0" applyFont="1" applyBorder="1" applyAlignment="1">
      <alignment horizontal="left" wrapText="1" indent="2"/>
    </xf>
    <xf numFmtId="184" fontId="0" fillId="0" borderId="6" xfId="0" applyBorder="1" applyAlignment="1">
      <alignment horizontal="left" indent="2"/>
    </xf>
    <xf numFmtId="184" fontId="6" fillId="0" borderId="0" xfId="0" applyFont="1" applyFill="1" applyBorder="1" applyAlignment="1">
      <alignment horizontal="center"/>
    </xf>
    <xf numFmtId="184" fontId="17" fillId="0" borderId="11" xfId="0" applyFont="1" applyFill="1" applyBorder="1" applyAlignment="1">
      <alignment horizontal="center"/>
    </xf>
    <xf numFmtId="184" fontId="16" fillId="0" borderId="2" xfId="0" applyFont="1" applyFill="1" applyBorder="1" applyAlignment="1">
      <alignment horizontal="center"/>
    </xf>
    <xf numFmtId="184" fontId="16" fillId="0" borderId="4" xfId="0" applyFont="1" applyFill="1" applyBorder="1" applyAlignment="1">
      <alignment horizontal="center"/>
    </xf>
    <xf numFmtId="184" fontId="6" fillId="0" borderId="5" xfId="0" applyFont="1" applyFill="1" applyBorder="1" applyAlignment="1">
      <alignment horizontal="center"/>
    </xf>
    <xf numFmtId="184" fontId="17" fillId="0" borderId="1" xfId="0" applyFont="1" applyFill="1" applyBorder="1" applyAlignment="1">
      <alignment horizontal="center"/>
    </xf>
    <xf numFmtId="184" fontId="10" fillId="0" borderId="5" xfId="0" applyFont="1" applyFill="1" applyBorder="1" applyAlignment="1">
      <alignment horizontal="center"/>
    </xf>
    <xf numFmtId="184" fontId="10" fillId="0" borderId="1" xfId="0" applyFont="1" applyFill="1" applyBorder="1" applyAlignment="1">
      <alignment horizontal="center"/>
    </xf>
    <xf numFmtId="184" fontId="16" fillId="0" borderId="0" xfId="0" applyFont="1" applyAlignment="1">
      <alignment wrapText="1"/>
    </xf>
    <xf numFmtId="184" fontId="0" fillId="0" borderId="0" xfId="0" applyBorder="1" applyAlignment="1">
      <alignment wrapText="1"/>
    </xf>
    <xf numFmtId="0" fontId="6" fillId="0" borderId="5" xfId="75" applyFont="1" applyFill="1" applyBorder="1" applyAlignment="1">
      <alignment horizontal="center"/>
    </xf>
    <xf numFmtId="0" fontId="6" fillId="0" borderId="1" xfId="75" applyFont="1" applyFill="1" applyBorder="1" applyAlignment="1">
      <alignment horizontal="center"/>
    </xf>
    <xf numFmtId="0" fontId="16" fillId="0" borderId="2" xfId="76" applyFont="1" applyFill="1" applyBorder="1" applyAlignment="1">
      <alignment horizontal="center"/>
    </xf>
    <xf numFmtId="0" fontId="16" fillId="0" borderId="4" xfId="76" applyFont="1" applyFill="1" applyBorder="1" applyAlignment="1">
      <alignment horizontal="center"/>
    </xf>
    <xf numFmtId="0" fontId="16" fillId="0" borderId="0" xfId="75" applyFont="1" applyAlignment="1">
      <alignment wrapText="1"/>
    </xf>
    <xf numFmtId="0" fontId="5" fillId="0" borderId="0" xfId="75" applyBorder="1" applyAlignment="1">
      <alignment wrapText="1"/>
    </xf>
    <xf numFmtId="0" fontId="5" fillId="0" borderId="0" xfId="75" applyAlignment="1">
      <alignment wrapText="1"/>
    </xf>
    <xf numFmtId="184" fontId="6" fillId="0" borderId="6" xfId="0" applyFont="1" applyFill="1" applyBorder="1" applyAlignment="1">
      <alignment horizontal="center"/>
    </xf>
    <xf numFmtId="0" fontId="16" fillId="0" borderId="2" xfId="157" applyFont="1" applyFill="1" applyBorder="1" applyAlignment="1">
      <alignment horizontal="center"/>
    </xf>
    <xf numFmtId="0" fontId="16" fillId="0" borderId="4" xfId="157" applyFont="1" applyFill="1" applyBorder="1" applyAlignment="1">
      <alignment horizontal="center"/>
    </xf>
    <xf numFmtId="0" fontId="16" fillId="0" borderId="2" xfId="156" applyFont="1" applyFill="1" applyBorder="1" applyAlignment="1">
      <alignment horizontal="center"/>
    </xf>
    <xf numFmtId="0" fontId="16" fillId="0" borderId="4" xfId="156" applyFont="1" applyFill="1" applyBorder="1" applyAlignment="1">
      <alignment horizontal="center"/>
    </xf>
    <xf numFmtId="0" fontId="10" fillId="0" borderId="5" xfId="75" applyFont="1" applyFill="1" applyBorder="1" applyAlignment="1">
      <alignment horizontal="center"/>
    </xf>
    <xf numFmtId="0" fontId="10" fillId="0" borderId="1" xfId="75" applyFont="1" applyFill="1" applyBorder="1" applyAlignment="1">
      <alignment horizontal="center"/>
    </xf>
    <xf numFmtId="184" fontId="6" fillId="0" borderId="1" xfId="0" applyFont="1" applyFill="1" applyBorder="1" applyAlignment="1">
      <alignment horizontal="center"/>
    </xf>
    <xf numFmtId="184" fontId="17" fillId="0" borderId="6" xfId="0" applyFont="1" applyFill="1" applyBorder="1" applyAlignment="1">
      <alignment horizontal="center"/>
    </xf>
    <xf numFmtId="184" fontId="17" fillId="0" borderId="0" xfId="0" applyFont="1" applyFill="1" applyBorder="1" applyAlignment="1">
      <alignment horizontal="center"/>
    </xf>
    <xf numFmtId="184" fontId="17" fillId="0" borderId="5" xfId="0" applyFont="1" applyFill="1" applyBorder="1" applyAlignment="1">
      <alignment horizontal="center"/>
    </xf>
    <xf numFmtId="184" fontId="17" fillId="0" borderId="10" xfId="0" applyFont="1" applyFill="1" applyBorder="1" applyAlignment="1">
      <alignment horizontal="center"/>
    </xf>
    <xf numFmtId="184" fontId="12" fillId="0" borderId="0" xfId="0" applyFont="1" applyFill="1" applyAlignment="1">
      <alignment wrapText="1"/>
    </xf>
    <xf numFmtId="184" fontId="0" fillId="0" borderId="0" xfId="0" applyFill="1" applyBorder="1" applyAlignment="1">
      <alignment wrapText="1"/>
    </xf>
    <xf numFmtId="184" fontId="0" fillId="0" borderId="3" xfId="0" applyBorder="1" applyAlignment="1"/>
    <xf numFmtId="184" fontId="0" fillId="0" borderId="4" xfId="0" applyBorder="1" applyAlignment="1"/>
    <xf numFmtId="184" fontId="12" fillId="0" borderId="0" xfId="0" applyFont="1" applyFill="1" applyAlignment="1">
      <alignment horizontal="left" wrapText="1"/>
    </xf>
    <xf numFmtId="184" fontId="12" fillId="0" borderId="11" xfId="0" applyFont="1" applyFill="1" applyBorder="1" applyAlignment="1">
      <alignment horizontal="left" wrapText="1"/>
    </xf>
    <xf numFmtId="184" fontId="28" fillId="0" borderId="0" xfId="14" applyFont="1" applyFill="1" applyAlignment="1">
      <alignment wrapText="1"/>
    </xf>
    <xf numFmtId="184" fontId="10" fillId="0" borderId="0" xfId="0" applyFont="1" applyFill="1" applyAlignment="1">
      <alignment wrapText="1"/>
    </xf>
    <xf numFmtId="184" fontId="28" fillId="0" borderId="0" xfId="14" applyFont="1" applyAlignment="1">
      <alignment wrapText="1"/>
    </xf>
    <xf numFmtId="184" fontId="28" fillId="0" borderId="0" xfId="14" applyFont="1" applyFill="1" applyAlignment="1">
      <alignment vertical="center" wrapText="1"/>
    </xf>
  </cellXfs>
  <cellStyles count="2239">
    <cellStyle name="20% - Accent1" xfId="50" builtinId="30" customBuiltin="1"/>
    <cellStyle name="20% - Accent1 2" xfId="78"/>
    <cellStyle name="20% - Accent1 2 2" xfId="542"/>
    <cellStyle name="20% - Accent1 2 3" xfId="701"/>
    <cellStyle name="20% - Accent1 2 4" xfId="787"/>
    <cellStyle name="20% - Accent1 2 5" xfId="234"/>
    <cellStyle name="20% - Accent1 3" xfId="179"/>
    <cellStyle name="20% - Accent1 3 2" xfId="218"/>
    <cellStyle name="20% - Accent1 3 3" xfId="389"/>
    <cellStyle name="20% - Accent1 4" xfId="204"/>
    <cellStyle name="20% - Accent2" xfId="54" builtinId="34" customBuiltin="1"/>
    <cellStyle name="20% - Accent2 2" xfId="79"/>
    <cellStyle name="20% - Accent2 2 2" xfId="543"/>
    <cellStyle name="20% - Accent2 2 3" xfId="702"/>
    <cellStyle name="20% - Accent2 2 4" xfId="788"/>
    <cellStyle name="20% - Accent2 2 5" xfId="235"/>
    <cellStyle name="20% - Accent2 3" xfId="183"/>
    <cellStyle name="20% - Accent2 3 2" xfId="220"/>
    <cellStyle name="20% - Accent2 3 3" xfId="393"/>
    <cellStyle name="20% - Accent2 4" xfId="206"/>
    <cellStyle name="20% - Accent3" xfId="58" builtinId="38" customBuiltin="1"/>
    <cellStyle name="20% - Accent3 2" xfId="80"/>
    <cellStyle name="20% - Accent3 2 2" xfId="544"/>
    <cellStyle name="20% - Accent3 2 3" xfId="703"/>
    <cellStyle name="20% - Accent3 2 4" xfId="789"/>
    <cellStyle name="20% - Accent3 2 5" xfId="236"/>
    <cellStyle name="20% - Accent3 3" xfId="187"/>
    <cellStyle name="20% - Accent3 3 2" xfId="222"/>
    <cellStyle name="20% - Accent3 3 3" xfId="397"/>
    <cellStyle name="20% - Accent3 4" xfId="208"/>
    <cellStyle name="20% - Accent4" xfId="62" builtinId="42" customBuiltin="1"/>
    <cellStyle name="20% - Accent4 2" xfId="81"/>
    <cellStyle name="20% - Accent4 2 2" xfId="545"/>
    <cellStyle name="20% - Accent4 2 3" xfId="704"/>
    <cellStyle name="20% - Accent4 2 4" xfId="790"/>
    <cellStyle name="20% - Accent4 2 5" xfId="237"/>
    <cellStyle name="20% - Accent4 3" xfId="191"/>
    <cellStyle name="20% - Accent4 3 2" xfId="224"/>
    <cellStyle name="20% - Accent4 3 3" xfId="401"/>
    <cellStyle name="20% - Accent4 4" xfId="210"/>
    <cellStyle name="20% - Accent5" xfId="66" builtinId="46" customBuiltin="1"/>
    <cellStyle name="20% - Accent5 2" xfId="82"/>
    <cellStyle name="20% - Accent5 2 2" xfId="546"/>
    <cellStyle name="20% - Accent5 2 3" xfId="705"/>
    <cellStyle name="20% - Accent5 2 4" xfId="791"/>
    <cellStyle name="20% - Accent5 2 5" xfId="238"/>
    <cellStyle name="20% - Accent5 3" xfId="195"/>
    <cellStyle name="20% - Accent5 3 2" xfId="226"/>
    <cellStyle name="20% - Accent5 3 3" xfId="405"/>
    <cellStyle name="20% - Accent5 4" xfId="212"/>
    <cellStyle name="20% - Accent6" xfId="70" builtinId="50" customBuiltin="1"/>
    <cellStyle name="20% - Accent6 2" xfId="83"/>
    <cellStyle name="20% - Accent6 2 2" xfId="547"/>
    <cellStyle name="20% - Accent6 2 3" xfId="706"/>
    <cellStyle name="20% - Accent6 2 4" xfId="792"/>
    <cellStyle name="20% - Accent6 2 5" xfId="239"/>
    <cellStyle name="20% - Accent6 3" xfId="199"/>
    <cellStyle name="20% - Accent6 3 2" xfId="228"/>
    <cellStyle name="20% - Accent6 3 3" xfId="409"/>
    <cellStyle name="20% - Accent6 4" xfId="214"/>
    <cellStyle name="40% - Accent1" xfId="51" builtinId="31" customBuiltin="1"/>
    <cellStyle name="40% - Accent1 2" xfId="84"/>
    <cellStyle name="40% - Accent1 2 2" xfId="548"/>
    <cellStyle name="40% - Accent1 2 3" xfId="707"/>
    <cellStyle name="40% - Accent1 2 4" xfId="793"/>
    <cellStyle name="40% - Accent1 2 5" xfId="240"/>
    <cellStyle name="40% - Accent1 3" xfId="180"/>
    <cellStyle name="40% - Accent1 3 2" xfId="219"/>
    <cellStyle name="40% - Accent1 3 3" xfId="390"/>
    <cellStyle name="40% - Accent1 4" xfId="205"/>
    <cellStyle name="40% - Accent2" xfId="55" builtinId="35" customBuiltin="1"/>
    <cellStyle name="40% - Accent2 2" xfId="85"/>
    <cellStyle name="40% - Accent2 2 2" xfId="549"/>
    <cellStyle name="40% - Accent2 2 3" xfId="708"/>
    <cellStyle name="40% - Accent2 2 4" xfId="794"/>
    <cellStyle name="40% - Accent2 2 5" xfId="241"/>
    <cellStyle name="40% - Accent2 3" xfId="184"/>
    <cellStyle name="40% - Accent2 3 2" xfId="221"/>
    <cellStyle name="40% - Accent2 3 3" xfId="394"/>
    <cellStyle name="40% - Accent2 4" xfId="207"/>
    <cellStyle name="40% - Accent3" xfId="59" builtinId="39" customBuiltin="1"/>
    <cellStyle name="40% - Accent3 2" xfId="86"/>
    <cellStyle name="40% - Accent3 2 2" xfId="550"/>
    <cellStyle name="40% - Accent3 2 3" xfId="709"/>
    <cellStyle name="40% - Accent3 2 4" xfId="795"/>
    <cellStyle name="40% - Accent3 2 5" xfId="242"/>
    <cellStyle name="40% - Accent3 3" xfId="188"/>
    <cellStyle name="40% - Accent3 3 2" xfId="223"/>
    <cellStyle name="40% - Accent3 3 3" xfId="398"/>
    <cellStyle name="40% - Accent3 4" xfId="209"/>
    <cellStyle name="40% - Accent4" xfId="63" builtinId="43" customBuiltin="1"/>
    <cellStyle name="40% - Accent4 2" xfId="87"/>
    <cellStyle name="40% - Accent4 2 2" xfId="551"/>
    <cellStyle name="40% - Accent4 2 3" xfId="710"/>
    <cellStyle name="40% - Accent4 2 4" xfId="796"/>
    <cellStyle name="40% - Accent4 2 5" xfId="243"/>
    <cellStyle name="40% - Accent4 3" xfId="192"/>
    <cellStyle name="40% - Accent4 3 2" xfId="225"/>
    <cellStyle name="40% - Accent4 3 3" xfId="402"/>
    <cellStyle name="40% - Accent4 4" xfId="211"/>
    <cellStyle name="40% - Accent5" xfId="67" builtinId="47" customBuiltin="1"/>
    <cellStyle name="40% - Accent5 2" xfId="88"/>
    <cellStyle name="40% - Accent5 2 2" xfId="552"/>
    <cellStyle name="40% - Accent5 2 3" xfId="711"/>
    <cellStyle name="40% - Accent5 2 4" xfId="797"/>
    <cellStyle name="40% - Accent5 2 5" xfId="244"/>
    <cellStyle name="40% - Accent5 3" xfId="196"/>
    <cellStyle name="40% - Accent5 3 2" xfId="227"/>
    <cellStyle name="40% - Accent5 3 3" xfId="406"/>
    <cellStyle name="40% - Accent5 4" xfId="213"/>
    <cellStyle name="40% - Accent6" xfId="71" builtinId="51" customBuiltin="1"/>
    <cellStyle name="40% - Accent6 2" xfId="89"/>
    <cellStyle name="40% - Accent6 2 2" xfId="553"/>
    <cellStyle name="40% - Accent6 2 3" xfId="712"/>
    <cellStyle name="40% - Accent6 2 4" xfId="798"/>
    <cellStyle name="40% - Accent6 2 5" xfId="245"/>
    <cellStyle name="40% - Accent6 3" xfId="200"/>
    <cellStyle name="40% - Accent6 3 2" xfId="229"/>
    <cellStyle name="40% - Accent6 3 3" xfId="410"/>
    <cellStyle name="40% - Accent6 4" xfId="215"/>
    <cellStyle name="60% - Accent1" xfId="52" builtinId="32" customBuiltin="1"/>
    <cellStyle name="60% - Accent1 2" xfId="90"/>
    <cellStyle name="60% - Accent1 2 2" xfId="554"/>
    <cellStyle name="60% - Accent1 2 3" xfId="713"/>
    <cellStyle name="60% - Accent1 2 4" xfId="799"/>
    <cellStyle name="60% - Accent1 2 5" xfId="246"/>
    <cellStyle name="60% - Accent1 3" xfId="181"/>
    <cellStyle name="60% - Accent1 3 2" xfId="391"/>
    <cellStyle name="60% - Accent2" xfId="56" builtinId="36" customBuiltin="1"/>
    <cellStyle name="60% - Accent2 2" xfId="91"/>
    <cellStyle name="60% - Accent2 2 2" xfId="555"/>
    <cellStyle name="60% - Accent2 2 3" xfId="714"/>
    <cellStyle name="60% - Accent2 2 4" xfId="800"/>
    <cellStyle name="60% - Accent2 2 5" xfId="247"/>
    <cellStyle name="60% - Accent2 3" xfId="185"/>
    <cellStyle name="60% - Accent2 3 2" xfId="395"/>
    <cellStyle name="60% - Accent3" xfId="60" builtinId="40" customBuiltin="1"/>
    <cellStyle name="60% - Accent3 2" xfId="92"/>
    <cellStyle name="60% - Accent3 2 2" xfId="556"/>
    <cellStyle name="60% - Accent3 2 3" xfId="715"/>
    <cellStyle name="60% - Accent3 2 4" xfId="801"/>
    <cellStyle name="60% - Accent3 2 5" xfId="248"/>
    <cellStyle name="60% - Accent3 3" xfId="189"/>
    <cellStyle name="60% - Accent3 3 2" xfId="399"/>
    <cellStyle name="60% - Accent4" xfId="64" builtinId="44" customBuiltin="1"/>
    <cellStyle name="60% - Accent4 2" xfId="93"/>
    <cellStyle name="60% - Accent4 2 2" xfId="557"/>
    <cellStyle name="60% - Accent4 2 3" xfId="716"/>
    <cellStyle name="60% - Accent4 2 4" xfId="802"/>
    <cellStyle name="60% - Accent4 2 5" xfId="249"/>
    <cellStyle name="60% - Accent4 3" xfId="193"/>
    <cellStyle name="60% - Accent4 3 2" xfId="403"/>
    <cellStyle name="60% - Accent5" xfId="68" builtinId="48" customBuiltin="1"/>
    <cellStyle name="60% - Accent5 2" xfId="94"/>
    <cellStyle name="60% - Accent5 2 2" xfId="558"/>
    <cellStyle name="60% - Accent5 2 3" xfId="717"/>
    <cellStyle name="60% - Accent5 2 4" xfId="803"/>
    <cellStyle name="60% - Accent5 2 5" xfId="250"/>
    <cellStyle name="60% - Accent5 3" xfId="197"/>
    <cellStyle name="60% - Accent5 3 2" xfId="407"/>
    <cellStyle name="60% - Accent6" xfId="72" builtinId="52" customBuiltin="1"/>
    <cellStyle name="60% - Accent6 2" xfId="95"/>
    <cellStyle name="60% - Accent6 2 2" xfId="559"/>
    <cellStyle name="60% - Accent6 2 3" xfId="718"/>
    <cellStyle name="60% - Accent6 2 4" xfId="804"/>
    <cellStyle name="60% - Accent6 2 5" xfId="251"/>
    <cellStyle name="60% - Accent6 3" xfId="201"/>
    <cellStyle name="60% - Accent6 3 2" xfId="411"/>
    <cellStyle name="Accent1" xfId="49" builtinId="29" customBuiltin="1"/>
    <cellStyle name="Accent1 2" xfId="96"/>
    <cellStyle name="Accent1 2 2" xfId="560"/>
    <cellStyle name="Accent1 2 3" xfId="719"/>
    <cellStyle name="Accent1 2 4" xfId="805"/>
    <cellStyle name="Accent1 2 5" xfId="252"/>
    <cellStyle name="Accent1 3" xfId="178"/>
    <cellStyle name="Accent1 3 2" xfId="388"/>
    <cellStyle name="Accent2" xfId="53" builtinId="33" customBuiltin="1"/>
    <cellStyle name="Accent2 2" xfId="97"/>
    <cellStyle name="Accent2 2 2" xfId="561"/>
    <cellStyle name="Accent2 2 3" xfId="720"/>
    <cellStyle name="Accent2 2 4" xfId="806"/>
    <cellStyle name="Accent2 2 5" xfId="253"/>
    <cellStyle name="Accent2 3" xfId="182"/>
    <cellStyle name="Accent2 3 2" xfId="392"/>
    <cellStyle name="Accent3" xfId="57" builtinId="37" customBuiltin="1"/>
    <cellStyle name="Accent3 2" xfId="98"/>
    <cellStyle name="Accent3 2 2" xfId="562"/>
    <cellStyle name="Accent3 2 3" xfId="721"/>
    <cellStyle name="Accent3 2 4" xfId="807"/>
    <cellStyle name="Accent3 2 5" xfId="254"/>
    <cellStyle name="Accent3 3" xfId="186"/>
    <cellStyle name="Accent3 3 2" xfId="396"/>
    <cellStyle name="Accent4" xfId="61" builtinId="41" customBuiltin="1"/>
    <cellStyle name="Accent4 2" xfId="99"/>
    <cellStyle name="Accent4 2 2" xfId="563"/>
    <cellStyle name="Accent4 2 3" xfId="722"/>
    <cellStyle name="Accent4 2 4" xfId="808"/>
    <cellStyle name="Accent4 2 5" xfId="255"/>
    <cellStyle name="Accent4 3" xfId="190"/>
    <cellStyle name="Accent4 3 2" xfId="400"/>
    <cellStyle name="Accent5" xfId="65" builtinId="45" customBuiltin="1"/>
    <cellStyle name="Accent5 2" xfId="100"/>
    <cellStyle name="Accent5 2 2" xfId="564"/>
    <cellStyle name="Accent5 2 3" xfId="723"/>
    <cellStyle name="Accent5 2 4" xfId="809"/>
    <cellStyle name="Accent5 2 5" xfId="256"/>
    <cellStyle name="Accent5 3" xfId="194"/>
    <cellStyle name="Accent5 3 2" xfId="404"/>
    <cellStyle name="Accent6" xfId="69" builtinId="49" customBuiltin="1"/>
    <cellStyle name="Accent6 2" xfId="101"/>
    <cellStyle name="Accent6 2 2" xfId="565"/>
    <cellStyle name="Accent6 2 3" xfId="724"/>
    <cellStyle name="Accent6 2 4" xfId="810"/>
    <cellStyle name="Accent6 2 5" xfId="257"/>
    <cellStyle name="Accent6 3" xfId="198"/>
    <cellStyle name="Accent6 3 2" xfId="408"/>
    <cellStyle name="Bad" xfId="39" builtinId="27" customBuiltin="1"/>
    <cellStyle name="Bad 2" xfId="102"/>
    <cellStyle name="Bad 2 2" xfId="566"/>
    <cellStyle name="Bad 2 3" xfId="725"/>
    <cellStyle name="Bad 2 4" xfId="811"/>
    <cellStyle name="Bad 2 5" xfId="258"/>
    <cellStyle name="Bad 3" xfId="167"/>
    <cellStyle name="Bad 3 2" xfId="378"/>
    <cellStyle name="Calculation" xfId="43" builtinId="22" customBuiltin="1"/>
    <cellStyle name="Calculation 2" xfId="103"/>
    <cellStyle name="Calculation 2 10" xfId="843"/>
    <cellStyle name="Calculation 2 10 2" xfId="1552"/>
    <cellStyle name="Calculation 2 10 3" xfId="1968"/>
    <cellStyle name="Calculation 2 11" xfId="1134"/>
    <cellStyle name="Calculation 2 12" xfId="1137"/>
    <cellStyle name="Calculation 2 13" xfId="1178"/>
    <cellStyle name="Calculation 2 14" xfId="1203"/>
    <cellStyle name="Calculation 2 15" xfId="259"/>
    <cellStyle name="Calculation 2 2" xfId="348"/>
    <cellStyle name="Calculation 2 2 2" xfId="477"/>
    <cellStyle name="Calculation 2 2 2 2" xfId="643"/>
    <cellStyle name="Calculation 2 2 2 2 2" xfId="1021"/>
    <cellStyle name="Calculation 2 2 2 2 2 2" xfId="1730"/>
    <cellStyle name="Calculation 2 2 2 2 2 3" xfId="2146"/>
    <cellStyle name="Calculation 2 2 2 2 3" xfId="1424"/>
    <cellStyle name="Calculation 2 2 2 2 4" xfId="1880"/>
    <cellStyle name="Calculation 2 2 2 3" xfId="909"/>
    <cellStyle name="Calculation 2 2 2 3 2" xfId="1618"/>
    <cellStyle name="Calculation 2 2 2 3 3" xfId="2034"/>
    <cellStyle name="Calculation 2 2 2 4" xfId="1293"/>
    <cellStyle name="Calculation 2 2 2 5" xfId="1533"/>
    <cellStyle name="Calculation 2 2 3" xfId="472"/>
    <cellStyle name="Calculation 2 2 3 2" xfId="638"/>
    <cellStyle name="Calculation 2 2 3 2 2" xfId="1016"/>
    <cellStyle name="Calculation 2 2 3 2 2 2" xfId="1725"/>
    <cellStyle name="Calculation 2 2 3 2 2 3" xfId="2141"/>
    <cellStyle name="Calculation 2 2 3 2 3" xfId="1419"/>
    <cellStyle name="Calculation 2 2 3 2 4" xfId="1875"/>
    <cellStyle name="Calculation 2 2 3 3" xfId="904"/>
    <cellStyle name="Calculation 2 2 3 3 2" xfId="1613"/>
    <cellStyle name="Calculation 2 2 3 3 3" xfId="2029"/>
    <cellStyle name="Calculation 2 2 3 4" xfId="1288"/>
    <cellStyle name="Calculation 2 2 3 5" xfId="1534"/>
    <cellStyle name="Calculation 2 2 4" xfId="476"/>
    <cellStyle name="Calculation 2 2 4 2" xfId="642"/>
    <cellStyle name="Calculation 2 2 4 2 2" xfId="1020"/>
    <cellStyle name="Calculation 2 2 4 2 2 2" xfId="1729"/>
    <cellStyle name="Calculation 2 2 4 2 2 3" xfId="2145"/>
    <cellStyle name="Calculation 2 2 4 2 3" xfId="1423"/>
    <cellStyle name="Calculation 2 2 4 2 4" xfId="1879"/>
    <cellStyle name="Calculation 2 2 4 3" xfId="908"/>
    <cellStyle name="Calculation 2 2 4 3 2" xfId="1617"/>
    <cellStyle name="Calculation 2 2 4 3 3" xfId="2033"/>
    <cellStyle name="Calculation 2 2 4 4" xfId="1292"/>
    <cellStyle name="Calculation 2 2 4 5" xfId="1234"/>
    <cellStyle name="Calculation 2 2 5" xfId="507"/>
    <cellStyle name="Calculation 2 2 5 2" xfId="673"/>
    <cellStyle name="Calculation 2 2 5 2 2" xfId="1051"/>
    <cellStyle name="Calculation 2 2 5 2 2 2" xfId="1760"/>
    <cellStyle name="Calculation 2 2 5 2 2 3" xfId="2176"/>
    <cellStyle name="Calculation 2 2 5 2 3" xfId="1454"/>
    <cellStyle name="Calculation 2 2 5 2 4" xfId="1910"/>
    <cellStyle name="Calculation 2 2 5 3" xfId="939"/>
    <cellStyle name="Calculation 2 2 5 3 2" xfId="1648"/>
    <cellStyle name="Calculation 2 2 5 3 3" xfId="2064"/>
    <cellStyle name="Calculation 2 2 5 4" xfId="1323"/>
    <cellStyle name="Calculation 2 2 5 5" xfId="1527"/>
    <cellStyle name="Calculation 2 2 6" xfId="598"/>
    <cellStyle name="Calculation 2 2 6 2" xfId="977"/>
    <cellStyle name="Calculation 2 2 6 2 2" xfId="1686"/>
    <cellStyle name="Calculation 2 2 6 2 3" xfId="2102"/>
    <cellStyle name="Calculation 2 2 6 3" xfId="1380"/>
    <cellStyle name="Calculation 2 2 6 4" xfId="1836"/>
    <cellStyle name="Calculation 2 2 7" xfId="854"/>
    <cellStyle name="Calculation 2 2 7 2" xfId="1563"/>
    <cellStyle name="Calculation 2 2 7 3" xfId="1979"/>
    <cellStyle name="Calculation 2 2 8" xfId="1210"/>
    <cellStyle name="Calculation 2 2 9" xfId="1519"/>
    <cellStyle name="Calculation 2 3" xfId="427"/>
    <cellStyle name="Calculation 2 3 2" xfId="493"/>
    <cellStyle name="Calculation 2 3 2 2" xfId="659"/>
    <cellStyle name="Calculation 2 3 2 2 2" xfId="1037"/>
    <cellStyle name="Calculation 2 3 2 2 2 2" xfId="1746"/>
    <cellStyle name="Calculation 2 3 2 2 2 3" xfId="2162"/>
    <cellStyle name="Calculation 2 3 2 2 3" xfId="1440"/>
    <cellStyle name="Calculation 2 3 2 2 4" xfId="1896"/>
    <cellStyle name="Calculation 2 3 2 3" xfId="925"/>
    <cellStyle name="Calculation 2 3 2 3 2" xfId="1634"/>
    <cellStyle name="Calculation 2 3 2 3 3" xfId="2050"/>
    <cellStyle name="Calculation 2 3 2 4" xfId="1309"/>
    <cellStyle name="Calculation 2 3 2 5" xfId="1488"/>
    <cellStyle name="Calculation 2 3 3" xfId="510"/>
    <cellStyle name="Calculation 2 3 3 2" xfId="676"/>
    <cellStyle name="Calculation 2 3 3 2 2" xfId="1054"/>
    <cellStyle name="Calculation 2 3 3 2 2 2" xfId="1763"/>
    <cellStyle name="Calculation 2 3 3 2 2 3" xfId="2179"/>
    <cellStyle name="Calculation 2 3 3 2 3" xfId="1457"/>
    <cellStyle name="Calculation 2 3 3 2 4" xfId="1913"/>
    <cellStyle name="Calculation 2 3 3 3" xfId="942"/>
    <cellStyle name="Calculation 2 3 3 3 2" xfId="1651"/>
    <cellStyle name="Calculation 2 3 3 3 3" xfId="2067"/>
    <cellStyle name="Calculation 2 3 3 4" xfId="1326"/>
    <cellStyle name="Calculation 2 3 3 5" xfId="1169"/>
    <cellStyle name="Calculation 2 3 4" xfId="521"/>
    <cellStyle name="Calculation 2 3 4 2" xfId="687"/>
    <cellStyle name="Calculation 2 3 4 2 2" xfId="1065"/>
    <cellStyle name="Calculation 2 3 4 2 2 2" xfId="1774"/>
    <cellStyle name="Calculation 2 3 4 2 2 3" xfId="2190"/>
    <cellStyle name="Calculation 2 3 4 2 3" xfId="1468"/>
    <cellStyle name="Calculation 2 3 4 2 4" xfId="1924"/>
    <cellStyle name="Calculation 2 3 4 3" xfId="953"/>
    <cellStyle name="Calculation 2 3 4 3 2" xfId="1662"/>
    <cellStyle name="Calculation 2 3 4 3 3" xfId="2078"/>
    <cellStyle name="Calculation 2 3 4 4" xfId="1337"/>
    <cellStyle name="Calculation 2 3 4 5" xfId="1229"/>
    <cellStyle name="Calculation 2 3 5" xfId="607"/>
    <cellStyle name="Calculation 2 3 5 2" xfId="986"/>
    <cellStyle name="Calculation 2 3 5 2 2" xfId="1695"/>
    <cellStyle name="Calculation 2 3 5 2 3" xfId="2111"/>
    <cellStyle name="Calculation 2 3 5 3" xfId="1389"/>
    <cellStyle name="Calculation 2 3 5 4" xfId="1845"/>
    <cellStyle name="Calculation 2 3 6" xfId="865"/>
    <cellStyle name="Calculation 2 3 6 2" xfId="1574"/>
    <cellStyle name="Calculation 2 3 6 3" xfId="1990"/>
    <cellStyle name="Calculation 2 3 7" xfId="1245"/>
    <cellStyle name="Calculation 2 3 8" xfId="1824"/>
    <cellStyle name="Calculation 2 4" xfId="446"/>
    <cellStyle name="Calculation 2 4 2" xfId="623"/>
    <cellStyle name="Calculation 2 4 2 2" xfId="1001"/>
    <cellStyle name="Calculation 2 4 2 2 2" xfId="1710"/>
    <cellStyle name="Calculation 2 4 2 2 3" xfId="2126"/>
    <cellStyle name="Calculation 2 4 2 3" xfId="1404"/>
    <cellStyle name="Calculation 2 4 2 4" xfId="1860"/>
    <cellStyle name="Calculation 2 4 3" xfId="882"/>
    <cellStyle name="Calculation 2 4 3 2" xfId="1591"/>
    <cellStyle name="Calculation 2 4 3 3" xfId="2007"/>
    <cellStyle name="Calculation 2 4 4" xfId="1263"/>
    <cellStyle name="Calculation 2 4 5" xfId="1285"/>
    <cellStyle name="Calculation 2 5" xfId="567"/>
    <cellStyle name="Calculation 2 5 2" xfId="964"/>
    <cellStyle name="Calculation 2 5 2 2" xfId="1673"/>
    <cellStyle name="Calculation 2 5 2 3" xfId="2089"/>
    <cellStyle name="Calculation 2 5 3" xfId="1363"/>
    <cellStyle name="Calculation 2 5 4" xfId="1522"/>
    <cellStyle name="Calculation 2 6" xfId="596"/>
    <cellStyle name="Calculation 2 6 2" xfId="975"/>
    <cellStyle name="Calculation 2 6 2 2" xfId="1684"/>
    <cellStyle name="Calculation 2 6 2 3" xfId="2100"/>
    <cellStyle name="Calculation 2 6 3" xfId="1378"/>
    <cellStyle name="Calculation 2 6 4" xfId="1834"/>
    <cellStyle name="Calculation 2 7" xfId="726"/>
    <cellStyle name="Calculation 2 7 2" xfId="1077"/>
    <cellStyle name="Calculation 2 7 2 2" xfId="1785"/>
    <cellStyle name="Calculation 2 7 2 3" xfId="2201"/>
    <cellStyle name="Calculation 2 7 3" xfId="1494"/>
    <cellStyle name="Calculation 2 7 4" xfId="1935"/>
    <cellStyle name="Calculation 2 8" xfId="757"/>
    <cellStyle name="Calculation 2 8 2" xfId="1088"/>
    <cellStyle name="Calculation 2 8 2 2" xfId="1796"/>
    <cellStyle name="Calculation 2 8 2 3" xfId="2212"/>
    <cellStyle name="Calculation 2 8 3" xfId="1508"/>
    <cellStyle name="Calculation 2 8 4" xfId="1946"/>
    <cellStyle name="Calculation 2 9" xfId="812"/>
    <cellStyle name="Calculation 2 9 2" xfId="1100"/>
    <cellStyle name="Calculation 2 9 2 2" xfId="1807"/>
    <cellStyle name="Calculation 2 9 2 3" xfId="2223"/>
    <cellStyle name="Calculation 2 9 3" xfId="1537"/>
    <cellStyle name="Calculation 2 9 4" xfId="1957"/>
    <cellStyle name="Calculation 3" xfId="171"/>
    <cellStyle name="Calculation 3 2" xfId="382"/>
    <cellStyle name="Calculation 4" xfId="1113"/>
    <cellStyle name="Calculation 4 2" xfId="1818"/>
    <cellStyle name="Calculation 4 3" xfId="2234"/>
    <cellStyle name="Calculation 5" xfId="1152"/>
    <cellStyle name="Check Cell" xfId="45" builtinId="23" customBuiltin="1"/>
    <cellStyle name="Check Cell 2" xfId="104"/>
    <cellStyle name="Check Cell 2 2" xfId="568"/>
    <cellStyle name="Check Cell 2 3" xfId="727"/>
    <cellStyle name="Check Cell 2 4" xfId="813"/>
    <cellStyle name="Check Cell 2 5" xfId="260"/>
    <cellStyle name="Check Cell 3" xfId="173"/>
    <cellStyle name="Check Cell 3 2" xfId="384"/>
    <cellStyle name="Comma" xfId="1" builtinId="3"/>
    <cellStyle name="Comma [0] 2" xfId="105"/>
    <cellStyle name="Comma [0] 3" xfId="106"/>
    <cellStyle name="Comma 10" xfId="107"/>
    <cellStyle name="Comma 11" xfId="108"/>
    <cellStyle name="Comma 12" xfId="424"/>
    <cellStyle name="Comma 13" xfId="425"/>
    <cellStyle name="Comma 14" xfId="322"/>
    <cellStyle name="Comma 14 2" xfId="469"/>
    <cellStyle name="Comma 15" xfId="426"/>
    <cellStyle name="Comma 15 2" xfId="470"/>
    <cellStyle name="Comma 16" xfId="471"/>
    <cellStyle name="Comma 17" xfId="439"/>
    <cellStyle name="Comma 18" xfId="532"/>
    <cellStyle name="Comma 19" xfId="699"/>
    <cellStyle name="Comma 2" xfId="2"/>
    <cellStyle name="Comma 2 2" xfId="3"/>
    <cellStyle name="Comma 2 2 2" xfId="13"/>
    <cellStyle name="Comma 2 2 2 2" xfId="331"/>
    <cellStyle name="Comma 2 2 3" xfId="109"/>
    <cellStyle name="Comma 2 2 3 2" xfId="350"/>
    <cellStyle name="Comma 2 2 4" xfId="324"/>
    <cellStyle name="Comma 2 3" xfId="12"/>
    <cellStyle name="Comma 2 3 2" xfId="330"/>
    <cellStyle name="Comma 2 4" xfId="110"/>
    <cellStyle name="Comma 2 4 2" xfId="349"/>
    <cellStyle name="Comma 2 5" xfId="323"/>
    <cellStyle name="Comma 2 6" xfId="1121"/>
    <cellStyle name="Comma 20" xfId="756"/>
    <cellStyle name="Comma 21" xfId="766"/>
    <cellStyle name="Comma 22" xfId="770"/>
    <cellStyle name="Comma 23" xfId="1114"/>
    <cellStyle name="Comma 24" xfId="1111"/>
    <cellStyle name="Comma 25" xfId="1112"/>
    <cellStyle name="Comma 26" xfId="1124"/>
    <cellStyle name="Comma 26 2" xfId="1826"/>
    <cellStyle name="Comma 27" xfId="1153"/>
    <cellStyle name="Comma 28" xfId="1150"/>
    <cellStyle name="Comma 29" xfId="1151"/>
    <cellStyle name="Comma 3" xfId="10"/>
    <cellStyle name="Comma 3 2" xfId="17"/>
    <cellStyle name="Comma 3 2 2" xfId="111"/>
    <cellStyle name="Comma 3 2 2 2" xfId="352"/>
    <cellStyle name="Comma 3 2 3" xfId="335"/>
    <cellStyle name="Comma 3 3" xfId="112"/>
    <cellStyle name="Comma 3 3 2" xfId="351"/>
    <cellStyle name="Comma 3 4" xfId="328"/>
    <cellStyle name="Comma 30" xfId="1161"/>
    <cellStyle name="Comma 31" xfId="1158"/>
    <cellStyle name="Comma 32" xfId="1160"/>
    <cellStyle name="Comma 33" xfId="1155"/>
    <cellStyle name="Comma 34" xfId="1149"/>
    <cellStyle name="Comma 35" xfId="231"/>
    <cellStyle name="Comma 4" xfId="27"/>
    <cellStyle name="Comma 4 2" xfId="31"/>
    <cellStyle name="Comma 4 2 2" xfId="346"/>
    <cellStyle name="Comma 4 3" xfId="342"/>
    <cellStyle name="Comma 5" xfId="113"/>
    <cellStyle name="Comma 6" xfId="114"/>
    <cellStyle name="Comma 7" xfId="115"/>
    <cellStyle name="Comma 8" xfId="116"/>
    <cellStyle name="Comma 9" xfId="117"/>
    <cellStyle name="Comma_FINAL Q408 Supp_June12" xfId="4"/>
    <cellStyle name="Currency 2" xfId="118"/>
    <cellStyle name="Currency 2 2" xfId="119"/>
    <cellStyle name="Currency 2 2 2" xfId="354"/>
    <cellStyle name="Currency 2 3" xfId="353"/>
    <cellStyle name="Currency 2 4" xfId="1122"/>
    <cellStyle name="Currency 3" xfId="120"/>
    <cellStyle name="Currency 3 2" xfId="121"/>
    <cellStyle name="Currency 3 2 2" xfId="356"/>
    <cellStyle name="Currency 3 3" xfId="355"/>
    <cellStyle name="Currency 4" xfId="122"/>
    <cellStyle name="Currency 4 2" xfId="357"/>
    <cellStyle name="Currency 5" xfId="123"/>
    <cellStyle name="Currency 6" xfId="124"/>
    <cellStyle name="Explanatory Text" xfId="47" builtinId="53" customBuiltin="1"/>
    <cellStyle name="Explanatory Text 2" xfId="125"/>
    <cellStyle name="Explanatory Text 2 2" xfId="569"/>
    <cellStyle name="Explanatory Text 2 3" xfId="728"/>
    <cellStyle name="Explanatory Text 2 4" xfId="814"/>
    <cellStyle name="Explanatory Text 2 5" xfId="261"/>
    <cellStyle name="Explanatory Text 3" xfId="176"/>
    <cellStyle name="Explanatory Text 3 2" xfId="386"/>
    <cellStyle name="Good" xfId="38" builtinId="26" customBuiltin="1"/>
    <cellStyle name="Good 2" xfId="126"/>
    <cellStyle name="Good 2 2" xfId="570"/>
    <cellStyle name="Good 2 3" xfId="729"/>
    <cellStyle name="Good 2 4" xfId="815"/>
    <cellStyle name="Good 2 5" xfId="262"/>
    <cellStyle name="Good 3" xfId="166"/>
    <cellStyle name="Good 3 2" xfId="377"/>
    <cellStyle name="Heading 1" xfId="34" builtinId="16" customBuiltin="1"/>
    <cellStyle name="Heading 1 2" xfId="127"/>
    <cellStyle name="Heading 1 2 2" xfId="571"/>
    <cellStyle name="Heading 1 2 3" xfId="730"/>
    <cellStyle name="Heading 1 2 4" xfId="816"/>
    <cellStyle name="Heading 1 2 5" xfId="263"/>
    <cellStyle name="Heading 1 3" xfId="162"/>
    <cellStyle name="Heading 1 3 2" xfId="373"/>
    <cellStyle name="Heading 2" xfId="35" builtinId="17" customBuiltin="1"/>
    <cellStyle name="Heading 2 2" xfId="128"/>
    <cellStyle name="Heading 2 2 2" xfId="572"/>
    <cellStyle name="Heading 2 2 3" xfId="731"/>
    <cellStyle name="Heading 2 2 4" xfId="817"/>
    <cellStyle name="Heading 2 2 5" xfId="264"/>
    <cellStyle name="Heading 2 3" xfId="163"/>
    <cellStyle name="Heading 2 3 2" xfId="374"/>
    <cellStyle name="Heading 3" xfId="36" builtinId="18" customBuiltin="1"/>
    <cellStyle name="Heading 3 2" xfId="129"/>
    <cellStyle name="Heading 3 2 2" xfId="573"/>
    <cellStyle name="Heading 3 2 3" xfId="732"/>
    <cellStyle name="Heading 3 2 4" xfId="818"/>
    <cellStyle name="Heading 3 2 5" xfId="265"/>
    <cellStyle name="Heading 3 3" xfId="164"/>
    <cellStyle name="Heading 3 3 2" xfId="375"/>
    <cellStyle name="Heading 4" xfId="37" builtinId="19" customBuiltin="1"/>
    <cellStyle name="Heading 4 2" xfId="130"/>
    <cellStyle name="Heading 4 2 2" xfId="574"/>
    <cellStyle name="Heading 4 2 3" xfId="733"/>
    <cellStyle name="Heading 4 2 4" xfId="819"/>
    <cellStyle name="Heading 4 2 5" xfId="266"/>
    <cellStyle name="Heading 4 3" xfId="165"/>
    <cellStyle name="Heading 4 3 2" xfId="376"/>
    <cellStyle name="Hyperlink" xfId="5" builtinId="8"/>
    <cellStyle name="Hyperlink 2" xfId="20"/>
    <cellStyle name="Hyperlink 2 2" xfId="22"/>
    <cellStyle name="Hyperlink 2 2 2" xfId="269"/>
    <cellStyle name="Hyperlink 2 2 3" xfId="777"/>
    <cellStyle name="Hyperlink 2 2 4" xfId="268"/>
    <cellStyle name="Hyperlink 2 3" xfId="270"/>
    <cellStyle name="Hyperlink 2 4" xfId="775"/>
    <cellStyle name="Hyperlink 2 5" xfId="267"/>
    <cellStyle name="Hyperlink 3" xfId="24"/>
    <cellStyle name="Hyperlink 3 2" xfId="272"/>
    <cellStyle name="Hyperlink 3 3" xfId="534"/>
    <cellStyle name="Hyperlink 3 4" xfId="779"/>
    <cellStyle name="Hyperlink 3 5" xfId="271"/>
    <cellStyle name="Hyperlink 4" xfId="273"/>
    <cellStyle name="Hyperlink 5" xfId="771"/>
    <cellStyle name="Hyperlink 6" xfId="233"/>
    <cellStyle name="Input" xfId="41" builtinId="20" customBuiltin="1"/>
    <cellStyle name="Input 2" xfId="131"/>
    <cellStyle name="Input 2 10" xfId="844"/>
    <cellStyle name="Input 2 10 2" xfId="1553"/>
    <cellStyle name="Input 2 10 3" xfId="1969"/>
    <cellStyle name="Input 2 11" xfId="1136"/>
    <cellStyle name="Input 2 12" xfId="1135"/>
    <cellStyle name="Input 2 13" xfId="1191"/>
    <cellStyle name="Input 2 14" xfId="1368"/>
    <cellStyle name="Input 2 15" xfId="274"/>
    <cellStyle name="Input 2 2" xfId="358"/>
    <cellStyle name="Input 2 2 2" xfId="478"/>
    <cellStyle name="Input 2 2 2 2" xfId="644"/>
    <cellStyle name="Input 2 2 2 2 2" xfId="1022"/>
    <cellStyle name="Input 2 2 2 2 2 2" xfId="1731"/>
    <cellStyle name="Input 2 2 2 2 2 3" xfId="2147"/>
    <cellStyle name="Input 2 2 2 2 3" xfId="1425"/>
    <cellStyle name="Input 2 2 2 2 4" xfId="1881"/>
    <cellStyle name="Input 2 2 2 3" xfId="910"/>
    <cellStyle name="Input 2 2 2 3 2" xfId="1619"/>
    <cellStyle name="Input 2 2 2 3 3" xfId="2035"/>
    <cellStyle name="Input 2 2 2 4" xfId="1294"/>
    <cellStyle name="Input 2 2 2 5" xfId="1491"/>
    <cellStyle name="Input 2 2 3" xfId="449"/>
    <cellStyle name="Input 2 2 3 2" xfId="626"/>
    <cellStyle name="Input 2 2 3 2 2" xfId="1004"/>
    <cellStyle name="Input 2 2 3 2 2 2" xfId="1713"/>
    <cellStyle name="Input 2 2 3 2 2 3" xfId="2129"/>
    <cellStyle name="Input 2 2 3 2 3" xfId="1407"/>
    <cellStyle name="Input 2 2 3 2 4" xfId="1863"/>
    <cellStyle name="Input 2 2 3 3" xfId="885"/>
    <cellStyle name="Input 2 2 3 3 2" xfId="1594"/>
    <cellStyle name="Input 2 2 3 3 3" xfId="2010"/>
    <cellStyle name="Input 2 2 3 4" xfId="1266"/>
    <cellStyle name="Input 2 2 3 5" xfId="1242"/>
    <cellStyle name="Input 2 2 4" xfId="475"/>
    <cellStyle name="Input 2 2 4 2" xfId="641"/>
    <cellStyle name="Input 2 2 4 2 2" xfId="1019"/>
    <cellStyle name="Input 2 2 4 2 2 2" xfId="1728"/>
    <cellStyle name="Input 2 2 4 2 2 3" xfId="2144"/>
    <cellStyle name="Input 2 2 4 2 3" xfId="1422"/>
    <cellStyle name="Input 2 2 4 2 4" xfId="1878"/>
    <cellStyle name="Input 2 2 4 3" xfId="907"/>
    <cellStyle name="Input 2 2 4 3 2" xfId="1616"/>
    <cellStyle name="Input 2 2 4 3 3" xfId="2032"/>
    <cellStyle name="Input 2 2 4 4" xfId="1291"/>
    <cellStyle name="Input 2 2 4 5" xfId="1176"/>
    <cellStyle name="Input 2 2 5" xfId="489"/>
    <cellStyle name="Input 2 2 5 2" xfId="655"/>
    <cellStyle name="Input 2 2 5 2 2" xfId="1033"/>
    <cellStyle name="Input 2 2 5 2 2 2" xfId="1742"/>
    <cellStyle name="Input 2 2 5 2 2 3" xfId="2158"/>
    <cellStyle name="Input 2 2 5 2 3" xfId="1436"/>
    <cellStyle name="Input 2 2 5 2 4" xfId="1892"/>
    <cellStyle name="Input 2 2 5 3" xfId="921"/>
    <cellStyle name="Input 2 2 5 3 2" xfId="1630"/>
    <cellStyle name="Input 2 2 5 3 3" xfId="2046"/>
    <cellStyle name="Input 2 2 5 4" xfId="1305"/>
    <cellStyle name="Input 2 2 5 5" xfId="1358"/>
    <cellStyle name="Input 2 2 6" xfId="599"/>
    <cellStyle name="Input 2 2 6 2" xfId="978"/>
    <cellStyle name="Input 2 2 6 2 2" xfId="1687"/>
    <cellStyle name="Input 2 2 6 2 3" xfId="2103"/>
    <cellStyle name="Input 2 2 6 3" xfId="1381"/>
    <cellStyle name="Input 2 2 6 4" xfId="1837"/>
    <cellStyle name="Input 2 2 7" xfId="855"/>
    <cellStyle name="Input 2 2 7 2" xfId="1564"/>
    <cellStyle name="Input 2 2 7 3" xfId="1980"/>
    <cellStyle name="Input 2 2 8" xfId="1213"/>
    <cellStyle name="Input 2 2 9" xfId="1190"/>
    <cellStyle name="Input 2 3" xfId="428"/>
    <cellStyle name="Input 2 3 2" xfId="494"/>
    <cellStyle name="Input 2 3 2 2" xfId="660"/>
    <cellStyle name="Input 2 3 2 2 2" xfId="1038"/>
    <cellStyle name="Input 2 3 2 2 2 2" xfId="1747"/>
    <cellStyle name="Input 2 3 2 2 2 3" xfId="2163"/>
    <cellStyle name="Input 2 3 2 2 3" xfId="1441"/>
    <cellStyle name="Input 2 3 2 2 4" xfId="1897"/>
    <cellStyle name="Input 2 3 2 3" xfId="926"/>
    <cellStyle name="Input 2 3 2 3 2" xfId="1635"/>
    <cellStyle name="Input 2 3 2 3 3" xfId="2051"/>
    <cellStyle name="Input 2 3 2 4" xfId="1310"/>
    <cellStyle name="Input 2 3 2 5" xfId="1357"/>
    <cellStyle name="Input 2 3 3" xfId="511"/>
    <cellStyle name="Input 2 3 3 2" xfId="677"/>
    <cellStyle name="Input 2 3 3 2 2" xfId="1055"/>
    <cellStyle name="Input 2 3 3 2 2 2" xfId="1764"/>
    <cellStyle name="Input 2 3 3 2 2 3" xfId="2180"/>
    <cellStyle name="Input 2 3 3 2 3" xfId="1458"/>
    <cellStyle name="Input 2 3 3 2 4" xfId="1914"/>
    <cellStyle name="Input 2 3 3 3" xfId="943"/>
    <cellStyle name="Input 2 3 3 3 2" xfId="1652"/>
    <cellStyle name="Input 2 3 3 3 3" xfId="2068"/>
    <cellStyle name="Input 2 3 3 4" xfId="1327"/>
    <cellStyle name="Input 2 3 3 5" xfId="1233"/>
    <cellStyle name="Input 2 3 4" xfId="522"/>
    <cellStyle name="Input 2 3 4 2" xfId="688"/>
    <cellStyle name="Input 2 3 4 2 2" xfId="1066"/>
    <cellStyle name="Input 2 3 4 2 2 2" xfId="1775"/>
    <cellStyle name="Input 2 3 4 2 2 3" xfId="2191"/>
    <cellStyle name="Input 2 3 4 2 3" xfId="1469"/>
    <cellStyle name="Input 2 3 4 2 4" xfId="1925"/>
    <cellStyle name="Input 2 3 4 3" xfId="954"/>
    <cellStyle name="Input 2 3 4 3 2" xfId="1663"/>
    <cellStyle name="Input 2 3 4 3 3" xfId="2079"/>
    <cellStyle name="Input 2 3 4 4" xfId="1338"/>
    <cellStyle name="Input 2 3 4 5" xfId="1524"/>
    <cellStyle name="Input 2 3 5" xfId="608"/>
    <cellStyle name="Input 2 3 5 2" xfId="987"/>
    <cellStyle name="Input 2 3 5 2 2" xfId="1696"/>
    <cellStyle name="Input 2 3 5 2 3" xfId="2112"/>
    <cellStyle name="Input 2 3 5 3" xfId="1390"/>
    <cellStyle name="Input 2 3 5 4" xfId="1846"/>
    <cellStyle name="Input 2 3 6" xfId="866"/>
    <cellStyle name="Input 2 3 6 2" xfId="1575"/>
    <cellStyle name="Input 2 3 6 3" xfId="1991"/>
    <cellStyle name="Input 2 3 7" xfId="1246"/>
    <cellStyle name="Input 2 3 8" xfId="1206"/>
    <cellStyle name="Input 2 4" xfId="448"/>
    <cellStyle name="Input 2 4 2" xfId="625"/>
    <cellStyle name="Input 2 4 2 2" xfId="1003"/>
    <cellStyle name="Input 2 4 2 2 2" xfId="1712"/>
    <cellStyle name="Input 2 4 2 2 3" xfId="2128"/>
    <cellStyle name="Input 2 4 2 3" xfId="1406"/>
    <cellStyle name="Input 2 4 2 4" xfId="1862"/>
    <cellStyle name="Input 2 4 3" xfId="884"/>
    <cellStyle name="Input 2 4 3 2" xfId="1593"/>
    <cellStyle name="Input 2 4 3 3" xfId="2009"/>
    <cellStyle name="Input 2 4 4" xfId="1265"/>
    <cellStyle name="Input 2 4 5" xfId="1243"/>
    <cellStyle name="Input 2 5" xfId="575"/>
    <cellStyle name="Input 2 5 2" xfId="965"/>
    <cellStyle name="Input 2 5 2 2" xfId="1674"/>
    <cellStyle name="Input 2 5 2 3" xfId="2090"/>
    <cellStyle name="Input 2 5 3" xfId="1366"/>
    <cellStyle name="Input 2 5 4" xfId="1164"/>
    <cellStyle name="Input 2 6" xfId="597"/>
    <cellStyle name="Input 2 6 2" xfId="976"/>
    <cellStyle name="Input 2 6 2 2" xfId="1685"/>
    <cellStyle name="Input 2 6 2 3" xfId="2101"/>
    <cellStyle name="Input 2 6 3" xfId="1379"/>
    <cellStyle name="Input 2 6 4" xfId="1835"/>
    <cellStyle name="Input 2 7" xfId="734"/>
    <cellStyle name="Input 2 7 2" xfId="1078"/>
    <cellStyle name="Input 2 7 2 2" xfId="1786"/>
    <cellStyle name="Input 2 7 2 3" xfId="2202"/>
    <cellStyle name="Input 2 7 3" xfId="1498"/>
    <cellStyle name="Input 2 7 4" xfId="1936"/>
    <cellStyle name="Input 2 8" xfId="758"/>
    <cellStyle name="Input 2 8 2" xfId="1089"/>
    <cellStyle name="Input 2 8 2 2" xfId="1797"/>
    <cellStyle name="Input 2 8 2 3" xfId="2213"/>
    <cellStyle name="Input 2 8 3" xfId="1509"/>
    <cellStyle name="Input 2 8 4" xfId="1947"/>
    <cellStyle name="Input 2 9" xfId="820"/>
    <cellStyle name="Input 2 9 2" xfId="1101"/>
    <cellStyle name="Input 2 9 2 2" xfId="1808"/>
    <cellStyle name="Input 2 9 2 3" xfId="2224"/>
    <cellStyle name="Input 2 9 3" xfId="1542"/>
    <cellStyle name="Input 2 9 4" xfId="1958"/>
    <cellStyle name="Input 3" xfId="169"/>
    <cellStyle name="Input 3 2" xfId="380"/>
    <cellStyle name="Input 4" xfId="1115"/>
    <cellStyle name="Input 4 2" xfId="1819"/>
    <cellStyle name="Input 4 3" xfId="2235"/>
    <cellStyle name="Input 5" xfId="1154"/>
    <cellStyle name="Linked Cell" xfId="44" builtinId="24" customBuiltin="1"/>
    <cellStyle name="Linked Cell 2" xfId="132"/>
    <cellStyle name="Linked Cell 2 2" xfId="576"/>
    <cellStyle name="Linked Cell 2 3" xfId="735"/>
    <cellStyle name="Linked Cell 2 4" xfId="821"/>
    <cellStyle name="Linked Cell 2 5" xfId="275"/>
    <cellStyle name="Linked Cell 3" xfId="172"/>
    <cellStyle name="Linked Cell 3 2" xfId="383"/>
    <cellStyle name="Neutral" xfId="40" builtinId="28" customBuiltin="1"/>
    <cellStyle name="Neutral 2" xfId="133"/>
    <cellStyle name="Neutral 2 2" xfId="577"/>
    <cellStyle name="Neutral 2 3" xfId="736"/>
    <cellStyle name="Neutral 2 4" xfId="822"/>
    <cellStyle name="Neutral 2 5" xfId="276"/>
    <cellStyle name="Neutral 3" xfId="168"/>
    <cellStyle name="Neutral 3 2" xfId="379"/>
    <cellStyle name="Normal" xfId="0" builtinId="0"/>
    <cellStyle name="Normal 10" xfId="156"/>
    <cellStyle name="Normal 10 2" xfId="159"/>
    <cellStyle name="Normal 10 2 2" xfId="842"/>
    <cellStyle name="Normal 10 3" xfId="277"/>
    <cellStyle name="Normal 11" xfId="157"/>
    <cellStyle name="Normal 11 2" xfId="160"/>
    <cellStyle name="Normal 11 2 2" xfId="412"/>
    <cellStyle name="Normal 11 3" xfId="278"/>
    <cellStyle name="Normal 12" xfId="161"/>
    <cellStyle name="Normal 12 2" xfId="216"/>
    <cellStyle name="Normal 12 3" xfId="279"/>
    <cellStyle name="Normal 13" xfId="202"/>
    <cellStyle name="Normal 13 2" xfId="463"/>
    <cellStyle name="Normal 13 3" xfId="321"/>
    <cellStyle name="Normal 14" xfId="438"/>
    <cellStyle name="Normal 14 2" xfId="616"/>
    <cellStyle name="Normal 15" xfId="698"/>
    <cellStyle name="Normal 15 2" xfId="1076"/>
    <cellStyle name="Normal 16" xfId="769"/>
    <cellStyle name="Normal 16 2" xfId="1099"/>
    <cellStyle name="Normal 17" xfId="1123"/>
    <cellStyle name="Normal 17 2" xfId="1825"/>
    <cellStyle name="Normal 18" xfId="1148"/>
    <cellStyle name="Normal 19" xfId="230"/>
    <cellStyle name="Normal 2" xfId="6"/>
    <cellStyle name="Normal 2 2" xfId="14"/>
    <cellStyle name="Normal 2 2 2" xfId="75"/>
    <cellStyle name="Normal 2 2 2 2" xfId="77"/>
    <cellStyle name="Normal 2 2 2 2 2" xfId="359"/>
    <cellStyle name="Normal 2 2 2 3" xfId="578"/>
    <cellStyle name="Normal 2 2 2 4" xfId="737"/>
    <cellStyle name="Normal 2 2 2 5" xfId="823"/>
    <cellStyle name="Normal 2 2 2 6" xfId="281"/>
    <cellStyle name="Normal 2 2 3" xfId="282"/>
    <cellStyle name="Normal 2 2 3 2" xfId="414"/>
    <cellStyle name="Normal 2 2 4" xfId="332"/>
    <cellStyle name="Normal 2 2 5" xfId="773"/>
    <cellStyle name="Normal 2 2 6" xfId="280"/>
    <cellStyle name="Normal 2 3" xfId="25"/>
    <cellStyle name="Normal 2 3 2" xfId="284"/>
    <cellStyle name="Normal 2 3 2 2" xfId="418"/>
    <cellStyle name="Normal 2 3 3" xfId="340"/>
    <cellStyle name="Normal 2 3 4" xfId="535"/>
    <cellStyle name="Normal 2 3 5" xfId="780"/>
    <cellStyle name="Normal 2 3 6" xfId="283"/>
    <cellStyle name="Normal 2 4" xfId="285"/>
    <cellStyle name="Normal 2 4 2" xfId="413"/>
    <cellStyle name="Normal 2 5" xfId="772"/>
    <cellStyle name="Normal 2 6" xfId="1119"/>
    <cellStyle name="Normal 2 7" xfId="232"/>
    <cellStyle name="Normal 3" xfId="19"/>
    <cellStyle name="Normal 3 2" xfId="21"/>
    <cellStyle name="Normal 3 2 2" xfId="134"/>
    <cellStyle name="Normal 3 2 2 2" xfId="361"/>
    <cellStyle name="Normal 3 2 2 3" xfId="580"/>
    <cellStyle name="Normal 3 2 2 4" xfId="739"/>
    <cellStyle name="Normal 3 2 2 5" xfId="825"/>
    <cellStyle name="Normal 3 2 2 6" xfId="288"/>
    <cellStyle name="Normal 3 2 3" xfId="289"/>
    <cellStyle name="Normal 3 2 3 2" xfId="416"/>
    <cellStyle name="Normal 3 2 4" xfId="338"/>
    <cellStyle name="Normal 3 2 5" xfId="776"/>
    <cellStyle name="Normal 3 2 6" xfId="287"/>
    <cellStyle name="Normal 3 3" xfId="135"/>
    <cellStyle name="Normal 3 3 2" xfId="360"/>
    <cellStyle name="Normal 3 3 3" xfId="579"/>
    <cellStyle name="Normal 3 3 4" xfId="738"/>
    <cellStyle name="Normal 3 3 5" xfId="824"/>
    <cellStyle name="Normal 3 3 6" xfId="290"/>
    <cellStyle name="Normal 3 4" xfId="291"/>
    <cellStyle name="Normal 3 4 2" xfId="415"/>
    <cellStyle name="Normal 3 5" xfId="337"/>
    <cellStyle name="Normal 3 6" xfId="774"/>
    <cellStyle name="Normal 3 7" xfId="286"/>
    <cellStyle name="Normal 4" xfId="23"/>
    <cellStyle name="Normal 4 2" xfId="29"/>
    <cellStyle name="Normal 4 2 2" xfId="294"/>
    <cellStyle name="Normal 4 2 2 2" xfId="421"/>
    <cellStyle name="Normal 4 2 3" xfId="344"/>
    <cellStyle name="Normal 4 2 4" xfId="538"/>
    <cellStyle name="Normal 4 2 5" xfId="783"/>
    <cellStyle name="Normal 4 2 6" xfId="293"/>
    <cellStyle name="Normal 4 3" xfId="295"/>
    <cellStyle name="Normal 4 3 2" xfId="417"/>
    <cellStyle name="Normal 4 4" xfId="339"/>
    <cellStyle name="Normal 4 5" xfId="533"/>
    <cellStyle name="Normal 4 6" xfId="778"/>
    <cellStyle name="Normal 4 7" xfId="292"/>
    <cellStyle name="Normal 5" xfId="26"/>
    <cellStyle name="Normal 5 2" xfId="30"/>
    <cellStyle name="Normal 5 2 2" xfId="298"/>
    <cellStyle name="Normal 5 2 2 2" xfId="422"/>
    <cellStyle name="Normal 5 2 3" xfId="345"/>
    <cellStyle name="Normal 5 2 4" xfId="539"/>
    <cellStyle name="Normal 5 2 5" xfId="784"/>
    <cellStyle name="Normal 5 2 6" xfId="297"/>
    <cellStyle name="Normal 5 3" xfId="136"/>
    <cellStyle name="Normal 5 3 2" xfId="581"/>
    <cellStyle name="Normal 5 3 3" xfId="740"/>
    <cellStyle name="Normal 5 3 4" xfId="826"/>
    <cellStyle name="Normal 5 3 5" xfId="299"/>
    <cellStyle name="Normal 5 4" xfId="300"/>
    <cellStyle name="Normal 5 4 2" xfId="419"/>
    <cellStyle name="Normal 5 5" xfId="341"/>
    <cellStyle name="Normal 5 6" xfId="536"/>
    <cellStyle name="Normal 5 7" xfId="781"/>
    <cellStyle name="Normal 5 8" xfId="296"/>
    <cellStyle name="Normal 6" xfId="28"/>
    <cellStyle name="Normal 6 2" xfId="32"/>
    <cellStyle name="Normal 6 2 2" xfId="137"/>
    <cellStyle name="Normal 6 2 2 2" xfId="582"/>
    <cellStyle name="Normal 6 2 2 3" xfId="741"/>
    <cellStyle name="Normal 6 2 2 4" xfId="827"/>
    <cellStyle name="Normal 6 2 2 5" xfId="303"/>
    <cellStyle name="Normal 6 2 3" xfId="304"/>
    <cellStyle name="Normal 6 2 3 2" xfId="423"/>
    <cellStyle name="Normal 6 2 4" xfId="347"/>
    <cellStyle name="Normal 6 2 5" xfId="540"/>
    <cellStyle name="Normal 6 2 6" xfId="785"/>
    <cellStyle name="Normal 6 2 7" xfId="302"/>
    <cellStyle name="Normal 6 3" xfId="138"/>
    <cellStyle name="Normal 6 3 2" xfId="371"/>
    <cellStyle name="Normal 6 3 3" xfId="594"/>
    <cellStyle name="Normal 6 3 4" xfId="753"/>
    <cellStyle name="Normal 6 3 5" xfId="839"/>
    <cellStyle name="Normal 6 3 6" xfId="305"/>
    <cellStyle name="Normal 6 4" xfId="306"/>
    <cellStyle name="Normal 6 4 2" xfId="420"/>
    <cellStyle name="Normal 6 5" xfId="343"/>
    <cellStyle name="Normal 6 6" xfId="537"/>
    <cellStyle name="Normal 6 7" xfId="782"/>
    <cellStyle name="Normal 6 8" xfId="301"/>
    <cellStyle name="Normal 7" xfId="73"/>
    <cellStyle name="Normal 7 2" xfId="139"/>
    <cellStyle name="Normal 7 3" xfId="593"/>
    <cellStyle name="Normal 7 4" xfId="752"/>
    <cellStyle name="Normal 7 5" xfId="838"/>
    <cellStyle name="Normal 7 6" xfId="307"/>
    <cellStyle name="Normal 8" xfId="76"/>
    <cellStyle name="Normal 8 2" xfId="158"/>
    <cellStyle name="Normal 8 2 2" xfId="541"/>
    <cellStyle name="Normal 8 3" xfId="700"/>
    <cellStyle name="Normal 8 4" xfId="786"/>
    <cellStyle name="Normal 8 5" xfId="308"/>
    <cellStyle name="Normal 9" xfId="140"/>
    <cellStyle name="Normal 9 2" xfId="755"/>
    <cellStyle name="Normal 9 3" xfId="841"/>
    <cellStyle name="Normal 9 4" xfId="309"/>
    <cellStyle name="Note 2" xfId="74"/>
    <cellStyle name="Note 2 10" xfId="828"/>
    <cellStyle name="Note 2 10 2" xfId="1102"/>
    <cellStyle name="Note 2 10 2 2" xfId="1809"/>
    <cellStyle name="Note 2 10 2 3" xfId="2225"/>
    <cellStyle name="Note 2 10 3" xfId="1543"/>
    <cellStyle name="Note 2 10 4" xfId="1959"/>
    <cellStyle name="Note 2 11" xfId="845"/>
    <cellStyle name="Note 2 11 2" xfId="1554"/>
    <cellStyle name="Note 2 11 3" xfId="1970"/>
    <cellStyle name="Note 2 12" xfId="1138"/>
    <cellStyle name="Note 2 13" xfId="1133"/>
    <cellStyle name="Note 2 14" xfId="1195"/>
    <cellStyle name="Note 2 15" xfId="1214"/>
    <cellStyle name="Note 2 16" xfId="310"/>
    <cellStyle name="Note 2 2" xfId="141"/>
    <cellStyle name="Note 2 2 10" xfId="1139"/>
    <cellStyle name="Note 2 2 11" xfId="1132"/>
    <cellStyle name="Note 2 2 12" xfId="1196"/>
    <cellStyle name="Note 2 2 13" xfId="1194"/>
    <cellStyle name="Note 2 2 14" xfId="311"/>
    <cellStyle name="Note 2 2 2" xfId="363"/>
    <cellStyle name="Note 2 2 2 2" xfId="480"/>
    <cellStyle name="Note 2 2 2 2 2" xfId="646"/>
    <cellStyle name="Note 2 2 2 2 2 2" xfId="1024"/>
    <cellStyle name="Note 2 2 2 2 2 2 2" xfId="1733"/>
    <cellStyle name="Note 2 2 2 2 2 2 3" xfId="2149"/>
    <cellStyle name="Note 2 2 2 2 2 3" xfId="1427"/>
    <cellStyle name="Note 2 2 2 2 2 4" xfId="1883"/>
    <cellStyle name="Note 2 2 2 2 3" xfId="912"/>
    <cellStyle name="Note 2 2 2 2 3 2" xfId="1621"/>
    <cellStyle name="Note 2 2 2 2 3 3" xfId="2037"/>
    <cellStyle name="Note 2 2 2 2 4" xfId="1296"/>
    <cellStyle name="Note 2 2 2 2 5" xfId="1175"/>
    <cellStyle name="Note 2 2 2 3" xfId="491"/>
    <cellStyle name="Note 2 2 2 3 2" xfId="657"/>
    <cellStyle name="Note 2 2 2 3 2 2" xfId="1035"/>
    <cellStyle name="Note 2 2 2 3 2 2 2" xfId="1744"/>
    <cellStyle name="Note 2 2 2 3 2 2 3" xfId="2160"/>
    <cellStyle name="Note 2 2 2 3 2 3" xfId="1438"/>
    <cellStyle name="Note 2 2 2 3 2 4" xfId="1894"/>
    <cellStyle name="Note 2 2 2 3 3" xfId="923"/>
    <cellStyle name="Note 2 2 2 3 3 2" xfId="1632"/>
    <cellStyle name="Note 2 2 2 3 3 3" xfId="2048"/>
    <cellStyle name="Note 2 2 2 3 4" xfId="1307"/>
    <cellStyle name="Note 2 2 2 3 5" xfId="1228"/>
    <cellStyle name="Note 2 2 2 4" xfId="506"/>
    <cellStyle name="Note 2 2 2 4 2" xfId="672"/>
    <cellStyle name="Note 2 2 2 4 2 2" xfId="1050"/>
    <cellStyle name="Note 2 2 2 4 2 2 2" xfId="1759"/>
    <cellStyle name="Note 2 2 2 4 2 2 3" xfId="2175"/>
    <cellStyle name="Note 2 2 2 4 2 3" xfId="1453"/>
    <cellStyle name="Note 2 2 2 4 2 4" xfId="1909"/>
    <cellStyle name="Note 2 2 2 4 3" xfId="938"/>
    <cellStyle name="Note 2 2 2 4 3 2" xfId="1647"/>
    <cellStyle name="Note 2 2 2 4 3 3" xfId="2063"/>
    <cellStyle name="Note 2 2 2 4 4" xfId="1322"/>
    <cellStyle name="Note 2 2 2 4 5" xfId="1235"/>
    <cellStyle name="Note 2 2 2 5" xfId="488"/>
    <cellStyle name="Note 2 2 2 5 2" xfId="654"/>
    <cellStyle name="Note 2 2 2 5 2 2" xfId="1032"/>
    <cellStyle name="Note 2 2 2 5 2 2 2" xfId="1741"/>
    <cellStyle name="Note 2 2 2 5 2 2 3" xfId="2157"/>
    <cellStyle name="Note 2 2 2 5 2 3" xfId="1435"/>
    <cellStyle name="Note 2 2 2 5 2 4" xfId="1891"/>
    <cellStyle name="Note 2 2 2 5 3" xfId="920"/>
    <cellStyle name="Note 2 2 2 5 3 2" xfId="1629"/>
    <cellStyle name="Note 2 2 2 5 3 3" xfId="2045"/>
    <cellStyle name="Note 2 2 2 5 4" xfId="1304"/>
    <cellStyle name="Note 2 2 2 5 5" xfId="1489"/>
    <cellStyle name="Note 2 2 2 6" xfId="601"/>
    <cellStyle name="Note 2 2 2 6 2" xfId="980"/>
    <cellStyle name="Note 2 2 2 6 2 2" xfId="1689"/>
    <cellStyle name="Note 2 2 2 6 2 3" xfId="2105"/>
    <cellStyle name="Note 2 2 2 6 3" xfId="1383"/>
    <cellStyle name="Note 2 2 2 6 4" xfId="1839"/>
    <cellStyle name="Note 2 2 2 7" xfId="857"/>
    <cellStyle name="Note 2 2 2 7 2" xfId="1566"/>
    <cellStyle name="Note 2 2 2 7 3" xfId="1982"/>
    <cellStyle name="Note 2 2 2 8" xfId="1216"/>
    <cellStyle name="Note 2 2 2 9" xfId="1497"/>
    <cellStyle name="Note 2 2 3" xfId="430"/>
    <cellStyle name="Note 2 2 3 2" xfId="496"/>
    <cellStyle name="Note 2 2 3 2 2" xfId="662"/>
    <cellStyle name="Note 2 2 3 2 2 2" xfId="1040"/>
    <cellStyle name="Note 2 2 3 2 2 2 2" xfId="1749"/>
    <cellStyle name="Note 2 2 3 2 2 2 3" xfId="2165"/>
    <cellStyle name="Note 2 2 3 2 2 3" xfId="1443"/>
    <cellStyle name="Note 2 2 3 2 2 4" xfId="1899"/>
    <cellStyle name="Note 2 2 3 2 3" xfId="928"/>
    <cellStyle name="Note 2 2 3 2 3 2" xfId="1637"/>
    <cellStyle name="Note 2 2 3 2 3 3" xfId="2053"/>
    <cellStyle name="Note 2 2 3 2 4" xfId="1312"/>
    <cellStyle name="Note 2 2 3 2 5" xfId="1240"/>
    <cellStyle name="Note 2 2 3 3" xfId="513"/>
    <cellStyle name="Note 2 2 3 3 2" xfId="679"/>
    <cellStyle name="Note 2 2 3 3 2 2" xfId="1057"/>
    <cellStyle name="Note 2 2 3 3 2 2 2" xfId="1766"/>
    <cellStyle name="Note 2 2 3 3 2 2 3" xfId="2182"/>
    <cellStyle name="Note 2 2 3 3 2 3" xfId="1460"/>
    <cellStyle name="Note 2 2 3 3 2 4" xfId="1916"/>
    <cellStyle name="Note 2 2 3 3 3" xfId="945"/>
    <cellStyle name="Note 2 2 3 3 3 2" xfId="1654"/>
    <cellStyle name="Note 2 2 3 3 3 3" xfId="2070"/>
    <cellStyle name="Note 2 2 3 3 4" xfId="1329"/>
    <cellStyle name="Note 2 2 3 3 5" xfId="1484"/>
    <cellStyle name="Note 2 2 3 4" xfId="524"/>
    <cellStyle name="Note 2 2 3 4 2" xfId="690"/>
    <cellStyle name="Note 2 2 3 4 2 2" xfId="1068"/>
    <cellStyle name="Note 2 2 3 4 2 2 2" xfId="1777"/>
    <cellStyle name="Note 2 2 3 4 2 2 3" xfId="2193"/>
    <cellStyle name="Note 2 2 3 4 2 3" xfId="1471"/>
    <cellStyle name="Note 2 2 3 4 2 4" xfId="1927"/>
    <cellStyle name="Note 2 2 3 4 3" xfId="956"/>
    <cellStyle name="Note 2 2 3 4 3 2" xfId="1665"/>
    <cellStyle name="Note 2 2 3 4 3 3" xfId="2081"/>
    <cellStyle name="Note 2 2 3 4 4" xfId="1340"/>
    <cellStyle name="Note 2 2 3 4 5" xfId="1351"/>
    <cellStyle name="Note 2 2 3 5" xfId="610"/>
    <cellStyle name="Note 2 2 3 5 2" xfId="989"/>
    <cellStyle name="Note 2 2 3 5 2 2" xfId="1698"/>
    <cellStyle name="Note 2 2 3 5 2 3" xfId="2114"/>
    <cellStyle name="Note 2 2 3 5 3" xfId="1392"/>
    <cellStyle name="Note 2 2 3 5 4" xfId="1848"/>
    <cellStyle name="Note 2 2 3 6" xfId="868"/>
    <cellStyle name="Note 2 2 3 6 2" xfId="1577"/>
    <cellStyle name="Note 2 2 3 6 3" xfId="1993"/>
    <cellStyle name="Note 2 2 3 7" xfId="1248"/>
    <cellStyle name="Note 2 2 3 8" xfId="1187"/>
    <cellStyle name="Note 2 2 4" xfId="453"/>
    <cellStyle name="Note 2 2 4 2" xfId="889"/>
    <cellStyle name="Note 2 2 4 2 2" xfId="1598"/>
    <cellStyle name="Note 2 2 4 2 3" xfId="2014"/>
    <cellStyle name="Note 2 2 4 3" xfId="1270"/>
    <cellStyle name="Note 2 2 4 4" xfId="1180"/>
    <cellStyle name="Note 2 2 5" xfId="584"/>
    <cellStyle name="Note 2 2 5 2" xfId="967"/>
    <cellStyle name="Note 2 2 5 2 2" xfId="1676"/>
    <cellStyle name="Note 2 2 5 2 3" xfId="2092"/>
    <cellStyle name="Note 2 2 5 3" xfId="1370"/>
    <cellStyle name="Note 2 2 5 4" xfId="1349"/>
    <cellStyle name="Note 2 2 6" xfId="743"/>
    <cellStyle name="Note 2 2 6 2" xfId="1080"/>
    <cellStyle name="Note 2 2 6 2 2" xfId="1788"/>
    <cellStyle name="Note 2 2 6 2 3" xfId="2204"/>
    <cellStyle name="Note 2 2 6 3" xfId="1500"/>
    <cellStyle name="Note 2 2 6 4" xfId="1938"/>
    <cellStyle name="Note 2 2 7" xfId="760"/>
    <cellStyle name="Note 2 2 7 2" xfId="1091"/>
    <cellStyle name="Note 2 2 7 2 2" xfId="1799"/>
    <cellStyle name="Note 2 2 7 2 3" xfId="2215"/>
    <cellStyle name="Note 2 2 7 3" xfId="1511"/>
    <cellStyle name="Note 2 2 7 4" xfId="1949"/>
    <cellStyle name="Note 2 2 8" xfId="829"/>
    <cellStyle name="Note 2 2 8 2" xfId="1103"/>
    <cellStyle name="Note 2 2 8 2 2" xfId="1810"/>
    <cellStyle name="Note 2 2 8 2 3" xfId="2226"/>
    <cellStyle name="Note 2 2 8 3" xfId="1544"/>
    <cellStyle name="Note 2 2 8 4" xfId="1960"/>
    <cellStyle name="Note 2 2 9" xfId="846"/>
    <cellStyle name="Note 2 2 9 2" xfId="1555"/>
    <cellStyle name="Note 2 2 9 3" xfId="1971"/>
    <cellStyle name="Note 2 3" xfId="142"/>
    <cellStyle name="Note 2 4" xfId="362"/>
    <cellStyle name="Note 2 4 2" xfId="479"/>
    <cellStyle name="Note 2 4 2 2" xfId="645"/>
    <cellStyle name="Note 2 4 2 2 2" xfId="1023"/>
    <cellStyle name="Note 2 4 2 2 2 2" xfId="1732"/>
    <cellStyle name="Note 2 4 2 2 2 3" xfId="2148"/>
    <cellStyle name="Note 2 4 2 2 3" xfId="1426"/>
    <cellStyle name="Note 2 4 2 2 4" xfId="1882"/>
    <cellStyle name="Note 2 4 2 3" xfId="911"/>
    <cellStyle name="Note 2 4 2 3 2" xfId="1620"/>
    <cellStyle name="Note 2 4 2 3 3" xfId="2036"/>
    <cellStyle name="Note 2 4 2 4" xfId="1295"/>
    <cellStyle name="Note 2 4 2 5" xfId="1360"/>
    <cellStyle name="Note 2 4 3" xfId="466"/>
    <cellStyle name="Note 2 4 3 2" xfId="635"/>
    <cellStyle name="Note 2 4 3 2 2" xfId="1013"/>
    <cellStyle name="Note 2 4 3 2 2 2" xfId="1722"/>
    <cellStyle name="Note 2 4 3 2 2 3" xfId="2138"/>
    <cellStyle name="Note 2 4 3 2 3" xfId="1416"/>
    <cellStyle name="Note 2 4 3 2 4" xfId="1872"/>
    <cellStyle name="Note 2 4 3 3" xfId="901"/>
    <cellStyle name="Note 2 4 3 3 2" xfId="1610"/>
    <cellStyle name="Note 2 4 3 3 3" xfId="2026"/>
    <cellStyle name="Note 2 4 3 4" xfId="1282"/>
    <cellStyle name="Note 2 4 3 5" xfId="1238"/>
    <cellStyle name="Note 2 4 4" xfId="445"/>
    <cellStyle name="Note 2 4 4 2" xfId="622"/>
    <cellStyle name="Note 2 4 4 2 2" xfId="1000"/>
    <cellStyle name="Note 2 4 4 2 2 2" xfId="1709"/>
    <cellStyle name="Note 2 4 4 2 2 3" xfId="2125"/>
    <cellStyle name="Note 2 4 4 2 3" xfId="1403"/>
    <cellStyle name="Note 2 4 4 2 4" xfId="1859"/>
    <cellStyle name="Note 2 4 4 3" xfId="881"/>
    <cellStyle name="Note 2 4 4 3 2" xfId="1590"/>
    <cellStyle name="Note 2 4 4 3 3" xfId="2006"/>
    <cellStyle name="Note 2 4 4 4" xfId="1262"/>
    <cellStyle name="Note 2 4 4 5" xfId="1244"/>
    <cellStyle name="Note 2 4 5" xfId="442"/>
    <cellStyle name="Note 2 4 5 2" xfId="619"/>
    <cellStyle name="Note 2 4 5 2 2" xfId="997"/>
    <cellStyle name="Note 2 4 5 2 2 2" xfId="1706"/>
    <cellStyle name="Note 2 4 5 2 2 3" xfId="2122"/>
    <cellStyle name="Note 2 4 5 2 3" xfId="1400"/>
    <cellStyle name="Note 2 4 5 2 4" xfId="1856"/>
    <cellStyle name="Note 2 4 5 3" xfId="878"/>
    <cellStyle name="Note 2 4 5 3 2" xfId="1587"/>
    <cellStyle name="Note 2 4 5 3 3" xfId="2003"/>
    <cellStyle name="Note 2 4 5 4" xfId="1259"/>
    <cellStyle name="Note 2 4 5 5" xfId="1256"/>
    <cellStyle name="Note 2 4 6" xfId="600"/>
    <cellStyle name="Note 2 4 6 2" xfId="979"/>
    <cellStyle name="Note 2 4 6 2 2" xfId="1688"/>
    <cellStyle name="Note 2 4 6 2 3" xfId="2104"/>
    <cellStyle name="Note 2 4 6 3" xfId="1382"/>
    <cellStyle name="Note 2 4 6 4" xfId="1838"/>
    <cellStyle name="Note 2 4 7" xfId="856"/>
    <cellStyle name="Note 2 4 7 2" xfId="1565"/>
    <cellStyle name="Note 2 4 7 3" xfId="1981"/>
    <cellStyle name="Note 2 4 8" xfId="1215"/>
    <cellStyle name="Note 2 4 9" xfId="1541"/>
    <cellStyle name="Note 2 5" xfId="429"/>
    <cellStyle name="Note 2 5 2" xfId="495"/>
    <cellStyle name="Note 2 5 2 2" xfId="661"/>
    <cellStyle name="Note 2 5 2 2 2" xfId="1039"/>
    <cellStyle name="Note 2 5 2 2 2 2" xfId="1748"/>
    <cellStyle name="Note 2 5 2 2 2 3" xfId="2164"/>
    <cellStyle name="Note 2 5 2 2 3" xfId="1442"/>
    <cellStyle name="Note 2 5 2 2 4" xfId="1898"/>
    <cellStyle name="Note 2 5 2 3" xfId="927"/>
    <cellStyle name="Note 2 5 2 3 2" xfId="1636"/>
    <cellStyle name="Note 2 5 2 3 3" xfId="2052"/>
    <cellStyle name="Note 2 5 2 4" xfId="1311"/>
    <cellStyle name="Note 2 5 2 5" xfId="1172"/>
    <cellStyle name="Note 2 5 3" xfId="512"/>
    <cellStyle name="Note 2 5 3 2" xfId="678"/>
    <cellStyle name="Note 2 5 3 2 2" xfId="1056"/>
    <cellStyle name="Note 2 5 3 2 2 2" xfId="1765"/>
    <cellStyle name="Note 2 5 3 2 2 3" xfId="2181"/>
    <cellStyle name="Note 2 5 3 2 3" xfId="1459"/>
    <cellStyle name="Note 2 5 3 2 4" xfId="1915"/>
    <cellStyle name="Note 2 5 3 3" xfId="944"/>
    <cellStyle name="Note 2 5 3 3 2" xfId="1653"/>
    <cellStyle name="Note 2 5 3 3 3" xfId="2069"/>
    <cellStyle name="Note 2 5 3 4" xfId="1328"/>
    <cellStyle name="Note 2 5 3 5" xfId="1526"/>
    <cellStyle name="Note 2 5 4" xfId="523"/>
    <cellStyle name="Note 2 5 4 2" xfId="689"/>
    <cellStyle name="Note 2 5 4 2 2" xfId="1067"/>
    <cellStyle name="Note 2 5 4 2 2 2" xfId="1776"/>
    <cellStyle name="Note 2 5 4 2 2 3" xfId="2192"/>
    <cellStyle name="Note 2 5 4 2 3" xfId="1470"/>
    <cellStyle name="Note 2 5 4 2 4" xfId="1926"/>
    <cellStyle name="Note 2 5 4 3" xfId="955"/>
    <cellStyle name="Note 2 5 4 3 2" xfId="1664"/>
    <cellStyle name="Note 2 5 4 3 3" xfId="2080"/>
    <cellStyle name="Note 2 5 4 4" xfId="1339"/>
    <cellStyle name="Note 2 5 4 5" xfId="1482"/>
    <cellStyle name="Note 2 5 5" xfId="609"/>
    <cellStyle name="Note 2 5 5 2" xfId="988"/>
    <cellStyle name="Note 2 5 5 2 2" xfId="1697"/>
    <cellStyle name="Note 2 5 5 2 3" xfId="2113"/>
    <cellStyle name="Note 2 5 5 3" xfId="1391"/>
    <cellStyle name="Note 2 5 5 4" xfId="1847"/>
    <cellStyle name="Note 2 5 6" xfId="867"/>
    <cellStyle name="Note 2 5 6 2" xfId="1576"/>
    <cellStyle name="Note 2 5 6 3" xfId="1992"/>
    <cellStyle name="Note 2 5 7" xfId="1247"/>
    <cellStyle name="Note 2 5 8" xfId="1211"/>
    <cellStyle name="Note 2 6" xfId="452"/>
    <cellStyle name="Note 2 6 2" xfId="888"/>
    <cellStyle name="Note 2 6 2 2" xfId="1597"/>
    <cellStyle name="Note 2 6 2 3" xfId="2013"/>
    <cellStyle name="Note 2 6 3" xfId="1269"/>
    <cellStyle name="Note 2 6 4" xfId="1181"/>
    <cellStyle name="Note 2 7" xfId="583"/>
    <cellStyle name="Note 2 7 2" xfId="966"/>
    <cellStyle name="Note 2 7 2 2" xfId="1675"/>
    <cellStyle name="Note 2 7 2 3" xfId="2091"/>
    <cellStyle name="Note 2 7 3" xfId="1369"/>
    <cellStyle name="Note 2 7 4" xfId="1480"/>
    <cellStyle name="Note 2 8" xfId="742"/>
    <cellStyle name="Note 2 8 2" xfId="1079"/>
    <cellStyle name="Note 2 8 2 2" xfId="1787"/>
    <cellStyle name="Note 2 8 2 3" xfId="2203"/>
    <cellStyle name="Note 2 8 3" xfId="1499"/>
    <cellStyle name="Note 2 8 4" xfId="1937"/>
    <cellStyle name="Note 2 9" xfId="759"/>
    <cellStyle name="Note 2 9 2" xfId="1090"/>
    <cellStyle name="Note 2 9 2 2" xfId="1798"/>
    <cellStyle name="Note 2 9 2 3" xfId="2214"/>
    <cellStyle name="Note 2 9 3" xfId="1510"/>
    <cellStyle name="Note 2 9 4" xfId="1948"/>
    <cellStyle name="Note 3" xfId="143"/>
    <cellStyle name="Note 3 10" xfId="847"/>
    <cellStyle name="Note 3 10 2" xfId="1556"/>
    <cellStyle name="Note 3 10 3" xfId="1972"/>
    <cellStyle name="Note 3 11" xfId="1140"/>
    <cellStyle name="Note 3 12" xfId="1131"/>
    <cellStyle name="Note 3 13" xfId="1197"/>
    <cellStyle name="Note 3 14" xfId="1193"/>
    <cellStyle name="Note 3 15" xfId="312"/>
    <cellStyle name="Note 3 2" xfId="144"/>
    <cellStyle name="Note 3 2 10" xfId="1141"/>
    <cellStyle name="Note 3 2 11" xfId="1130"/>
    <cellStyle name="Note 3 2 12" xfId="1198"/>
    <cellStyle name="Note 3 2 13" xfId="1823"/>
    <cellStyle name="Note 3 2 14" xfId="313"/>
    <cellStyle name="Note 3 2 2" xfId="365"/>
    <cellStyle name="Note 3 2 2 2" xfId="482"/>
    <cellStyle name="Note 3 2 2 2 2" xfId="648"/>
    <cellStyle name="Note 3 2 2 2 2 2" xfId="1026"/>
    <cellStyle name="Note 3 2 2 2 2 2 2" xfId="1735"/>
    <cellStyle name="Note 3 2 2 2 2 2 3" xfId="2151"/>
    <cellStyle name="Note 3 2 2 2 2 3" xfId="1429"/>
    <cellStyle name="Note 3 2 2 2 2 4" xfId="1885"/>
    <cellStyle name="Note 3 2 2 2 3" xfId="914"/>
    <cellStyle name="Note 3 2 2 2 3 2" xfId="1623"/>
    <cellStyle name="Note 3 2 2 2 3 3" xfId="2039"/>
    <cellStyle name="Note 3 2 2 2 4" xfId="1298"/>
    <cellStyle name="Note 3 2 2 2 5" xfId="1532"/>
    <cellStyle name="Note 3 2 2 3" xfId="490"/>
    <cellStyle name="Note 3 2 2 3 2" xfId="656"/>
    <cellStyle name="Note 3 2 2 3 2 2" xfId="1034"/>
    <cellStyle name="Note 3 2 2 3 2 2 2" xfId="1743"/>
    <cellStyle name="Note 3 2 2 3 2 2 3" xfId="2159"/>
    <cellStyle name="Note 3 2 2 3 2 3" xfId="1437"/>
    <cellStyle name="Note 3 2 2 3 2 4" xfId="1893"/>
    <cellStyle name="Note 3 2 2 3 3" xfId="922"/>
    <cellStyle name="Note 3 2 2 3 3 2" xfId="1631"/>
    <cellStyle name="Note 3 2 2 3 3 3" xfId="2047"/>
    <cellStyle name="Note 3 2 2 3 4" xfId="1306"/>
    <cellStyle name="Note 3 2 2 3 5" xfId="1173"/>
    <cellStyle name="Note 3 2 2 4" xfId="505"/>
    <cellStyle name="Note 3 2 2 4 2" xfId="671"/>
    <cellStyle name="Note 3 2 2 4 2 2" xfId="1049"/>
    <cellStyle name="Note 3 2 2 4 2 2 2" xfId="1758"/>
    <cellStyle name="Note 3 2 2 4 2 2 3" xfId="2174"/>
    <cellStyle name="Note 3 2 2 4 2 3" xfId="1452"/>
    <cellStyle name="Note 3 2 2 4 2 4" xfId="1908"/>
    <cellStyle name="Note 3 2 2 4 3" xfId="937"/>
    <cellStyle name="Note 3 2 2 4 3 2" xfId="1646"/>
    <cellStyle name="Note 3 2 2 4 3 3" xfId="2062"/>
    <cellStyle name="Note 3 2 2 4 4" xfId="1321"/>
    <cellStyle name="Note 3 2 2 4 5" xfId="1170"/>
    <cellStyle name="Note 3 2 2 5" xfId="509"/>
    <cellStyle name="Note 3 2 2 5 2" xfId="675"/>
    <cellStyle name="Note 3 2 2 5 2 2" xfId="1053"/>
    <cellStyle name="Note 3 2 2 5 2 2 2" xfId="1762"/>
    <cellStyle name="Note 3 2 2 5 2 2 3" xfId="2178"/>
    <cellStyle name="Note 3 2 2 5 2 3" xfId="1456"/>
    <cellStyle name="Note 3 2 2 5 2 4" xfId="1912"/>
    <cellStyle name="Note 3 2 2 5 3" xfId="941"/>
    <cellStyle name="Note 3 2 2 5 3 2" xfId="1650"/>
    <cellStyle name="Note 3 2 2 5 3 3" xfId="2066"/>
    <cellStyle name="Note 3 2 2 5 4" xfId="1325"/>
    <cellStyle name="Note 3 2 2 5 5" xfId="1354"/>
    <cellStyle name="Note 3 2 2 6" xfId="603"/>
    <cellStyle name="Note 3 2 2 6 2" xfId="982"/>
    <cellStyle name="Note 3 2 2 6 2 2" xfId="1691"/>
    <cellStyle name="Note 3 2 2 6 2 3" xfId="2107"/>
    <cellStyle name="Note 3 2 2 6 3" xfId="1385"/>
    <cellStyle name="Note 3 2 2 6 4" xfId="1841"/>
    <cellStyle name="Note 3 2 2 7" xfId="859"/>
    <cellStyle name="Note 3 2 2 7 2" xfId="1568"/>
    <cellStyle name="Note 3 2 2 7 3" xfId="1984"/>
    <cellStyle name="Note 3 2 2 8" xfId="1218"/>
    <cellStyle name="Note 3 2 2 9" xfId="1189"/>
    <cellStyle name="Note 3 2 3" xfId="432"/>
    <cellStyle name="Note 3 2 3 2" xfId="498"/>
    <cellStyle name="Note 3 2 3 2 2" xfId="664"/>
    <cellStyle name="Note 3 2 3 2 2 2" xfId="1042"/>
    <cellStyle name="Note 3 2 3 2 2 2 2" xfId="1751"/>
    <cellStyle name="Note 3 2 3 2 2 2 3" xfId="2167"/>
    <cellStyle name="Note 3 2 3 2 2 3" xfId="1445"/>
    <cellStyle name="Note 3 2 3 2 2 4" xfId="1901"/>
    <cellStyle name="Note 3 2 3 2 3" xfId="930"/>
    <cellStyle name="Note 3 2 3 2 3 2" xfId="1639"/>
    <cellStyle name="Note 3 2 3 2 3 3" xfId="2055"/>
    <cellStyle name="Note 3 2 3 2 4" xfId="1314"/>
    <cellStyle name="Note 3 2 3 2 5" xfId="1487"/>
    <cellStyle name="Note 3 2 3 3" xfId="515"/>
    <cellStyle name="Note 3 2 3 3 2" xfId="681"/>
    <cellStyle name="Note 3 2 3 3 2 2" xfId="1059"/>
    <cellStyle name="Note 3 2 3 3 2 2 2" xfId="1768"/>
    <cellStyle name="Note 3 2 3 3 2 2 3" xfId="2184"/>
    <cellStyle name="Note 3 2 3 3 2 3" xfId="1462"/>
    <cellStyle name="Note 3 2 3 3 2 4" xfId="1918"/>
    <cellStyle name="Note 3 2 3 3 3" xfId="947"/>
    <cellStyle name="Note 3 2 3 3 3 2" xfId="1656"/>
    <cellStyle name="Note 3 2 3 3 3 3" xfId="2072"/>
    <cellStyle name="Note 3 2 3 3 4" xfId="1331"/>
    <cellStyle name="Note 3 2 3 3 5" xfId="1168"/>
    <cellStyle name="Note 3 2 3 4" xfId="526"/>
    <cellStyle name="Note 3 2 3 4 2" xfId="692"/>
    <cellStyle name="Note 3 2 3 4 2 2" xfId="1070"/>
    <cellStyle name="Note 3 2 3 4 2 2 2" xfId="1779"/>
    <cellStyle name="Note 3 2 3 4 2 2 3" xfId="2195"/>
    <cellStyle name="Note 3 2 3 4 2 3" xfId="1473"/>
    <cellStyle name="Note 3 2 3 4 2 4" xfId="1929"/>
    <cellStyle name="Note 3 2 3 4 3" xfId="958"/>
    <cellStyle name="Note 3 2 3 4 3 2" xfId="1667"/>
    <cellStyle name="Note 3 2 3 4 3 3" xfId="2083"/>
    <cellStyle name="Note 3 2 3 4 4" xfId="1342"/>
    <cellStyle name="Note 3 2 3 4 5" xfId="1239"/>
    <cellStyle name="Note 3 2 3 5" xfId="612"/>
    <cellStyle name="Note 3 2 3 5 2" xfId="991"/>
    <cellStyle name="Note 3 2 3 5 2 2" xfId="1700"/>
    <cellStyle name="Note 3 2 3 5 2 3" xfId="2116"/>
    <cellStyle name="Note 3 2 3 5 3" xfId="1394"/>
    <cellStyle name="Note 3 2 3 5 4" xfId="1850"/>
    <cellStyle name="Note 3 2 3 6" xfId="870"/>
    <cellStyle name="Note 3 2 3 6 2" xfId="1579"/>
    <cellStyle name="Note 3 2 3 6 3" xfId="1995"/>
    <cellStyle name="Note 3 2 3 7" xfId="1250"/>
    <cellStyle name="Note 3 2 3 8" xfId="1186"/>
    <cellStyle name="Note 3 2 4" xfId="455"/>
    <cellStyle name="Note 3 2 4 2" xfId="891"/>
    <cellStyle name="Note 3 2 4 2 2" xfId="1600"/>
    <cellStyle name="Note 3 2 4 2 3" xfId="2016"/>
    <cellStyle name="Note 3 2 4 3" xfId="1272"/>
    <cellStyle name="Note 3 2 4 4" xfId="1227"/>
    <cellStyle name="Note 3 2 5" xfId="586"/>
    <cellStyle name="Note 3 2 5 2" xfId="969"/>
    <cellStyle name="Note 3 2 5 2 2" xfId="1678"/>
    <cellStyle name="Note 3 2 5 2 3" xfId="2094"/>
    <cellStyle name="Note 3 2 5 3" xfId="1372"/>
    <cellStyle name="Note 3 2 5 4" xfId="1828"/>
    <cellStyle name="Note 3 2 6" xfId="745"/>
    <cellStyle name="Note 3 2 6 2" xfId="1082"/>
    <cellStyle name="Note 3 2 6 2 2" xfId="1790"/>
    <cellStyle name="Note 3 2 6 2 3" xfId="2206"/>
    <cellStyle name="Note 3 2 6 3" xfId="1502"/>
    <cellStyle name="Note 3 2 6 4" xfId="1940"/>
    <cellStyle name="Note 3 2 7" xfId="762"/>
    <cellStyle name="Note 3 2 7 2" xfId="1093"/>
    <cellStyle name="Note 3 2 7 2 2" xfId="1801"/>
    <cellStyle name="Note 3 2 7 2 3" xfId="2217"/>
    <cellStyle name="Note 3 2 7 3" xfId="1513"/>
    <cellStyle name="Note 3 2 7 4" xfId="1951"/>
    <cellStyle name="Note 3 2 8" xfId="831"/>
    <cellStyle name="Note 3 2 8 2" xfId="1105"/>
    <cellStyle name="Note 3 2 8 2 2" xfId="1812"/>
    <cellStyle name="Note 3 2 8 2 3" xfId="2228"/>
    <cellStyle name="Note 3 2 8 3" xfId="1546"/>
    <cellStyle name="Note 3 2 8 4" xfId="1962"/>
    <cellStyle name="Note 3 2 9" xfId="848"/>
    <cellStyle name="Note 3 2 9 2" xfId="1557"/>
    <cellStyle name="Note 3 2 9 3" xfId="1973"/>
    <cellStyle name="Note 3 3" xfId="364"/>
    <cellStyle name="Note 3 3 2" xfId="481"/>
    <cellStyle name="Note 3 3 2 2" xfId="647"/>
    <cellStyle name="Note 3 3 2 2 2" xfId="1025"/>
    <cellStyle name="Note 3 3 2 2 2 2" xfId="1734"/>
    <cellStyle name="Note 3 3 2 2 2 3" xfId="2150"/>
    <cellStyle name="Note 3 3 2 2 3" xfId="1428"/>
    <cellStyle name="Note 3 3 2 2 4" xfId="1884"/>
    <cellStyle name="Note 3 3 2 3" xfId="913"/>
    <cellStyle name="Note 3 3 2 3 2" xfId="1622"/>
    <cellStyle name="Note 3 3 2 3 3" xfId="2038"/>
    <cellStyle name="Note 3 3 2 4" xfId="1297"/>
    <cellStyle name="Note 3 3 2 5" xfId="1232"/>
    <cellStyle name="Note 3 3 3" xfId="468"/>
    <cellStyle name="Note 3 3 3 2" xfId="637"/>
    <cellStyle name="Note 3 3 3 2 2" xfId="1015"/>
    <cellStyle name="Note 3 3 3 2 2 2" xfId="1724"/>
    <cellStyle name="Note 3 3 3 2 2 3" xfId="2140"/>
    <cellStyle name="Note 3 3 3 2 3" xfId="1418"/>
    <cellStyle name="Note 3 3 3 2 4" xfId="1874"/>
    <cellStyle name="Note 3 3 3 3" xfId="903"/>
    <cellStyle name="Note 3 3 3 3 2" xfId="1612"/>
    <cellStyle name="Note 3 3 3 3 3" xfId="2028"/>
    <cellStyle name="Note 3 3 3 4" xfId="1284"/>
    <cellStyle name="Note 3 3 3 5" xfId="1493"/>
    <cellStyle name="Note 3 3 4" xfId="447"/>
    <cellStyle name="Note 3 3 4 2" xfId="624"/>
    <cellStyle name="Note 3 3 4 2 2" xfId="1002"/>
    <cellStyle name="Note 3 3 4 2 2 2" xfId="1711"/>
    <cellStyle name="Note 3 3 4 2 2 3" xfId="2127"/>
    <cellStyle name="Note 3 3 4 2 3" xfId="1405"/>
    <cellStyle name="Note 3 3 4 2 4" xfId="1861"/>
    <cellStyle name="Note 3 3 4 3" xfId="883"/>
    <cellStyle name="Note 3 3 4 3 2" xfId="1592"/>
    <cellStyle name="Note 3 3 4 3 3" xfId="2008"/>
    <cellStyle name="Note 3 3 4 4" xfId="1264"/>
    <cellStyle name="Note 3 3 4 5" xfId="1205"/>
    <cellStyle name="Note 3 3 5" xfId="465"/>
    <cellStyle name="Note 3 3 5 2" xfId="634"/>
    <cellStyle name="Note 3 3 5 2 2" xfId="1012"/>
    <cellStyle name="Note 3 3 5 2 2 2" xfId="1721"/>
    <cellStyle name="Note 3 3 5 2 2 3" xfId="2137"/>
    <cellStyle name="Note 3 3 5 2 3" xfId="1415"/>
    <cellStyle name="Note 3 3 5 2 4" xfId="1871"/>
    <cellStyle name="Note 3 3 5 3" xfId="900"/>
    <cellStyle name="Note 3 3 5 3 2" xfId="1609"/>
    <cellStyle name="Note 3 3 5 3 3" xfId="2025"/>
    <cellStyle name="Note 3 3 5 4" xfId="1281"/>
    <cellStyle name="Note 3 3 5 5" xfId="1177"/>
    <cellStyle name="Note 3 3 6" xfId="602"/>
    <cellStyle name="Note 3 3 6 2" xfId="981"/>
    <cellStyle name="Note 3 3 6 2 2" xfId="1690"/>
    <cellStyle name="Note 3 3 6 2 3" xfId="2106"/>
    <cellStyle name="Note 3 3 6 3" xfId="1384"/>
    <cellStyle name="Note 3 3 6 4" xfId="1840"/>
    <cellStyle name="Note 3 3 7" xfId="858"/>
    <cellStyle name="Note 3 3 7 2" xfId="1567"/>
    <cellStyle name="Note 3 3 7 3" xfId="1983"/>
    <cellStyle name="Note 3 3 8" xfId="1217"/>
    <cellStyle name="Note 3 3 9" xfId="1365"/>
    <cellStyle name="Note 3 4" xfId="431"/>
    <cellStyle name="Note 3 4 2" xfId="497"/>
    <cellStyle name="Note 3 4 2 2" xfId="663"/>
    <cellStyle name="Note 3 4 2 2 2" xfId="1041"/>
    <cellStyle name="Note 3 4 2 2 2 2" xfId="1750"/>
    <cellStyle name="Note 3 4 2 2 2 3" xfId="2166"/>
    <cellStyle name="Note 3 4 2 2 3" xfId="1444"/>
    <cellStyle name="Note 3 4 2 2 4" xfId="1900"/>
    <cellStyle name="Note 3 4 2 3" xfId="929"/>
    <cellStyle name="Note 3 4 2 3 2" xfId="1638"/>
    <cellStyle name="Note 3 4 2 3 3" xfId="2054"/>
    <cellStyle name="Note 3 4 2 4" xfId="1313"/>
    <cellStyle name="Note 3 4 2 5" xfId="1529"/>
    <cellStyle name="Note 3 4 3" xfId="514"/>
    <cellStyle name="Note 3 4 3 2" xfId="680"/>
    <cellStyle name="Note 3 4 3 2 2" xfId="1058"/>
    <cellStyle name="Note 3 4 3 2 2 2" xfId="1767"/>
    <cellStyle name="Note 3 4 3 2 2 3" xfId="2183"/>
    <cellStyle name="Note 3 4 3 2 3" xfId="1461"/>
    <cellStyle name="Note 3 4 3 2 4" xfId="1917"/>
    <cellStyle name="Note 3 4 3 3" xfId="946"/>
    <cellStyle name="Note 3 4 3 3 2" xfId="1655"/>
    <cellStyle name="Note 3 4 3 3 3" xfId="2071"/>
    <cellStyle name="Note 3 4 3 4" xfId="1330"/>
    <cellStyle name="Note 3 4 3 5" xfId="1353"/>
    <cellStyle name="Note 3 4 4" xfId="525"/>
    <cellStyle name="Note 3 4 4 2" xfId="691"/>
    <cellStyle name="Note 3 4 4 2 2" xfId="1069"/>
    <cellStyle name="Note 3 4 4 2 2 2" xfId="1778"/>
    <cellStyle name="Note 3 4 4 2 2 3" xfId="2194"/>
    <cellStyle name="Note 3 4 4 2 3" xfId="1472"/>
    <cellStyle name="Note 3 4 4 2 4" xfId="1928"/>
    <cellStyle name="Note 3 4 4 3" xfId="957"/>
    <cellStyle name="Note 3 4 4 3 2" xfId="1666"/>
    <cellStyle name="Note 3 4 4 3 3" xfId="2082"/>
    <cellStyle name="Note 3 4 4 4" xfId="1341"/>
    <cellStyle name="Note 3 4 4 5" xfId="1166"/>
    <cellStyle name="Note 3 4 5" xfId="611"/>
    <cellStyle name="Note 3 4 5 2" xfId="990"/>
    <cellStyle name="Note 3 4 5 2 2" xfId="1699"/>
    <cellStyle name="Note 3 4 5 2 3" xfId="2115"/>
    <cellStyle name="Note 3 4 5 3" xfId="1393"/>
    <cellStyle name="Note 3 4 5 4" xfId="1849"/>
    <cellStyle name="Note 3 4 6" xfId="869"/>
    <cellStyle name="Note 3 4 6 2" xfId="1578"/>
    <cellStyle name="Note 3 4 6 3" xfId="1994"/>
    <cellStyle name="Note 3 4 7" xfId="1249"/>
    <cellStyle name="Note 3 4 8" xfId="1208"/>
    <cellStyle name="Note 3 5" xfId="454"/>
    <cellStyle name="Note 3 5 2" xfId="890"/>
    <cellStyle name="Note 3 5 2 2" xfId="1599"/>
    <cellStyle name="Note 3 5 2 3" xfId="2015"/>
    <cellStyle name="Note 3 5 3" xfId="1271"/>
    <cellStyle name="Note 3 5 4" xfId="1162"/>
    <cellStyle name="Note 3 6" xfId="585"/>
    <cellStyle name="Note 3 6 2" xfId="968"/>
    <cellStyle name="Note 3 6 2 2" xfId="1677"/>
    <cellStyle name="Note 3 6 2 3" xfId="2093"/>
    <cellStyle name="Note 3 6 3" xfId="1371"/>
    <cellStyle name="Note 3 6 4" xfId="1163"/>
    <cellStyle name="Note 3 7" xfId="744"/>
    <cellStyle name="Note 3 7 2" xfId="1081"/>
    <cellStyle name="Note 3 7 2 2" xfId="1789"/>
    <cellStyle name="Note 3 7 2 3" xfId="2205"/>
    <cellStyle name="Note 3 7 3" xfId="1501"/>
    <cellStyle name="Note 3 7 4" xfId="1939"/>
    <cellStyle name="Note 3 8" xfId="761"/>
    <cellStyle name="Note 3 8 2" xfId="1092"/>
    <cellStyle name="Note 3 8 2 2" xfId="1800"/>
    <cellStyle name="Note 3 8 2 3" xfId="2216"/>
    <cellStyle name="Note 3 8 3" xfId="1512"/>
    <cellStyle name="Note 3 8 4" xfId="1950"/>
    <cellStyle name="Note 3 9" xfId="830"/>
    <cellStyle name="Note 3 9 2" xfId="1104"/>
    <cellStyle name="Note 3 9 2 2" xfId="1811"/>
    <cellStyle name="Note 3 9 2 3" xfId="2227"/>
    <cellStyle name="Note 3 9 3" xfId="1545"/>
    <cellStyle name="Note 3 9 4" xfId="1961"/>
    <cellStyle name="Note 4" xfId="145"/>
    <cellStyle name="Note 4 10" xfId="1142"/>
    <cellStyle name="Note 4 11" xfId="1129"/>
    <cellStyle name="Note 4 12" xfId="1199"/>
    <cellStyle name="Note 4 13" xfId="1520"/>
    <cellStyle name="Note 4 14" xfId="314"/>
    <cellStyle name="Note 4 2" xfId="366"/>
    <cellStyle name="Note 4 2 2" xfId="483"/>
    <cellStyle name="Note 4 2 2 2" xfId="649"/>
    <cellStyle name="Note 4 2 2 2 2" xfId="1027"/>
    <cellStyle name="Note 4 2 2 2 2 2" xfId="1736"/>
    <cellStyle name="Note 4 2 2 2 2 3" xfId="2152"/>
    <cellStyle name="Note 4 2 2 2 3" xfId="1430"/>
    <cellStyle name="Note 4 2 2 2 4" xfId="1886"/>
    <cellStyle name="Note 4 2 2 3" xfId="915"/>
    <cellStyle name="Note 4 2 2 3 2" xfId="1624"/>
    <cellStyle name="Note 4 2 2 3 3" xfId="2040"/>
    <cellStyle name="Note 4 2 2 4" xfId="1299"/>
    <cellStyle name="Note 4 2 2 5" xfId="1490"/>
    <cellStyle name="Note 4 2 3" xfId="440"/>
    <cellStyle name="Note 4 2 3 2" xfId="617"/>
    <cellStyle name="Note 4 2 3 2 2" xfId="995"/>
    <cellStyle name="Note 4 2 3 2 2 2" xfId="1704"/>
    <cellStyle name="Note 4 2 3 2 2 3" xfId="2120"/>
    <cellStyle name="Note 4 2 3 2 3" xfId="1398"/>
    <cellStyle name="Note 4 2 3 2 4" xfId="1854"/>
    <cellStyle name="Note 4 2 3 3" xfId="876"/>
    <cellStyle name="Note 4 2 3 3 2" xfId="1585"/>
    <cellStyle name="Note 4 2 3 3 3" xfId="2001"/>
    <cellStyle name="Note 4 2 3 4" xfId="1257"/>
    <cellStyle name="Note 4 2 3 5" xfId="1479"/>
    <cellStyle name="Note 4 2 4" xfId="504"/>
    <cellStyle name="Note 4 2 4 2" xfId="670"/>
    <cellStyle name="Note 4 2 4 2 2" xfId="1048"/>
    <cellStyle name="Note 4 2 4 2 2 2" xfId="1757"/>
    <cellStyle name="Note 4 2 4 2 2 3" xfId="2173"/>
    <cellStyle name="Note 4 2 4 2 3" xfId="1451"/>
    <cellStyle name="Note 4 2 4 2 4" xfId="1907"/>
    <cellStyle name="Note 4 2 4 3" xfId="936"/>
    <cellStyle name="Note 4 2 4 3 2" xfId="1645"/>
    <cellStyle name="Note 4 2 4 3 3" xfId="2061"/>
    <cellStyle name="Note 4 2 4 4" xfId="1320"/>
    <cellStyle name="Note 4 2 4 5" xfId="1355"/>
    <cellStyle name="Note 4 2 5" xfId="461"/>
    <cellStyle name="Note 4 2 5 2" xfId="631"/>
    <cellStyle name="Note 4 2 5 2 2" xfId="1009"/>
    <cellStyle name="Note 4 2 5 2 2 2" xfId="1718"/>
    <cellStyle name="Note 4 2 5 2 2 3" xfId="2134"/>
    <cellStyle name="Note 4 2 5 2 3" xfId="1412"/>
    <cellStyle name="Note 4 2 5 2 4" xfId="1868"/>
    <cellStyle name="Note 4 2 5 3" xfId="897"/>
    <cellStyle name="Note 4 2 5 3 2" xfId="1606"/>
    <cellStyle name="Note 4 2 5 3 3" xfId="2022"/>
    <cellStyle name="Note 4 2 5 4" xfId="1278"/>
    <cellStyle name="Note 4 2 5 5" xfId="1225"/>
    <cellStyle name="Note 4 2 6" xfId="604"/>
    <cellStyle name="Note 4 2 6 2" xfId="983"/>
    <cellStyle name="Note 4 2 6 2 2" xfId="1692"/>
    <cellStyle name="Note 4 2 6 2 3" xfId="2108"/>
    <cellStyle name="Note 4 2 6 3" xfId="1386"/>
    <cellStyle name="Note 4 2 6 4" xfId="1842"/>
    <cellStyle name="Note 4 2 7" xfId="860"/>
    <cellStyle name="Note 4 2 7 2" xfId="1569"/>
    <cellStyle name="Note 4 2 7 3" xfId="1985"/>
    <cellStyle name="Note 4 2 8" xfId="1219"/>
    <cellStyle name="Note 4 2 9" xfId="1224"/>
    <cellStyle name="Note 4 3" xfId="433"/>
    <cellStyle name="Note 4 3 2" xfId="499"/>
    <cellStyle name="Note 4 3 2 2" xfId="665"/>
    <cellStyle name="Note 4 3 2 2 2" xfId="1043"/>
    <cellStyle name="Note 4 3 2 2 2 2" xfId="1752"/>
    <cellStyle name="Note 4 3 2 2 2 3" xfId="2168"/>
    <cellStyle name="Note 4 3 2 2 3" xfId="1446"/>
    <cellStyle name="Note 4 3 2 2 4" xfId="1902"/>
    <cellStyle name="Note 4 3 2 3" xfId="931"/>
    <cellStyle name="Note 4 3 2 3 2" xfId="1640"/>
    <cellStyle name="Note 4 3 2 3 3" xfId="2056"/>
    <cellStyle name="Note 4 3 2 4" xfId="1315"/>
    <cellStyle name="Note 4 3 2 5" xfId="1356"/>
    <cellStyle name="Note 4 3 3" xfId="516"/>
    <cellStyle name="Note 4 3 3 2" xfId="682"/>
    <cellStyle name="Note 4 3 3 2 2" xfId="1060"/>
    <cellStyle name="Note 4 3 3 2 2 2" xfId="1769"/>
    <cellStyle name="Note 4 3 3 2 2 3" xfId="2185"/>
    <cellStyle name="Note 4 3 3 2 3" xfId="1463"/>
    <cellStyle name="Note 4 3 3 2 4" xfId="1919"/>
    <cellStyle name="Note 4 3 3 3" xfId="948"/>
    <cellStyle name="Note 4 3 3 3 2" xfId="1657"/>
    <cellStyle name="Note 4 3 3 3 3" xfId="2073"/>
    <cellStyle name="Note 4 3 3 4" xfId="1332"/>
    <cellStyle name="Note 4 3 3 5" xfId="1231"/>
    <cellStyle name="Note 4 3 4" xfId="527"/>
    <cellStyle name="Note 4 3 4 2" xfId="693"/>
    <cellStyle name="Note 4 3 4 2 2" xfId="1071"/>
    <cellStyle name="Note 4 3 4 2 2 2" xfId="1780"/>
    <cellStyle name="Note 4 3 4 2 2 3" xfId="2196"/>
    <cellStyle name="Note 4 3 4 2 3" xfId="1474"/>
    <cellStyle name="Note 4 3 4 2 4" xfId="1930"/>
    <cellStyle name="Note 4 3 4 3" xfId="959"/>
    <cellStyle name="Note 4 3 4 3 2" xfId="1668"/>
    <cellStyle name="Note 4 3 4 3 3" xfId="2084"/>
    <cellStyle name="Note 4 3 4 4" xfId="1343"/>
    <cellStyle name="Note 4 3 4 5" xfId="1523"/>
    <cellStyle name="Note 4 3 5" xfId="613"/>
    <cellStyle name="Note 4 3 5 2" xfId="992"/>
    <cellStyle name="Note 4 3 5 2 2" xfId="1701"/>
    <cellStyle name="Note 4 3 5 2 3" xfId="2117"/>
    <cellStyle name="Note 4 3 5 3" xfId="1395"/>
    <cellStyle name="Note 4 3 5 4" xfId="1851"/>
    <cellStyle name="Note 4 3 6" xfId="871"/>
    <cellStyle name="Note 4 3 6 2" xfId="1580"/>
    <cellStyle name="Note 4 3 6 3" xfId="1996"/>
    <cellStyle name="Note 4 3 7" xfId="1251"/>
    <cellStyle name="Note 4 3 8" xfId="1207"/>
    <cellStyle name="Note 4 4" xfId="456"/>
    <cellStyle name="Note 4 4 2" xfId="892"/>
    <cellStyle name="Note 4 4 2 2" xfId="1601"/>
    <cellStyle name="Note 4 4 2 3" xfId="2017"/>
    <cellStyle name="Note 4 4 3" xfId="1273"/>
    <cellStyle name="Note 4 4 4" xfId="1538"/>
    <cellStyle name="Note 4 5" xfId="587"/>
    <cellStyle name="Note 4 5 2" xfId="970"/>
    <cellStyle name="Note 4 5 2 2" xfId="1679"/>
    <cellStyle name="Note 4 5 2 3" xfId="2095"/>
    <cellStyle name="Note 4 5 3" xfId="1373"/>
    <cellStyle name="Note 4 5 4" xfId="1829"/>
    <cellStyle name="Note 4 6" xfId="746"/>
    <cellStyle name="Note 4 6 2" xfId="1083"/>
    <cellStyle name="Note 4 6 2 2" xfId="1791"/>
    <cellStyle name="Note 4 6 2 3" xfId="2207"/>
    <cellStyle name="Note 4 6 3" xfId="1503"/>
    <cellStyle name="Note 4 6 4" xfId="1941"/>
    <cellStyle name="Note 4 7" xfId="763"/>
    <cellStyle name="Note 4 7 2" xfId="1094"/>
    <cellStyle name="Note 4 7 2 2" xfId="1802"/>
    <cellStyle name="Note 4 7 2 3" xfId="2218"/>
    <cellStyle name="Note 4 7 3" xfId="1514"/>
    <cellStyle name="Note 4 7 4" xfId="1952"/>
    <cellStyle name="Note 4 8" xfId="832"/>
    <cellStyle name="Note 4 8 2" xfId="1106"/>
    <cellStyle name="Note 4 8 2 2" xfId="1813"/>
    <cellStyle name="Note 4 8 2 3" xfId="2229"/>
    <cellStyle name="Note 4 8 3" xfId="1547"/>
    <cellStyle name="Note 4 8 4" xfId="1963"/>
    <cellStyle name="Note 4 9" xfId="849"/>
    <cellStyle name="Note 4 9 2" xfId="1558"/>
    <cellStyle name="Note 4 9 3" xfId="1974"/>
    <cellStyle name="Note 5" xfId="146"/>
    <cellStyle name="Note 5 10" xfId="850"/>
    <cellStyle name="Note 5 10 2" xfId="1559"/>
    <cellStyle name="Note 5 10 3" xfId="1975"/>
    <cellStyle name="Note 5 11" xfId="1143"/>
    <cellStyle name="Note 5 12" xfId="1128"/>
    <cellStyle name="Note 5 13" xfId="1200"/>
    <cellStyle name="Note 5 14" xfId="1241"/>
    <cellStyle name="Note 5 15" xfId="315"/>
    <cellStyle name="Note 5 2" xfId="147"/>
    <cellStyle name="Note 5 2 10" xfId="1144"/>
    <cellStyle name="Note 5 2 11" xfId="1127"/>
    <cellStyle name="Note 5 2 12" xfId="1201"/>
    <cellStyle name="Note 5 2 13" xfId="1192"/>
    <cellStyle name="Note 5 2 14" xfId="316"/>
    <cellStyle name="Note 5 2 2" xfId="372"/>
    <cellStyle name="Note 5 2 2 2" xfId="487"/>
    <cellStyle name="Note 5 2 2 2 2" xfId="653"/>
    <cellStyle name="Note 5 2 2 2 2 2" xfId="1031"/>
    <cellStyle name="Note 5 2 2 2 2 2 2" xfId="1740"/>
    <cellStyle name="Note 5 2 2 2 2 2 3" xfId="2156"/>
    <cellStyle name="Note 5 2 2 2 2 3" xfId="1434"/>
    <cellStyle name="Note 5 2 2 2 2 4" xfId="1890"/>
    <cellStyle name="Note 5 2 2 2 3" xfId="919"/>
    <cellStyle name="Note 5 2 2 2 3 2" xfId="1628"/>
    <cellStyle name="Note 5 2 2 2 3 3" xfId="2044"/>
    <cellStyle name="Note 5 2 2 2 4" xfId="1303"/>
    <cellStyle name="Note 5 2 2 2 5" xfId="1531"/>
    <cellStyle name="Note 5 2 2 3" xfId="467"/>
    <cellStyle name="Note 5 2 2 3 2" xfId="636"/>
    <cellStyle name="Note 5 2 2 3 2 2" xfId="1014"/>
    <cellStyle name="Note 5 2 2 3 2 2 2" xfId="1723"/>
    <cellStyle name="Note 5 2 2 3 2 2 3" xfId="2139"/>
    <cellStyle name="Note 5 2 2 3 2 3" xfId="1417"/>
    <cellStyle name="Note 5 2 2 3 2 4" xfId="1873"/>
    <cellStyle name="Note 5 2 2 3 3" xfId="902"/>
    <cellStyle name="Note 5 2 2 3 3 2" xfId="1611"/>
    <cellStyle name="Note 5 2 2 3 3 3" xfId="2027"/>
    <cellStyle name="Note 5 2 2 3 4" xfId="1283"/>
    <cellStyle name="Note 5 2 2 3 5" xfId="1535"/>
    <cellStyle name="Note 5 2 2 4" xfId="451"/>
    <cellStyle name="Note 5 2 2 4 2" xfId="628"/>
    <cellStyle name="Note 5 2 2 4 2 2" xfId="1006"/>
    <cellStyle name="Note 5 2 2 4 2 2 2" xfId="1715"/>
    <cellStyle name="Note 5 2 2 4 2 2 3" xfId="2131"/>
    <cellStyle name="Note 5 2 2 4 2 3" xfId="1409"/>
    <cellStyle name="Note 5 2 2 4 2 4" xfId="1865"/>
    <cellStyle name="Note 5 2 2 4 3" xfId="887"/>
    <cellStyle name="Note 5 2 2 4 3 2" xfId="1596"/>
    <cellStyle name="Note 5 2 2 4 3 3" xfId="2012"/>
    <cellStyle name="Note 5 2 2 4 4" xfId="1268"/>
    <cellStyle name="Note 5 2 2 4 5" xfId="1182"/>
    <cellStyle name="Note 5 2 2 5" xfId="473"/>
    <cellStyle name="Note 5 2 2 5 2" xfId="639"/>
    <cellStyle name="Note 5 2 2 5 2 2" xfId="1017"/>
    <cellStyle name="Note 5 2 2 5 2 2 2" xfId="1726"/>
    <cellStyle name="Note 5 2 2 5 2 2 3" xfId="2142"/>
    <cellStyle name="Note 5 2 2 5 2 3" xfId="1420"/>
    <cellStyle name="Note 5 2 2 5 2 4" xfId="1876"/>
    <cellStyle name="Note 5 2 2 5 3" xfId="905"/>
    <cellStyle name="Note 5 2 2 5 3 2" xfId="1614"/>
    <cellStyle name="Note 5 2 2 5 3 3" xfId="2030"/>
    <cellStyle name="Note 5 2 2 5 4" xfId="1289"/>
    <cellStyle name="Note 5 2 2 5 5" xfId="1492"/>
    <cellStyle name="Note 5 2 2 6" xfId="606"/>
    <cellStyle name="Note 5 2 2 6 2" xfId="985"/>
    <cellStyle name="Note 5 2 2 6 2 2" xfId="1694"/>
    <cellStyle name="Note 5 2 2 6 2 3" xfId="2110"/>
    <cellStyle name="Note 5 2 2 6 3" xfId="1388"/>
    <cellStyle name="Note 5 2 2 6 4" xfId="1844"/>
    <cellStyle name="Note 5 2 2 7" xfId="864"/>
    <cellStyle name="Note 5 2 2 7 2" xfId="1573"/>
    <cellStyle name="Note 5 2 2 7 3" xfId="1989"/>
    <cellStyle name="Note 5 2 2 8" xfId="1223"/>
    <cellStyle name="Note 5 2 2 9" xfId="1539"/>
    <cellStyle name="Note 5 2 3" xfId="437"/>
    <cellStyle name="Note 5 2 3 2" xfId="503"/>
    <cellStyle name="Note 5 2 3 2 2" xfId="669"/>
    <cellStyle name="Note 5 2 3 2 2 2" xfId="1047"/>
    <cellStyle name="Note 5 2 3 2 2 2 2" xfId="1756"/>
    <cellStyle name="Note 5 2 3 2 2 2 3" xfId="2172"/>
    <cellStyle name="Note 5 2 3 2 2 3" xfId="1450"/>
    <cellStyle name="Note 5 2 3 2 2 4" xfId="1906"/>
    <cellStyle name="Note 5 2 3 2 3" xfId="935"/>
    <cellStyle name="Note 5 2 3 2 3 2" xfId="1644"/>
    <cellStyle name="Note 5 2 3 2 3 3" xfId="2060"/>
    <cellStyle name="Note 5 2 3 2 4" xfId="1319"/>
    <cellStyle name="Note 5 2 3 2 5" xfId="1486"/>
    <cellStyle name="Note 5 2 3 3" xfId="520"/>
    <cellStyle name="Note 5 2 3 3 2" xfId="686"/>
    <cellStyle name="Note 5 2 3 3 2 2" xfId="1064"/>
    <cellStyle name="Note 5 2 3 3 2 2 2" xfId="1773"/>
    <cellStyle name="Note 5 2 3 3 2 2 3" xfId="2189"/>
    <cellStyle name="Note 5 2 3 3 2 3" xfId="1467"/>
    <cellStyle name="Note 5 2 3 3 2 4" xfId="1923"/>
    <cellStyle name="Note 5 2 3 3 3" xfId="952"/>
    <cellStyle name="Note 5 2 3 3 3 2" xfId="1661"/>
    <cellStyle name="Note 5 2 3 3 3 3" xfId="2077"/>
    <cellStyle name="Note 5 2 3 3 4" xfId="1336"/>
    <cellStyle name="Note 5 2 3 3 5" xfId="1167"/>
    <cellStyle name="Note 5 2 3 4" xfId="531"/>
    <cellStyle name="Note 5 2 3 4 2" xfId="697"/>
    <cellStyle name="Note 5 2 3 4 2 2" xfId="1075"/>
    <cellStyle name="Note 5 2 3 4 2 2 2" xfId="1784"/>
    <cellStyle name="Note 5 2 3 4 2 2 3" xfId="2200"/>
    <cellStyle name="Note 5 2 3 4 2 3" xfId="1478"/>
    <cellStyle name="Note 5 2 3 4 2 4" xfId="1934"/>
    <cellStyle name="Note 5 2 3 4 3" xfId="963"/>
    <cellStyle name="Note 5 2 3 4 3 2" xfId="1672"/>
    <cellStyle name="Note 5 2 3 4 3 3" xfId="2088"/>
    <cellStyle name="Note 5 2 3 4 4" xfId="1347"/>
    <cellStyle name="Note 5 2 3 4 5" xfId="1236"/>
    <cellStyle name="Note 5 2 3 5" xfId="615"/>
    <cellStyle name="Note 5 2 3 5 2" xfId="994"/>
    <cellStyle name="Note 5 2 3 5 2 2" xfId="1703"/>
    <cellStyle name="Note 5 2 3 5 2 3" xfId="2119"/>
    <cellStyle name="Note 5 2 3 5 3" xfId="1397"/>
    <cellStyle name="Note 5 2 3 5 4" xfId="1853"/>
    <cellStyle name="Note 5 2 3 6" xfId="875"/>
    <cellStyle name="Note 5 2 3 6 2" xfId="1584"/>
    <cellStyle name="Note 5 2 3 6 3" xfId="2000"/>
    <cellStyle name="Note 5 2 3 7" xfId="1255"/>
    <cellStyle name="Note 5 2 3 8" xfId="1184"/>
    <cellStyle name="Note 5 2 4" xfId="460"/>
    <cellStyle name="Note 5 2 4 2" xfId="896"/>
    <cellStyle name="Note 5 2 4 2 2" xfId="1605"/>
    <cellStyle name="Note 5 2 4 2 3" xfId="2021"/>
    <cellStyle name="Note 5 2 4 3" xfId="1277"/>
    <cellStyle name="Note 5 2 4 4" xfId="1226"/>
    <cellStyle name="Note 5 2 5" xfId="595"/>
    <cellStyle name="Note 5 2 5 2" xfId="974"/>
    <cellStyle name="Note 5 2 5 2 2" xfId="1683"/>
    <cellStyle name="Note 5 2 5 2 3" xfId="2099"/>
    <cellStyle name="Note 5 2 5 3" xfId="1377"/>
    <cellStyle name="Note 5 2 5 4" xfId="1833"/>
    <cellStyle name="Note 5 2 6" xfId="754"/>
    <cellStyle name="Note 5 2 6 2" xfId="1087"/>
    <cellStyle name="Note 5 2 6 2 2" xfId="1795"/>
    <cellStyle name="Note 5 2 6 2 3" xfId="2211"/>
    <cellStyle name="Note 5 2 6 3" xfId="1507"/>
    <cellStyle name="Note 5 2 6 4" xfId="1945"/>
    <cellStyle name="Note 5 2 7" xfId="768"/>
    <cellStyle name="Note 5 2 7 2" xfId="1098"/>
    <cellStyle name="Note 5 2 7 2 2" xfId="1806"/>
    <cellStyle name="Note 5 2 7 2 3" xfId="2222"/>
    <cellStyle name="Note 5 2 7 3" xfId="1518"/>
    <cellStyle name="Note 5 2 7 4" xfId="1956"/>
    <cellStyle name="Note 5 2 8" xfId="840"/>
    <cellStyle name="Note 5 2 8 2" xfId="1110"/>
    <cellStyle name="Note 5 2 8 2 2" xfId="1817"/>
    <cellStyle name="Note 5 2 8 2 3" xfId="2233"/>
    <cellStyle name="Note 5 2 8 3" xfId="1551"/>
    <cellStyle name="Note 5 2 8 4" xfId="1967"/>
    <cellStyle name="Note 5 2 9" xfId="851"/>
    <cellStyle name="Note 5 2 9 2" xfId="1560"/>
    <cellStyle name="Note 5 2 9 3" xfId="1976"/>
    <cellStyle name="Note 5 3" xfId="367"/>
    <cellStyle name="Note 5 3 2" xfId="484"/>
    <cellStyle name="Note 5 3 2 2" xfId="650"/>
    <cellStyle name="Note 5 3 2 2 2" xfId="1028"/>
    <cellStyle name="Note 5 3 2 2 2 2" xfId="1737"/>
    <cellStyle name="Note 5 3 2 2 2 3" xfId="2153"/>
    <cellStyle name="Note 5 3 2 2 3" xfId="1431"/>
    <cellStyle name="Note 5 3 2 2 4" xfId="1887"/>
    <cellStyle name="Note 5 3 2 3" xfId="916"/>
    <cellStyle name="Note 5 3 2 3 2" xfId="1625"/>
    <cellStyle name="Note 5 3 2 3 3" xfId="2041"/>
    <cellStyle name="Note 5 3 2 4" xfId="1300"/>
    <cellStyle name="Note 5 3 2 5" xfId="1359"/>
    <cellStyle name="Note 5 3 3" xfId="492"/>
    <cellStyle name="Note 5 3 3 2" xfId="658"/>
    <cellStyle name="Note 5 3 3 2 2" xfId="1036"/>
    <cellStyle name="Note 5 3 3 2 2 2" xfId="1745"/>
    <cellStyle name="Note 5 3 3 2 2 3" xfId="2161"/>
    <cellStyle name="Note 5 3 3 2 3" xfId="1439"/>
    <cellStyle name="Note 5 3 3 2 4" xfId="1895"/>
    <cellStyle name="Note 5 3 3 3" xfId="924"/>
    <cellStyle name="Note 5 3 3 3 2" xfId="1633"/>
    <cellStyle name="Note 5 3 3 3 3" xfId="2049"/>
    <cellStyle name="Note 5 3 3 4" xfId="1308"/>
    <cellStyle name="Note 5 3 3 5" xfId="1530"/>
    <cellStyle name="Note 5 3 4" xfId="464"/>
    <cellStyle name="Note 5 3 4 2" xfId="633"/>
    <cellStyle name="Note 5 3 4 2 2" xfId="1011"/>
    <cellStyle name="Note 5 3 4 2 2 2" xfId="1720"/>
    <cellStyle name="Note 5 3 4 2 2 3" xfId="2136"/>
    <cellStyle name="Note 5 3 4 2 3" xfId="1414"/>
    <cellStyle name="Note 5 3 4 2 4" xfId="1870"/>
    <cellStyle name="Note 5 3 4 3" xfId="899"/>
    <cellStyle name="Note 5 3 4 3 2" xfId="1608"/>
    <cellStyle name="Note 5 3 4 3 3" xfId="2024"/>
    <cellStyle name="Note 5 3 4 4" xfId="1280"/>
    <cellStyle name="Note 5 3 4 5" xfId="1362"/>
    <cellStyle name="Note 5 3 5" xfId="508"/>
    <cellStyle name="Note 5 3 5 2" xfId="674"/>
    <cellStyle name="Note 5 3 5 2 2" xfId="1052"/>
    <cellStyle name="Note 5 3 5 2 2 2" xfId="1761"/>
    <cellStyle name="Note 5 3 5 2 2 3" xfId="2177"/>
    <cellStyle name="Note 5 3 5 2 3" xfId="1455"/>
    <cellStyle name="Note 5 3 5 2 4" xfId="1911"/>
    <cellStyle name="Note 5 3 5 3" xfId="940"/>
    <cellStyle name="Note 5 3 5 3 2" xfId="1649"/>
    <cellStyle name="Note 5 3 5 3 3" xfId="2065"/>
    <cellStyle name="Note 5 3 5 4" xfId="1324"/>
    <cellStyle name="Note 5 3 5 5" xfId="1485"/>
    <cellStyle name="Note 5 3 6" xfId="605"/>
    <cellStyle name="Note 5 3 6 2" xfId="984"/>
    <cellStyle name="Note 5 3 6 2 2" xfId="1693"/>
    <cellStyle name="Note 5 3 6 2 3" xfId="2109"/>
    <cellStyle name="Note 5 3 6 3" xfId="1387"/>
    <cellStyle name="Note 5 3 6 4" xfId="1843"/>
    <cellStyle name="Note 5 3 7" xfId="861"/>
    <cellStyle name="Note 5 3 7 2" xfId="1570"/>
    <cellStyle name="Note 5 3 7 3" xfId="1986"/>
    <cellStyle name="Note 5 3 8" xfId="1220"/>
    <cellStyle name="Note 5 3 9" xfId="1540"/>
    <cellStyle name="Note 5 4" xfId="434"/>
    <cellStyle name="Note 5 4 2" xfId="500"/>
    <cellStyle name="Note 5 4 2 2" xfId="666"/>
    <cellStyle name="Note 5 4 2 2 2" xfId="1044"/>
    <cellStyle name="Note 5 4 2 2 2 2" xfId="1753"/>
    <cellStyle name="Note 5 4 2 2 2 3" xfId="2169"/>
    <cellStyle name="Note 5 4 2 2 3" xfId="1447"/>
    <cellStyle name="Note 5 4 2 2 4" xfId="1903"/>
    <cellStyle name="Note 5 4 2 3" xfId="932"/>
    <cellStyle name="Note 5 4 2 3 2" xfId="1641"/>
    <cellStyle name="Note 5 4 2 3 3" xfId="2057"/>
    <cellStyle name="Note 5 4 2 4" xfId="1316"/>
    <cellStyle name="Note 5 4 2 5" xfId="1171"/>
    <cellStyle name="Note 5 4 3" xfId="517"/>
    <cellStyle name="Note 5 4 3 2" xfId="683"/>
    <cellStyle name="Note 5 4 3 2 2" xfId="1061"/>
    <cellStyle name="Note 5 4 3 2 2 2" xfId="1770"/>
    <cellStyle name="Note 5 4 3 2 2 3" xfId="2186"/>
    <cellStyle name="Note 5 4 3 2 3" xfId="1464"/>
    <cellStyle name="Note 5 4 3 2 4" xfId="1920"/>
    <cellStyle name="Note 5 4 3 3" xfId="949"/>
    <cellStyle name="Note 5 4 3 3 2" xfId="1658"/>
    <cellStyle name="Note 5 4 3 3 3" xfId="2074"/>
    <cellStyle name="Note 5 4 3 4" xfId="1333"/>
    <cellStyle name="Note 5 4 3 5" xfId="1525"/>
    <cellStyle name="Note 5 4 4" xfId="528"/>
    <cellStyle name="Note 5 4 4 2" xfId="694"/>
    <cellStyle name="Note 5 4 4 2 2" xfId="1072"/>
    <cellStyle name="Note 5 4 4 2 2 2" xfId="1781"/>
    <cellStyle name="Note 5 4 4 2 2 3" xfId="2197"/>
    <cellStyle name="Note 5 4 4 2 3" xfId="1475"/>
    <cellStyle name="Note 5 4 4 2 4" xfId="1931"/>
    <cellStyle name="Note 5 4 4 3" xfId="960"/>
    <cellStyle name="Note 5 4 4 3 2" xfId="1669"/>
    <cellStyle name="Note 5 4 4 3 3" xfId="2085"/>
    <cellStyle name="Note 5 4 4 4" xfId="1344"/>
    <cellStyle name="Note 5 4 4 5" xfId="1481"/>
    <cellStyle name="Note 5 4 5" xfId="614"/>
    <cellStyle name="Note 5 4 5 2" xfId="993"/>
    <cellStyle name="Note 5 4 5 2 2" xfId="1702"/>
    <cellStyle name="Note 5 4 5 2 3" xfId="2118"/>
    <cellStyle name="Note 5 4 5 3" xfId="1396"/>
    <cellStyle name="Note 5 4 5 4" xfId="1852"/>
    <cellStyle name="Note 5 4 6" xfId="872"/>
    <cellStyle name="Note 5 4 6 2" xfId="1581"/>
    <cellStyle name="Note 5 4 6 3" xfId="1997"/>
    <cellStyle name="Note 5 4 7" xfId="1252"/>
    <cellStyle name="Note 5 4 8" xfId="1212"/>
    <cellStyle name="Note 5 5" xfId="457"/>
    <cellStyle name="Note 5 5 2" xfId="893"/>
    <cellStyle name="Note 5 5 2 2" xfId="1602"/>
    <cellStyle name="Note 5 5 2 3" xfId="2018"/>
    <cellStyle name="Note 5 5 3" xfId="1274"/>
    <cellStyle name="Note 5 5 4" xfId="1495"/>
    <cellStyle name="Note 5 6" xfId="588"/>
    <cellStyle name="Note 5 6 2" xfId="971"/>
    <cellStyle name="Note 5 6 2 2" xfId="1680"/>
    <cellStyle name="Note 5 6 2 3" xfId="2096"/>
    <cellStyle name="Note 5 6 3" xfId="1374"/>
    <cellStyle name="Note 5 6 4" xfId="1830"/>
    <cellStyle name="Note 5 7" xfId="747"/>
    <cellStyle name="Note 5 7 2" xfId="1084"/>
    <cellStyle name="Note 5 7 2 2" xfId="1792"/>
    <cellStyle name="Note 5 7 2 3" xfId="2208"/>
    <cellStyle name="Note 5 7 3" xfId="1504"/>
    <cellStyle name="Note 5 7 4" xfId="1942"/>
    <cellStyle name="Note 5 8" xfId="764"/>
    <cellStyle name="Note 5 8 2" xfId="1095"/>
    <cellStyle name="Note 5 8 2 2" xfId="1803"/>
    <cellStyle name="Note 5 8 2 3" xfId="2219"/>
    <cellStyle name="Note 5 8 3" xfId="1515"/>
    <cellStyle name="Note 5 8 4" xfId="1953"/>
    <cellStyle name="Note 5 9" xfId="833"/>
    <cellStyle name="Note 5 9 2" xfId="1107"/>
    <cellStyle name="Note 5 9 2 2" xfId="1814"/>
    <cellStyle name="Note 5 9 2 3" xfId="2230"/>
    <cellStyle name="Note 5 9 3" xfId="1548"/>
    <cellStyle name="Note 5 9 4" xfId="1964"/>
    <cellStyle name="Note 6" xfId="175"/>
    <cellStyle name="Note 6 2" xfId="217"/>
    <cellStyle name="Note 6 2 2" xfId="1820"/>
    <cellStyle name="Note 6 3" xfId="2236"/>
    <cellStyle name="Note 6 4" xfId="1116"/>
    <cellStyle name="Note 7" xfId="203"/>
    <cellStyle name="Note 7 2" xfId="1156"/>
    <cellStyle name="Output" xfId="42" builtinId="21" customBuiltin="1"/>
    <cellStyle name="Output 2" xfId="148"/>
    <cellStyle name="Output 2 10" xfId="1145"/>
    <cellStyle name="Output 2 11" xfId="1126"/>
    <cellStyle name="Output 2 12" xfId="1202"/>
    <cellStyle name="Output 2 13" xfId="1521"/>
    <cellStyle name="Output 2 14" xfId="317"/>
    <cellStyle name="Output 2 2" xfId="368"/>
    <cellStyle name="Output 2 2 2" xfId="485"/>
    <cellStyle name="Output 2 2 2 2" xfId="651"/>
    <cellStyle name="Output 2 2 2 2 2" xfId="1029"/>
    <cellStyle name="Output 2 2 2 2 2 2" xfId="1738"/>
    <cellStyle name="Output 2 2 2 2 2 3" xfId="2154"/>
    <cellStyle name="Output 2 2 2 2 3" xfId="1432"/>
    <cellStyle name="Output 2 2 2 2 4" xfId="1888"/>
    <cellStyle name="Output 2 2 2 3" xfId="917"/>
    <cellStyle name="Output 2 2 2 3 2" xfId="1626"/>
    <cellStyle name="Output 2 2 2 3 3" xfId="2042"/>
    <cellStyle name="Output 2 2 2 4" xfId="1301"/>
    <cellStyle name="Output 2 2 2 5" xfId="1174"/>
    <cellStyle name="Output 2 2 3" xfId="441"/>
    <cellStyle name="Output 2 2 3 2" xfId="618"/>
    <cellStyle name="Output 2 2 3 2 2" xfId="996"/>
    <cellStyle name="Output 2 2 3 2 2 2" xfId="1705"/>
    <cellStyle name="Output 2 2 3 2 2 3" xfId="2121"/>
    <cellStyle name="Output 2 2 3 2 3" xfId="1399"/>
    <cellStyle name="Output 2 2 3 2 4" xfId="1855"/>
    <cellStyle name="Output 2 2 3 3" xfId="877"/>
    <cellStyle name="Output 2 2 3 3 2" xfId="1586"/>
    <cellStyle name="Output 2 2 3 3 3" xfId="2002"/>
    <cellStyle name="Output 2 2 3 4" xfId="1258"/>
    <cellStyle name="Output 2 2 3 5" xfId="1348"/>
    <cellStyle name="Output 2 2 4" xfId="444"/>
    <cellStyle name="Output 2 2 4 2" xfId="621"/>
    <cellStyle name="Output 2 2 4 2 2" xfId="999"/>
    <cellStyle name="Output 2 2 4 2 2 2" xfId="1708"/>
    <cellStyle name="Output 2 2 4 2 2 3" xfId="2124"/>
    <cellStyle name="Output 2 2 4 2 3" xfId="1402"/>
    <cellStyle name="Output 2 2 4 2 4" xfId="1858"/>
    <cellStyle name="Output 2 2 4 3" xfId="880"/>
    <cellStyle name="Output 2 2 4 3 2" xfId="1589"/>
    <cellStyle name="Output 2 2 4 3 3" xfId="2005"/>
    <cellStyle name="Output 2 2 4 4" xfId="1261"/>
    <cellStyle name="Output 2 2 4 5" xfId="1286"/>
    <cellStyle name="Output 2 2 5" xfId="474"/>
    <cellStyle name="Output 2 2 5 2" xfId="640"/>
    <cellStyle name="Output 2 2 5 2 2" xfId="1018"/>
    <cellStyle name="Output 2 2 5 2 2 2" xfId="1727"/>
    <cellStyle name="Output 2 2 5 2 2 3" xfId="2143"/>
    <cellStyle name="Output 2 2 5 2 3" xfId="1421"/>
    <cellStyle name="Output 2 2 5 2 4" xfId="1877"/>
    <cellStyle name="Output 2 2 5 3" xfId="906"/>
    <cellStyle name="Output 2 2 5 3 2" xfId="1615"/>
    <cellStyle name="Output 2 2 5 3 3" xfId="2031"/>
    <cellStyle name="Output 2 2 5 4" xfId="1290"/>
    <cellStyle name="Output 2 2 5 5" xfId="1361"/>
    <cellStyle name="Output 2 2 6" xfId="862"/>
    <cellStyle name="Output 2 2 6 2" xfId="1571"/>
    <cellStyle name="Output 2 2 6 3" xfId="1987"/>
    <cellStyle name="Output 2 2 7" xfId="1221"/>
    <cellStyle name="Output 2 2 8" xfId="1496"/>
    <cellStyle name="Output 2 3" xfId="435"/>
    <cellStyle name="Output 2 3 2" xfId="501"/>
    <cellStyle name="Output 2 3 2 2" xfId="667"/>
    <cellStyle name="Output 2 3 2 2 2" xfId="1045"/>
    <cellStyle name="Output 2 3 2 2 2 2" xfId="1754"/>
    <cellStyle name="Output 2 3 2 2 2 3" xfId="2170"/>
    <cellStyle name="Output 2 3 2 2 3" xfId="1448"/>
    <cellStyle name="Output 2 3 2 2 4" xfId="1904"/>
    <cellStyle name="Output 2 3 2 3" xfId="933"/>
    <cellStyle name="Output 2 3 2 3 2" xfId="1642"/>
    <cellStyle name="Output 2 3 2 3 3" xfId="2058"/>
    <cellStyle name="Output 2 3 2 4" xfId="1317"/>
    <cellStyle name="Output 2 3 2 5" xfId="1237"/>
    <cellStyle name="Output 2 3 3" xfId="518"/>
    <cellStyle name="Output 2 3 3 2" xfId="684"/>
    <cellStyle name="Output 2 3 3 2 2" xfId="1062"/>
    <cellStyle name="Output 2 3 3 2 2 2" xfId="1771"/>
    <cellStyle name="Output 2 3 3 2 2 3" xfId="2187"/>
    <cellStyle name="Output 2 3 3 2 3" xfId="1465"/>
    <cellStyle name="Output 2 3 3 2 4" xfId="1921"/>
    <cellStyle name="Output 2 3 3 3" xfId="950"/>
    <cellStyle name="Output 2 3 3 3 2" xfId="1659"/>
    <cellStyle name="Output 2 3 3 3 3" xfId="2075"/>
    <cellStyle name="Output 2 3 3 4" xfId="1334"/>
    <cellStyle name="Output 2 3 3 5" xfId="1483"/>
    <cellStyle name="Output 2 3 4" xfId="529"/>
    <cellStyle name="Output 2 3 4 2" xfId="695"/>
    <cellStyle name="Output 2 3 4 2 2" xfId="1073"/>
    <cellStyle name="Output 2 3 4 2 2 2" xfId="1782"/>
    <cellStyle name="Output 2 3 4 2 2 3" xfId="2198"/>
    <cellStyle name="Output 2 3 4 2 3" xfId="1476"/>
    <cellStyle name="Output 2 3 4 2 4" xfId="1932"/>
    <cellStyle name="Output 2 3 4 3" xfId="961"/>
    <cellStyle name="Output 2 3 4 3 2" xfId="1670"/>
    <cellStyle name="Output 2 3 4 3 3" xfId="2086"/>
    <cellStyle name="Output 2 3 4 4" xfId="1345"/>
    <cellStyle name="Output 2 3 4 5" xfId="1350"/>
    <cellStyle name="Output 2 3 5" xfId="873"/>
    <cellStyle name="Output 2 3 5 2" xfId="1582"/>
    <cellStyle name="Output 2 3 5 3" xfId="1998"/>
    <cellStyle name="Output 2 3 6" xfId="1253"/>
    <cellStyle name="Output 2 3 7" xfId="1185"/>
    <cellStyle name="Output 2 4" xfId="458"/>
    <cellStyle name="Output 2 4 2" xfId="629"/>
    <cellStyle name="Output 2 4 2 2" xfId="1007"/>
    <cellStyle name="Output 2 4 2 2 2" xfId="1716"/>
    <cellStyle name="Output 2 4 2 2 3" xfId="2132"/>
    <cellStyle name="Output 2 4 2 3" xfId="1410"/>
    <cellStyle name="Output 2 4 2 4" xfId="1866"/>
    <cellStyle name="Output 2 4 3" xfId="894"/>
    <cellStyle name="Output 2 4 3 2" xfId="1603"/>
    <cellStyle name="Output 2 4 3 3" xfId="2019"/>
    <cellStyle name="Output 2 4 4" xfId="1275"/>
    <cellStyle name="Output 2 4 5" xfId="1364"/>
    <cellStyle name="Output 2 5" xfId="589"/>
    <cellStyle name="Output 2 5 2" xfId="972"/>
    <cellStyle name="Output 2 5 2 2" xfId="1681"/>
    <cellStyle name="Output 2 5 2 3" xfId="2097"/>
    <cellStyle name="Output 2 5 3" xfId="1375"/>
    <cellStyle name="Output 2 5 4" xfId="1831"/>
    <cellStyle name="Output 2 6" xfId="748"/>
    <cellStyle name="Output 2 6 2" xfId="1085"/>
    <cellStyle name="Output 2 6 2 2" xfId="1793"/>
    <cellStyle name="Output 2 6 2 3" xfId="2209"/>
    <cellStyle name="Output 2 6 3" xfId="1505"/>
    <cellStyle name="Output 2 6 4" xfId="1943"/>
    <cellStyle name="Output 2 7" xfId="765"/>
    <cellStyle name="Output 2 7 2" xfId="1096"/>
    <cellStyle name="Output 2 7 2 2" xfId="1804"/>
    <cellStyle name="Output 2 7 2 3" xfId="2220"/>
    <cellStyle name="Output 2 7 3" xfId="1516"/>
    <cellStyle name="Output 2 7 4" xfId="1954"/>
    <cellStyle name="Output 2 8" xfId="834"/>
    <cellStyle name="Output 2 8 2" xfId="1108"/>
    <cellStyle name="Output 2 8 2 2" xfId="1815"/>
    <cellStyle name="Output 2 8 2 3" xfId="2231"/>
    <cellStyle name="Output 2 8 3" xfId="1549"/>
    <cellStyle name="Output 2 8 4" xfId="1965"/>
    <cellStyle name="Output 2 9" xfId="852"/>
    <cellStyle name="Output 2 9 2" xfId="1561"/>
    <cellStyle name="Output 2 9 3" xfId="1977"/>
    <cellStyle name="Output 3" xfId="170"/>
    <cellStyle name="Output 3 2" xfId="381"/>
    <cellStyle name="Output 4" xfId="1117"/>
    <cellStyle name="Output 4 2" xfId="1821"/>
    <cellStyle name="Output 4 3" xfId="2237"/>
    <cellStyle name="Output 5" xfId="1157"/>
    <cellStyle name="Percent" xfId="7" builtinId="5"/>
    <cellStyle name="Percent 2" xfId="8"/>
    <cellStyle name="Percent 2 2" xfId="9"/>
    <cellStyle name="Percent 2 2 2" xfId="16"/>
    <cellStyle name="Percent 2 2 2 2" xfId="334"/>
    <cellStyle name="Percent 2 2 3" xfId="327"/>
    <cellStyle name="Percent 2 3" xfId="15"/>
    <cellStyle name="Percent 2 3 2" xfId="333"/>
    <cellStyle name="Percent 2 4" xfId="326"/>
    <cellStyle name="Percent 2 5" xfId="1120"/>
    <cellStyle name="Percent 3" xfId="11"/>
    <cellStyle name="Percent 3 2" xfId="18"/>
    <cellStyle name="Percent 3 2 2" xfId="336"/>
    <cellStyle name="Percent 3 3" xfId="329"/>
    <cellStyle name="Percent 4" xfId="149"/>
    <cellStyle name="Percent 4 2" xfId="369"/>
    <cellStyle name="Percent 5" xfId="150"/>
    <cellStyle name="Percent 6" xfId="151"/>
    <cellStyle name="Percent 7" xfId="152"/>
    <cellStyle name="Percent 8" xfId="325"/>
    <cellStyle name="Percent 9" xfId="1125"/>
    <cellStyle name="Percent 9 2" xfId="1827"/>
    <cellStyle name="Title" xfId="33" builtinId="15" customBuiltin="1"/>
    <cellStyle name="Title 2" xfId="153"/>
    <cellStyle name="Title 2 2" xfId="590"/>
    <cellStyle name="Title 2 3" xfId="749"/>
    <cellStyle name="Title 2 4" xfId="835"/>
    <cellStyle name="Title 2 5" xfId="318"/>
    <cellStyle name="Total" xfId="48" builtinId="25" customBuiltin="1"/>
    <cellStyle name="Total 2" xfId="154"/>
    <cellStyle name="Total 2 10" xfId="1146"/>
    <cellStyle name="Total 2 11" xfId="1147"/>
    <cellStyle name="Total 2 12" xfId="1204"/>
    <cellStyle name="Total 2 13" xfId="1367"/>
    <cellStyle name="Total 2 14" xfId="319"/>
    <cellStyle name="Total 2 2" xfId="370"/>
    <cellStyle name="Total 2 2 2" xfId="486"/>
    <cellStyle name="Total 2 2 2 2" xfId="652"/>
    <cellStyle name="Total 2 2 2 2 2" xfId="1030"/>
    <cellStyle name="Total 2 2 2 2 2 2" xfId="1739"/>
    <cellStyle name="Total 2 2 2 2 2 3" xfId="2155"/>
    <cellStyle name="Total 2 2 2 2 3" xfId="1433"/>
    <cellStyle name="Total 2 2 2 2 4" xfId="1889"/>
    <cellStyle name="Total 2 2 2 3" xfId="918"/>
    <cellStyle name="Total 2 2 2 3 2" xfId="1627"/>
    <cellStyle name="Total 2 2 2 3 3" xfId="2043"/>
    <cellStyle name="Total 2 2 2 4" xfId="1302"/>
    <cellStyle name="Total 2 2 2 5" xfId="1230"/>
    <cellStyle name="Total 2 2 3" xfId="450"/>
    <cellStyle name="Total 2 2 3 2" xfId="627"/>
    <cellStyle name="Total 2 2 3 2 2" xfId="1005"/>
    <cellStyle name="Total 2 2 3 2 2 2" xfId="1714"/>
    <cellStyle name="Total 2 2 3 2 2 3" xfId="2130"/>
    <cellStyle name="Total 2 2 3 2 3" xfId="1408"/>
    <cellStyle name="Total 2 2 3 2 4" xfId="1864"/>
    <cellStyle name="Total 2 2 3 3" xfId="886"/>
    <cellStyle name="Total 2 2 3 3 2" xfId="1595"/>
    <cellStyle name="Total 2 2 3 3 3" xfId="2011"/>
    <cellStyle name="Total 2 2 3 4" xfId="1267"/>
    <cellStyle name="Total 2 2 3 5" xfId="1183"/>
    <cellStyle name="Total 2 2 4" xfId="443"/>
    <cellStyle name="Total 2 2 4 2" xfId="620"/>
    <cellStyle name="Total 2 2 4 2 2" xfId="998"/>
    <cellStyle name="Total 2 2 4 2 2 2" xfId="1707"/>
    <cellStyle name="Total 2 2 4 2 2 3" xfId="2123"/>
    <cellStyle name="Total 2 2 4 2 3" xfId="1401"/>
    <cellStyle name="Total 2 2 4 2 4" xfId="1857"/>
    <cellStyle name="Total 2 2 4 3" xfId="879"/>
    <cellStyle name="Total 2 2 4 3 2" xfId="1588"/>
    <cellStyle name="Total 2 2 4 3 3" xfId="2004"/>
    <cellStyle name="Total 2 2 4 4" xfId="1260"/>
    <cellStyle name="Total 2 2 4 5" xfId="1287"/>
    <cellStyle name="Total 2 2 5" xfId="462"/>
    <cellStyle name="Total 2 2 5 2" xfId="632"/>
    <cellStyle name="Total 2 2 5 2 2" xfId="1010"/>
    <cellStyle name="Total 2 2 5 2 2 2" xfId="1719"/>
    <cellStyle name="Total 2 2 5 2 2 3" xfId="2135"/>
    <cellStyle name="Total 2 2 5 2 3" xfId="1413"/>
    <cellStyle name="Total 2 2 5 2 4" xfId="1869"/>
    <cellStyle name="Total 2 2 5 3" xfId="898"/>
    <cellStyle name="Total 2 2 5 3 2" xfId="1607"/>
    <cellStyle name="Total 2 2 5 3 3" xfId="2023"/>
    <cellStyle name="Total 2 2 5 4" xfId="1279"/>
    <cellStyle name="Total 2 2 5 5" xfId="1536"/>
    <cellStyle name="Total 2 2 6" xfId="863"/>
    <cellStyle name="Total 2 2 6 2" xfId="1572"/>
    <cellStyle name="Total 2 2 6 3" xfId="1988"/>
    <cellStyle name="Total 2 2 7" xfId="1222"/>
    <cellStyle name="Total 2 2 8" xfId="1188"/>
    <cellStyle name="Total 2 3" xfId="436"/>
    <cellStyle name="Total 2 3 2" xfId="502"/>
    <cellStyle name="Total 2 3 2 2" xfId="668"/>
    <cellStyle name="Total 2 3 2 2 2" xfId="1046"/>
    <cellStyle name="Total 2 3 2 2 2 2" xfId="1755"/>
    <cellStyle name="Total 2 3 2 2 2 3" xfId="2171"/>
    <cellStyle name="Total 2 3 2 2 3" xfId="1449"/>
    <cellStyle name="Total 2 3 2 2 4" xfId="1905"/>
    <cellStyle name="Total 2 3 2 3" xfId="934"/>
    <cellStyle name="Total 2 3 2 3 2" xfId="1643"/>
    <cellStyle name="Total 2 3 2 3 3" xfId="2059"/>
    <cellStyle name="Total 2 3 2 4" xfId="1318"/>
    <cellStyle name="Total 2 3 2 5" xfId="1528"/>
    <cellStyle name="Total 2 3 3" xfId="519"/>
    <cellStyle name="Total 2 3 3 2" xfId="685"/>
    <cellStyle name="Total 2 3 3 2 2" xfId="1063"/>
    <cellStyle name="Total 2 3 3 2 2 2" xfId="1772"/>
    <cellStyle name="Total 2 3 3 2 2 3" xfId="2188"/>
    <cellStyle name="Total 2 3 3 2 3" xfId="1466"/>
    <cellStyle name="Total 2 3 3 2 4" xfId="1922"/>
    <cellStyle name="Total 2 3 3 3" xfId="951"/>
    <cellStyle name="Total 2 3 3 3 2" xfId="1660"/>
    <cellStyle name="Total 2 3 3 3 3" xfId="2076"/>
    <cellStyle name="Total 2 3 3 4" xfId="1335"/>
    <cellStyle name="Total 2 3 3 5" xfId="1352"/>
    <cellStyle name="Total 2 3 4" xfId="530"/>
    <cellStyle name="Total 2 3 4 2" xfId="696"/>
    <cellStyle name="Total 2 3 4 2 2" xfId="1074"/>
    <cellStyle name="Total 2 3 4 2 2 2" xfId="1783"/>
    <cellStyle name="Total 2 3 4 2 2 3" xfId="2199"/>
    <cellStyle name="Total 2 3 4 2 3" xfId="1477"/>
    <cellStyle name="Total 2 3 4 2 4" xfId="1933"/>
    <cellStyle name="Total 2 3 4 3" xfId="962"/>
    <cellStyle name="Total 2 3 4 3 2" xfId="1671"/>
    <cellStyle name="Total 2 3 4 3 3" xfId="2087"/>
    <cellStyle name="Total 2 3 4 4" xfId="1346"/>
    <cellStyle name="Total 2 3 4 5" xfId="1165"/>
    <cellStyle name="Total 2 3 5" xfId="874"/>
    <cellStyle name="Total 2 3 5 2" xfId="1583"/>
    <cellStyle name="Total 2 3 5 3" xfId="1999"/>
    <cellStyle name="Total 2 3 6" xfId="1254"/>
    <cellStyle name="Total 2 3 7" xfId="1209"/>
    <cellStyle name="Total 2 4" xfId="459"/>
    <cellStyle name="Total 2 4 2" xfId="630"/>
    <cellStyle name="Total 2 4 2 2" xfId="1008"/>
    <cellStyle name="Total 2 4 2 2 2" xfId="1717"/>
    <cellStyle name="Total 2 4 2 2 3" xfId="2133"/>
    <cellStyle name="Total 2 4 2 3" xfId="1411"/>
    <cellStyle name="Total 2 4 2 4" xfId="1867"/>
    <cellStyle name="Total 2 4 3" xfId="895"/>
    <cellStyle name="Total 2 4 3 2" xfId="1604"/>
    <cellStyle name="Total 2 4 3 3" xfId="2020"/>
    <cellStyle name="Total 2 4 4" xfId="1276"/>
    <cellStyle name="Total 2 4 5" xfId="1179"/>
    <cellStyle name="Total 2 5" xfId="591"/>
    <cellStyle name="Total 2 5 2" xfId="973"/>
    <cellStyle name="Total 2 5 2 2" xfId="1682"/>
    <cellStyle name="Total 2 5 2 3" xfId="2098"/>
    <cellStyle name="Total 2 5 3" xfId="1376"/>
    <cellStyle name="Total 2 5 4" xfId="1832"/>
    <cellStyle name="Total 2 6" xfId="750"/>
    <cellStyle name="Total 2 6 2" xfId="1086"/>
    <cellStyle name="Total 2 6 2 2" xfId="1794"/>
    <cellStyle name="Total 2 6 2 3" xfId="2210"/>
    <cellStyle name="Total 2 6 3" xfId="1506"/>
    <cellStyle name="Total 2 6 4" xfId="1944"/>
    <cellStyle name="Total 2 7" xfId="767"/>
    <cellStyle name="Total 2 7 2" xfId="1097"/>
    <cellStyle name="Total 2 7 2 2" xfId="1805"/>
    <cellStyle name="Total 2 7 2 3" xfId="2221"/>
    <cellStyle name="Total 2 7 3" xfId="1517"/>
    <cellStyle name="Total 2 7 4" xfId="1955"/>
    <cellStyle name="Total 2 8" xfId="836"/>
    <cellStyle name="Total 2 8 2" xfId="1109"/>
    <cellStyle name="Total 2 8 2 2" xfId="1816"/>
    <cellStyle name="Total 2 8 2 3" xfId="2232"/>
    <cellStyle name="Total 2 8 3" xfId="1550"/>
    <cellStyle name="Total 2 8 4" xfId="1966"/>
    <cellStyle name="Total 2 9" xfId="853"/>
    <cellStyle name="Total 2 9 2" xfId="1562"/>
    <cellStyle name="Total 2 9 3" xfId="1978"/>
    <cellStyle name="Total 3" xfId="177"/>
    <cellStyle name="Total 3 2" xfId="387"/>
    <cellStyle name="Total 4" xfId="1118"/>
    <cellStyle name="Total 4 2" xfId="1822"/>
    <cellStyle name="Total 4 3" xfId="2238"/>
    <cellStyle name="Total 5" xfId="1159"/>
    <cellStyle name="Warning Text" xfId="46" builtinId="11" customBuiltin="1"/>
    <cellStyle name="Warning Text 2" xfId="155"/>
    <cellStyle name="Warning Text 2 2" xfId="592"/>
    <cellStyle name="Warning Text 2 3" xfId="751"/>
    <cellStyle name="Warning Text 2 4" xfId="837"/>
    <cellStyle name="Warning Text 2 5" xfId="320"/>
    <cellStyle name="Warning Text 3" xfId="174"/>
    <cellStyle name="Warning Text 3 2" xfId="385"/>
  </cellStyles>
  <dxfs count="53">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1</xdr:col>
      <xdr:colOff>2514600</xdr:colOff>
      <xdr:row>4</xdr:row>
      <xdr:rowOff>7408</xdr:rowOff>
    </xdr:to>
    <xdr:pic>
      <xdr:nvPicPr>
        <xdr:cNvPr id="2" name="Picture 47" descr="CCRD_FIN_BW300"/>
        <xdr:cNvPicPr>
          <a:picLocks noChangeAspect="1" noChangeArrowheads="1"/>
        </xdr:cNvPicPr>
      </xdr:nvPicPr>
      <xdr:blipFill>
        <a:blip xmlns:r="http://schemas.openxmlformats.org/officeDocument/2006/relationships" r:embed="rId1" cstate="print"/>
        <a:srcRect/>
        <a:stretch>
          <a:fillRect/>
        </a:stretch>
      </xdr:blipFill>
      <xdr:spPr bwMode="auto">
        <a:xfrm>
          <a:off x="142875" y="114300"/>
          <a:ext cx="2552700" cy="493183"/>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0</xdr:row>
      <xdr:rowOff>133350</xdr:rowOff>
    </xdr:from>
    <xdr:to>
      <xdr:col>2</xdr:col>
      <xdr:colOff>95250</xdr:colOff>
      <xdr:row>3</xdr:row>
      <xdr:rowOff>120650</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333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276225</xdr:colOff>
      <xdr:row>3</xdr:row>
      <xdr:rowOff>111125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1</xdr:col>
      <xdr:colOff>2517775</xdr:colOff>
      <xdr:row>3</xdr:row>
      <xdr:rowOff>123825</xdr:rowOff>
    </xdr:to>
    <xdr:pic>
      <xdr:nvPicPr>
        <xdr:cNvPr id="29697" name="Picture 48" descr="CCRD_FIN_BW300"/>
        <xdr:cNvPicPr>
          <a:picLocks noChangeAspect="1" noChangeArrowheads="1"/>
        </xdr:cNvPicPr>
      </xdr:nvPicPr>
      <xdr:blipFill>
        <a:blip xmlns:r="http://schemas.openxmlformats.org/officeDocument/2006/relationships" r:embed="rId1" cstate="print"/>
        <a:srcRect/>
        <a:stretch>
          <a:fillRect/>
        </a:stretch>
      </xdr:blipFill>
      <xdr:spPr bwMode="auto">
        <a:xfrm>
          <a:off x="142875" y="114300"/>
          <a:ext cx="2552700" cy="4953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142875</xdr:colOff>
      <xdr:row>0</xdr:row>
      <xdr:rowOff>152400</xdr:rowOff>
    </xdr:from>
    <xdr:to>
      <xdr:col>1</xdr:col>
      <xdr:colOff>2514600</xdr:colOff>
      <xdr:row>4</xdr:row>
      <xdr:rowOff>0</xdr:rowOff>
    </xdr:to>
    <xdr:pic>
      <xdr:nvPicPr>
        <xdr:cNvPr id="2" name="Picture 49" descr="CCRD_FIN_BW300"/>
        <xdr:cNvPicPr>
          <a:picLocks noChangeAspect="1" noChangeArrowheads="1"/>
        </xdr:cNvPicPr>
      </xdr:nvPicPr>
      <xdr:blipFill>
        <a:blip xmlns:r="http://schemas.openxmlformats.org/officeDocument/2006/relationships" r:embed="rId1"/>
        <a:srcRect/>
        <a:stretch>
          <a:fillRect/>
        </a:stretch>
      </xdr:blipFill>
      <xdr:spPr bwMode="auto">
        <a:xfrm>
          <a:off x="142875" y="152400"/>
          <a:ext cx="2552700" cy="4953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1</xdr:col>
      <xdr:colOff>2514600</xdr:colOff>
      <xdr:row>3</xdr:row>
      <xdr:rowOff>114300</xdr:rowOff>
    </xdr:to>
    <xdr:pic>
      <xdr:nvPicPr>
        <xdr:cNvPr id="31745" name="Picture 49" descr="CCRD_FIN_BW300"/>
        <xdr:cNvPicPr>
          <a:picLocks noChangeAspect="1" noChangeArrowheads="1"/>
        </xdr:cNvPicPr>
      </xdr:nvPicPr>
      <xdr:blipFill>
        <a:blip xmlns:r="http://schemas.openxmlformats.org/officeDocument/2006/relationships" r:embed="rId1" cstate="print"/>
        <a:srcRect/>
        <a:stretch>
          <a:fillRect/>
        </a:stretch>
      </xdr:blipFill>
      <xdr:spPr bwMode="auto">
        <a:xfrm>
          <a:off x="142875" y="104775"/>
          <a:ext cx="2552700" cy="49530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4</xdr:col>
      <xdr:colOff>931333</xdr:colOff>
      <xdr:row>3</xdr:row>
      <xdr:rowOff>49742</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2</xdr:col>
      <xdr:colOff>10582</xdr:colOff>
      <xdr:row>3</xdr:row>
      <xdr:rowOff>155576</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42</xdr:col>
      <xdr:colOff>0</xdr:colOff>
      <xdr:row>41</xdr:row>
      <xdr:rowOff>0</xdr:rowOff>
    </xdr:from>
    <xdr:to>
      <xdr:col>44</xdr:col>
      <xdr:colOff>85725</xdr:colOff>
      <xdr:row>42</xdr:row>
      <xdr:rowOff>0</xdr:rowOff>
    </xdr:to>
    <xdr:pic>
      <xdr:nvPicPr>
        <xdr:cNvPr id="3" name="mtgt_A.1001" descr="http://maps.gstatic.com/mapfiles/markers2/markerTransparent.png"/>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42</xdr:col>
      <xdr:colOff>0</xdr:colOff>
      <xdr:row>41</xdr:row>
      <xdr:rowOff>0</xdr:rowOff>
    </xdr:from>
    <xdr:to>
      <xdr:col>44</xdr:col>
      <xdr:colOff>85725</xdr:colOff>
      <xdr:row>42</xdr:row>
      <xdr:rowOff>0</xdr:rowOff>
    </xdr:to>
    <xdr:pic>
      <xdr:nvPicPr>
        <xdr:cNvPr id="7" name="mtgt_A.1001" descr="http://maps.gstatic.com/mapfiles/markers2/markerTransparent.png"/>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130969</xdr:colOff>
      <xdr:row>0</xdr:row>
      <xdr:rowOff>119063</xdr:rowOff>
    </xdr:from>
    <xdr:to>
      <xdr:col>1</xdr:col>
      <xdr:colOff>2809875</xdr:colOff>
      <xdr:row>3</xdr:row>
      <xdr:rowOff>92075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9" y="119063"/>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or%20Relations\Earnings%20reports\Q408%20Earnings%20release\Supplementary\FINAL%20Q408%20Supp_June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estor%20Relations/Earnings%20reports/Q408%20Earnings%20release/Supplementary/FINAL%20Q408%20Supp_June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arnings%20Reports/F2012/Q2-12/Supp/Drafts/Q2%2012%20Supp%20Draft%201%20Oct%2012%20(sep%20foreign%20lo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arnings%20Reports\F2012\Q1-12\Supp\Drafts\Q1%2012%20Supp%20Draft%203%20Jul%2018%20(to%20Br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ver"/>
      <sheetName val="2 Table of Contents"/>
      <sheetName val="1 Financial Highlights"/>
      <sheetName val="2 Consolidated IS"/>
      <sheetName val="3 Canaccord Genuity"/>
      <sheetName val="4 Canaccord Wealth Mgmt"/>
      <sheetName val="5 Other"/>
      <sheetName val="6 Geographic Canada"/>
      <sheetName val="7 Geographic UK"/>
      <sheetName val="8 Geographic US"/>
      <sheetName val="9 Geographic Other Foreign Loc"/>
      <sheetName val="10 Balance Sheet"/>
      <sheetName val="11 Misc Operating Stats"/>
      <sheetName val="12 Equity Offerings"/>
      <sheetName val="13 Notes"/>
      <sheetName val="UK &amp; Foreign Loc"/>
      <sheetName val="PCS Fee Based Revenue"/>
      <sheetName val="CCI Stock Prices"/>
      <sheetName val="Total Shareholder Return"/>
      <sheetName val="ROE"/>
      <sheetName val="Normalized ROE"/>
      <sheetName val="PE Multiple"/>
      <sheetName val="Book Value"/>
      <sheetName val="PB Ratio"/>
      <sheetName val="Div Yield &amp; Payout Ratio"/>
      <sheetName val="NHI"/>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8">
          <cell r="I18">
            <v>155</v>
          </cell>
          <cell r="J18">
            <v>143</v>
          </cell>
          <cell r="K18">
            <v>140</v>
          </cell>
          <cell r="L18">
            <v>142</v>
          </cell>
          <cell r="M18">
            <v>137</v>
          </cell>
          <cell r="N18">
            <v>138</v>
          </cell>
          <cell r="O18">
            <v>136</v>
          </cell>
          <cell r="P18">
            <v>124</v>
          </cell>
          <cell r="Q18">
            <v>111</v>
          </cell>
          <cell r="R18">
            <v>114</v>
          </cell>
          <cell r="S18">
            <v>117</v>
          </cell>
          <cell r="T18">
            <v>127</v>
          </cell>
          <cell r="U18">
            <v>125</v>
          </cell>
          <cell r="V18">
            <v>125</v>
          </cell>
          <cell r="W18">
            <v>116</v>
          </cell>
          <cell r="X18">
            <v>109</v>
          </cell>
          <cell r="Y18">
            <v>104</v>
          </cell>
          <cell r="Z18">
            <v>93</v>
          </cell>
          <cell r="AA18">
            <v>95</v>
          </cell>
          <cell r="AB18">
            <v>89</v>
          </cell>
          <cell r="AC18">
            <v>88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ow r="83">
          <cell r="B83">
            <v>527556.98710000003</v>
          </cell>
          <cell r="C83">
            <v>542096.64943333331</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ver"/>
      <sheetName val="2 Table of Contents"/>
      <sheetName val="1 Financial Highlights"/>
      <sheetName val="2 Consolidated IS"/>
      <sheetName val="3 Canaccord Genuity"/>
      <sheetName val="4 Canaccord Wealth Mgmt"/>
      <sheetName val="5 Other"/>
      <sheetName val="6 Geographic Canada"/>
      <sheetName val="7 Geographic UK"/>
      <sheetName val="8 Geographic US"/>
      <sheetName val="9 Geographic Other Foreign Loc"/>
      <sheetName val="10 Balance Sheet"/>
      <sheetName val="11 Misc Operating Stats"/>
      <sheetName val="12 Equity Offerings"/>
      <sheetName val="13 Notes"/>
      <sheetName val="PCS Fee Based Revenue"/>
      <sheetName val="CCI Stock Prices"/>
      <sheetName val="Total Shareholder Return"/>
      <sheetName val="ROE"/>
      <sheetName val="Normalized ROE"/>
      <sheetName val="PE Multiple"/>
      <sheetName val="Book Value"/>
      <sheetName val="PB Ratio"/>
      <sheetName val="Div Yield &amp; Payout Ratio"/>
      <sheetName val="NHI"/>
      <sheetName val="UK &amp; Foreign Loc"/>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8">
          <cell r="I18">
            <v>154</v>
          </cell>
          <cell r="AL18">
            <v>113</v>
          </cell>
          <cell r="AM18">
            <v>124</v>
          </cell>
          <cell r="AN18">
            <v>92</v>
          </cell>
        </row>
      </sheetData>
      <sheetData sheetId="13"/>
      <sheetData sheetId="14"/>
      <sheetData sheetId="15"/>
      <sheetData sheetId="16"/>
      <sheetData sheetId="17"/>
      <sheetData sheetId="18"/>
      <sheetData sheetId="19"/>
      <sheetData sheetId="20"/>
      <sheetData sheetId="21"/>
      <sheetData sheetId="22"/>
      <sheetData sheetId="23"/>
      <sheetData sheetId="24">
        <row r="83">
          <cell r="B83">
            <v>527556.98710000003</v>
          </cell>
        </row>
      </sheetData>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63"/>
  <sheetViews>
    <sheetView tabSelected="1" zoomScaleNormal="100" workbookViewId="0">
      <selection activeCell="A41" sqref="A41:XFD43"/>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90"/>
    </row>
    <row r="5" spans="2:21" x14ac:dyDescent="0.2">
      <c r="I5" t="s">
        <v>44</v>
      </c>
    </row>
    <row r="6" spans="2:21" x14ac:dyDescent="0.2">
      <c r="C6" s="91"/>
    </row>
    <row r="13" spans="2:21" ht="28.5" customHeight="1" x14ac:dyDescent="0.4">
      <c r="D13" s="1357"/>
      <c r="E13" s="1358" t="s">
        <v>405</v>
      </c>
      <c r="F13" s="1357"/>
      <c r="G13" s="1357"/>
    </row>
    <row r="14" spans="2:21" x14ac:dyDescent="0.2">
      <c r="T14" s="103"/>
      <c r="U14" s="103"/>
    </row>
    <row r="15" spans="2:21" x14ac:dyDescent="0.2">
      <c r="T15" s="103"/>
      <c r="U15" s="103"/>
    </row>
    <row r="16" spans="2:21" ht="25.5" customHeight="1" x14ac:dyDescent="0.35">
      <c r="B16" s="1459" t="s">
        <v>45</v>
      </c>
      <c r="C16" s="1458"/>
      <c r="D16" s="1458"/>
      <c r="E16" s="1458"/>
      <c r="F16" s="1458"/>
      <c r="G16" s="1458"/>
      <c r="H16" s="1458"/>
      <c r="T16" s="103"/>
      <c r="U16" s="103"/>
    </row>
    <row r="17" spans="1:21" x14ac:dyDescent="0.2">
      <c r="T17" s="103"/>
      <c r="U17" s="103"/>
    </row>
    <row r="18" spans="1:21" ht="20.25" x14ac:dyDescent="0.3">
      <c r="E18" s="94" t="s">
        <v>448</v>
      </c>
      <c r="T18" s="103"/>
      <c r="U18" s="103"/>
    </row>
    <row r="19" spans="1:21" ht="18" customHeight="1" x14ac:dyDescent="0.2">
      <c r="B19" t="s">
        <v>44</v>
      </c>
      <c r="D19" s="95"/>
      <c r="E19" s="693" t="s">
        <v>449</v>
      </c>
      <c r="F19" s="95"/>
      <c r="T19" s="103"/>
      <c r="U19" s="103"/>
    </row>
    <row r="20" spans="1:21" x14ac:dyDescent="0.2">
      <c r="E20" s="96"/>
      <c r="T20" s="103"/>
      <c r="U20" s="103"/>
    </row>
    <row r="21" spans="1:21" x14ac:dyDescent="0.2">
      <c r="E21" s="97" t="s">
        <v>46</v>
      </c>
      <c r="T21" s="103"/>
      <c r="U21" s="103"/>
    </row>
    <row r="22" spans="1:21" x14ac:dyDescent="0.2">
      <c r="T22" s="103"/>
      <c r="U22" s="103"/>
    </row>
    <row r="23" spans="1:21" ht="29.25" customHeight="1" x14ac:dyDescent="0.35">
      <c r="E23" s="396"/>
      <c r="T23" s="103"/>
      <c r="U23" s="103"/>
    </row>
    <row r="24" spans="1:21" ht="23.25" customHeight="1" x14ac:dyDescent="0.3">
      <c r="B24" s="1457" t="s">
        <v>47</v>
      </c>
      <c r="C24" s="1458"/>
      <c r="D24" s="1458"/>
      <c r="E24" s="1458"/>
      <c r="F24" s="1458"/>
      <c r="G24" s="1458"/>
      <c r="H24" s="1458"/>
      <c r="T24" s="103"/>
      <c r="U24" s="103"/>
    </row>
    <row r="25" spans="1:21" s="721" customFormat="1" ht="23.25" customHeight="1" x14ac:dyDescent="0.3">
      <c r="B25" s="1409"/>
      <c r="C25" s="1410"/>
      <c r="D25" s="1410"/>
      <c r="E25" s="1410"/>
      <c r="F25" s="1410"/>
      <c r="G25" s="1410"/>
      <c r="H25" s="1410"/>
      <c r="T25" s="103"/>
      <c r="U25" s="103"/>
    </row>
    <row r="27" spans="1:21" x14ac:dyDescent="0.2">
      <c r="E27" s="1413" t="s">
        <v>48</v>
      </c>
    </row>
    <row r="29" spans="1:21" ht="12.75" customHeight="1" x14ac:dyDescent="0.2">
      <c r="A29" s="646"/>
      <c r="B29" s="103" t="s">
        <v>355</v>
      </c>
      <c r="C29" s="103"/>
      <c r="D29" s="107"/>
      <c r="E29" s="264" t="s">
        <v>356</v>
      </c>
      <c r="F29" s="1305"/>
      <c r="G29" s="103"/>
      <c r="I29" s="107" t="s">
        <v>357</v>
      </c>
    </row>
    <row r="30" spans="1:21" s="721" customFormat="1" ht="12.75" customHeight="1" x14ac:dyDescent="0.2">
      <c r="A30" s="646"/>
      <c r="B30" s="103"/>
      <c r="C30" s="103"/>
      <c r="D30" s="107"/>
      <c r="E30" s="1307"/>
      <c r="F30" s="1408"/>
      <c r="G30" s="103"/>
      <c r="I30" s="107"/>
    </row>
    <row r="31" spans="1:21" ht="12.75" customHeight="1" x14ac:dyDescent="0.2">
      <c r="B31" s="103" t="s">
        <v>429</v>
      </c>
      <c r="C31" s="1408"/>
      <c r="D31" s="1408"/>
      <c r="E31" s="1412" t="s">
        <v>430</v>
      </c>
      <c r="F31" s="1307"/>
      <c r="G31" s="98"/>
      <c r="I31" s="551" t="s">
        <v>431</v>
      </c>
    </row>
    <row r="33" spans="2:7" x14ac:dyDescent="0.2">
      <c r="D33" s="3"/>
      <c r="E33" s="99"/>
      <c r="F33" s="3"/>
      <c r="G33" s="3"/>
    </row>
    <row r="34" spans="2:7" x14ac:dyDescent="0.2">
      <c r="D34" s="2"/>
      <c r="E34" s="100"/>
      <c r="F34" s="2"/>
      <c r="G34" s="3"/>
    </row>
    <row r="35" spans="2:7" x14ac:dyDescent="0.2">
      <c r="D35" s="3"/>
      <c r="E35" s="101"/>
      <c r="F35" s="3"/>
      <c r="G35" s="3"/>
    </row>
    <row r="36" spans="2:7" x14ac:dyDescent="0.2">
      <c r="D36" s="3"/>
      <c r="E36" s="102"/>
      <c r="F36" s="3"/>
      <c r="G36" s="3"/>
    </row>
    <row r="39" spans="2:7" x14ac:dyDescent="0.2">
      <c r="G39" t="s">
        <v>44</v>
      </c>
    </row>
    <row r="44" spans="2:7" x14ac:dyDescent="0.2">
      <c r="G44" s="103"/>
    </row>
    <row r="45" spans="2:7" x14ac:dyDescent="0.2">
      <c r="G45" s="103"/>
    </row>
    <row r="46" spans="2:7" x14ac:dyDescent="0.2">
      <c r="G46" s="103"/>
    </row>
    <row r="47" spans="2:7" ht="14.25" x14ac:dyDescent="0.2">
      <c r="B47" s="124"/>
      <c r="G47" s="103"/>
    </row>
    <row r="48" spans="2:7" x14ac:dyDescent="0.2">
      <c r="B48" s="613"/>
      <c r="G48" s="103"/>
    </row>
    <row r="49" spans="1:34" x14ac:dyDescent="0.2">
      <c r="B49" s="613"/>
      <c r="G49" s="103"/>
    </row>
    <row r="53" spans="1:34" x14ac:dyDescent="0.2">
      <c r="I53" s="103"/>
      <c r="J53" s="103"/>
      <c r="K53" s="103"/>
    </row>
    <row r="54" spans="1:34" x14ac:dyDescent="0.2">
      <c r="I54" s="103"/>
      <c r="J54" s="103"/>
      <c r="K54" s="103"/>
    </row>
    <row r="55" spans="1:34" x14ac:dyDescent="0.2">
      <c r="I55" s="103"/>
      <c r="J55" s="103"/>
      <c r="K55" s="103"/>
    </row>
    <row r="56" spans="1:34" x14ac:dyDescent="0.2">
      <c r="A56" s="82"/>
      <c r="I56" s="103"/>
      <c r="J56" s="103"/>
      <c r="K56" s="103"/>
      <c r="M56" s="104"/>
      <c r="AA56" s="103"/>
      <c r="AG56" s="104"/>
    </row>
    <row r="57" spans="1:34" x14ac:dyDescent="0.2">
      <c r="A57" s="105"/>
      <c r="B57" s="106"/>
      <c r="C57" s="106"/>
      <c r="D57" s="106"/>
      <c r="E57" s="106"/>
      <c r="F57" s="106"/>
      <c r="G57" s="106"/>
      <c r="H57" s="106"/>
      <c r="I57" s="107"/>
      <c r="J57" s="107"/>
      <c r="K57" s="107"/>
      <c r="L57" s="106"/>
      <c r="M57" s="106"/>
      <c r="N57" s="106"/>
      <c r="O57" s="106"/>
      <c r="P57" s="106"/>
      <c r="Q57" s="106"/>
      <c r="R57" s="106"/>
      <c r="S57" s="106"/>
      <c r="T57" s="106"/>
      <c r="U57" s="106"/>
      <c r="V57" s="106"/>
      <c r="W57" s="106"/>
      <c r="X57" s="106"/>
      <c r="AA57" s="103"/>
    </row>
    <row r="58" spans="1:34" x14ac:dyDescent="0.2">
      <c r="I58" s="103"/>
      <c r="J58" s="103"/>
      <c r="K58" s="103"/>
      <c r="AA58" s="103"/>
    </row>
    <row r="59" spans="1:34" x14ac:dyDescent="0.2">
      <c r="I59" s="103"/>
      <c r="J59" s="103"/>
      <c r="K59" s="103"/>
    </row>
    <row r="63" spans="1:34" x14ac:dyDescent="0.2">
      <c r="T63" s="108"/>
      <c r="AH63" s="108"/>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01"/>
  <sheetViews>
    <sheetView topLeftCell="A41" zoomScaleNormal="100" zoomScaleSheetLayoutView="90" workbookViewId="0">
      <selection activeCell="A41" sqref="A41:XFD43"/>
    </sheetView>
  </sheetViews>
  <sheetFormatPr defaultRowHeight="12.75" x14ac:dyDescent="0.2"/>
  <cols>
    <col min="1" max="1" width="2.7109375" style="721" customWidth="1"/>
    <col min="2" max="2" width="46.5703125" style="721" customWidth="1"/>
    <col min="3" max="4" width="9.7109375" style="721" customWidth="1"/>
    <col min="5" max="5" width="1.5703125" style="722" customWidth="1"/>
    <col min="6" max="6" width="9.7109375" style="722" customWidth="1"/>
    <col min="7" max="7" width="7.28515625" style="722" bestFit="1" customWidth="1"/>
    <col min="8" max="8" width="9.28515625" style="722" customWidth="1"/>
    <col min="9" max="9" width="9.42578125" style="722" customWidth="1"/>
    <col min="10" max="12" width="9.28515625" style="722" customWidth="1"/>
    <col min="13" max="13" width="9.42578125" style="722" customWidth="1"/>
    <col min="14" max="14" width="9.28515625" style="722" customWidth="1"/>
    <col min="15" max="16" width="9.28515625" style="722" hidden="1" customWidth="1"/>
    <col min="17" max="18" width="9.42578125" style="722" hidden="1" customWidth="1"/>
    <col min="19" max="20" width="9.28515625" style="722" hidden="1" customWidth="1"/>
    <col min="21" max="22" width="9.42578125" style="722" hidden="1" customWidth="1"/>
    <col min="23" max="30" width="9.28515625" style="722" hidden="1" customWidth="1"/>
    <col min="31" max="32" width="9.7109375" style="722" hidden="1" customWidth="1"/>
    <col min="33" max="41" width="9.7109375" style="721" hidden="1" customWidth="1"/>
    <col min="42" max="42" width="1.5703125" style="721" customWidth="1"/>
    <col min="43" max="44" width="10" style="721" hidden="1" customWidth="1"/>
    <col min="45" max="45" width="10" style="721" customWidth="1"/>
    <col min="46" max="46" width="9.7109375" style="721" customWidth="1"/>
    <col min="47" max="47" width="1.5703125" style="721" customWidth="1"/>
    <col min="48" max="52" width="9.5703125" style="721" customWidth="1"/>
    <col min="53" max="59" width="9.7109375" style="721" hidden="1" customWidth="1"/>
    <col min="60" max="60" width="1.5703125" style="721" customWidth="1"/>
    <col min="61" max="61" width="9.140625" style="721"/>
    <col min="62" max="62" width="25.7109375" style="721" bestFit="1" customWidth="1"/>
    <col min="63" max="63" width="14.140625" style="721" bestFit="1" customWidth="1"/>
    <col min="64" max="64" width="12.85546875" style="721" customWidth="1"/>
    <col min="65" max="65" width="11.42578125" style="721" customWidth="1"/>
    <col min="66" max="16384" width="9.140625" style="721"/>
  </cols>
  <sheetData>
    <row r="1" spans="1:67" ht="9" customHeight="1" x14ac:dyDescent="0.2"/>
    <row r="3" spans="1:67" x14ac:dyDescent="0.2">
      <c r="AV3" s="516"/>
      <c r="AW3" s="516"/>
      <c r="AX3" s="516"/>
    </row>
    <row r="4" spans="1:67" x14ac:dyDescent="0.2">
      <c r="AV4" s="516"/>
      <c r="AW4" s="516"/>
      <c r="AX4" s="516"/>
    </row>
    <row r="5" spans="1:67" ht="6.75" customHeight="1" x14ac:dyDescent="0.2">
      <c r="A5" s="722"/>
      <c r="B5" s="722"/>
      <c r="C5" s="722"/>
      <c r="D5" s="722"/>
      <c r="AG5" s="722"/>
      <c r="AH5" s="722"/>
      <c r="AI5" s="722"/>
      <c r="AQ5" s="516"/>
    </row>
    <row r="6" spans="1:67" ht="18" customHeight="1" x14ac:dyDescent="0.2">
      <c r="A6" s="132" t="s">
        <v>390</v>
      </c>
      <c r="B6" s="722"/>
      <c r="C6" s="722"/>
      <c r="D6" s="722"/>
      <c r="F6" s="486"/>
      <c r="G6" s="486"/>
      <c r="H6" s="486"/>
      <c r="I6" s="486"/>
      <c r="J6" s="486"/>
      <c r="K6" s="486"/>
      <c r="L6" s="486"/>
      <c r="M6" s="486"/>
      <c r="N6" s="486"/>
      <c r="O6" s="486"/>
      <c r="P6" s="486"/>
      <c r="Q6" s="486"/>
      <c r="AG6" s="722"/>
      <c r="AH6" s="722"/>
      <c r="AI6" s="722"/>
      <c r="AQ6" s="516"/>
    </row>
    <row r="7" spans="1:67" ht="18" customHeight="1" x14ac:dyDescent="0.2">
      <c r="A7" s="164" t="s">
        <v>317</v>
      </c>
      <c r="B7" s="5"/>
      <c r="C7" s="5"/>
      <c r="D7" s="5"/>
      <c r="E7" s="5"/>
      <c r="F7" s="5"/>
      <c r="G7" s="5"/>
      <c r="H7" s="720"/>
      <c r="I7" s="720"/>
      <c r="J7" s="5"/>
      <c r="K7" s="5"/>
      <c r="L7" s="5"/>
      <c r="M7" s="5"/>
      <c r="N7" s="5"/>
      <c r="O7" s="5"/>
      <c r="P7" s="5"/>
      <c r="Q7" s="5"/>
      <c r="R7" s="5"/>
      <c r="S7" s="5"/>
      <c r="T7" s="5"/>
      <c r="U7" s="5"/>
      <c r="V7" s="5"/>
      <c r="W7" s="5"/>
      <c r="X7" s="5"/>
      <c r="Y7" s="5"/>
      <c r="Z7" s="5"/>
      <c r="AA7" s="5"/>
      <c r="AB7" s="5"/>
      <c r="AC7" s="5"/>
      <c r="AD7" s="5"/>
      <c r="AE7" s="5"/>
      <c r="AF7" s="5"/>
      <c r="AG7" s="722"/>
      <c r="AH7" s="722"/>
      <c r="AI7" s="722"/>
      <c r="AQ7" s="529"/>
    </row>
    <row r="8" spans="1:67" ht="15" x14ac:dyDescent="0.2">
      <c r="A8" s="760" t="s">
        <v>281</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722"/>
      <c r="AH8" s="722"/>
      <c r="AI8" s="722"/>
    </row>
    <row r="9" spans="1:67" ht="9.75" customHeight="1" x14ac:dyDescent="0.2">
      <c r="A9" s="2"/>
      <c r="B9" s="2"/>
      <c r="C9" s="2"/>
      <c r="D9" s="2"/>
      <c r="E9" s="2"/>
      <c r="F9" s="424"/>
      <c r="G9" s="424"/>
      <c r="H9" s="424"/>
      <c r="I9" s="2"/>
      <c r="J9" s="424"/>
      <c r="K9" s="424"/>
      <c r="L9" s="424"/>
      <c r="M9" s="2"/>
      <c r="N9" s="424"/>
      <c r="O9" s="424"/>
      <c r="P9" s="424"/>
      <c r="Q9" s="2"/>
      <c r="R9" s="424"/>
      <c r="S9" s="2"/>
      <c r="T9" s="424"/>
      <c r="U9" s="2"/>
      <c r="V9" s="424"/>
      <c r="W9" s="2"/>
      <c r="X9" s="424"/>
      <c r="Y9" s="2"/>
      <c r="Z9" s="424"/>
      <c r="AA9" s="2"/>
      <c r="AB9" s="424"/>
      <c r="AC9" s="2"/>
      <c r="AD9" s="424"/>
      <c r="AE9" s="2"/>
      <c r="AF9" s="2"/>
      <c r="AG9" s="722"/>
      <c r="AH9" s="722"/>
      <c r="AI9" s="722"/>
      <c r="AS9" s="552"/>
      <c r="AT9" s="552"/>
      <c r="BE9" s="722"/>
      <c r="BF9" s="722"/>
      <c r="BG9" s="722"/>
    </row>
    <row r="10" spans="1:67" x14ac:dyDescent="0.2">
      <c r="A10" s="6" t="s">
        <v>1</v>
      </c>
      <c r="B10" s="7"/>
      <c r="C10" s="1479" t="s">
        <v>447</v>
      </c>
      <c r="D10" s="1480"/>
      <c r="E10" s="256"/>
      <c r="F10" s="410"/>
      <c r="G10" s="410"/>
      <c r="H10" s="410"/>
      <c r="I10" s="19"/>
      <c r="J10" s="410"/>
      <c r="K10" s="410"/>
      <c r="L10" s="410"/>
      <c r="M10" s="19"/>
      <c r="N10" s="410"/>
      <c r="O10" s="410"/>
      <c r="P10" s="410"/>
      <c r="Q10" s="19"/>
      <c r="R10" s="17"/>
      <c r="S10" s="18"/>
      <c r="T10" s="410"/>
      <c r="U10" s="19"/>
      <c r="V10" s="17"/>
      <c r="W10" s="18"/>
      <c r="X10" s="410"/>
      <c r="Y10" s="19"/>
      <c r="AA10" s="18"/>
      <c r="AB10" s="2"/>
      <c r="AC10" s="19"/>
      <c r="AD10" s="18"/>
      <c r="AF10" s="410"/>
      <c r="AG10" s="19"/>
      <c r="AH10" s="18"/>
      <c r="AI10" s="18"/>
      <c r="AJ10" s="18"/>
      <c r="AK10" s="18"/>
      <c r="AL10" s="22"/>
      <c r="AM10" s="19"/>
      <c r="AN10" s="19"/>
      <c r="AO10" s="19"/>
      <c r="AP10" s="24"/>
      <c r="AQ10" s="661" t="s">
        <v>340</v>
      </c>
      <c r="AR10" s="647"/>
      <c r="AS10" s="647" t="s">
        <v>432</v>
      </c>
      <c r="AT10" s="648"/>
      <c r="AU10" s="15"/>
      <c r="AV10" s="87"/>
      <c r="AW10" s="87"/>
      <c r="AX10" s="87"/>
      <c r="AY10" s="87"/>
      <c r="AZ10" s="87"/>
      <c r="BA10" s="87"/>
      <c r="BB10" s="87"/>
      <c r="BC10" s="17"/>
      <c r="BD10" s="22"/>
      <c r="BE10" s="87"/>
      <c r="BF10" s="940"/>
      <c r="BG10" s="941"/>
      <c r="BH10" s="25"/>
    </row>
    <row r="11" spans="1:67" ht="13.5" x14ac:dyDescent="0.2">
      <c r="A11" s="6" t="s">
        <v>2</v>
      </c>
      <c r="B11" s="7"/>
      <c r="C11" s="1481" t="s">
        <v>39</v>
      </c>
      <c r="D11" s="1501"/>
      <c r="E11" s="667"/>
      <c r="F11" s="21" t="s">
        <v>425</v>
      </c>
      <c r="G11" s="21" t="s">
        <v>426</v>
      </c>
      <c r="H11" s="21" t="s">
        <v>427</v>
      </c>
      <c r="I11" s="14" t="s">
        <v>428</v>
      </c>
      <c r="J11" s="21" t="s">
        <v>363</v>
      </c>
      <c r="K11" s="21" t="s">
        <v>362</v>
      </c>
      <c r="L11" s="21" t="s">
        <v>361</v>
      </c>
      <c r="M11" s="14" t="s">
        <v>359</v>
      </c>
      <c r="N11" s="21" t="s">
        <v>302</v>
      </c>
      <c r="O11" s="21" t="s">
        <v>303</v>
      </c>
      <c r="P11" s="21" t="s">
        <v>304</v>
      </c>
      <c r="Q11" s="14" t="s">
        <v>305</v>
      </c>
      <c r="R11" s="20" t="s">
        <v>231</v>
      </c>
      <c r="S11" s="21" t="s">
        <v>232</v>
      </c>
      <c r="T11" s="21" t="s">
        <v>233</v>
      </c>
      <c r="U11" s="14" t="s">
        <v>230</v>
      </c>
      <c r="V11" s="20" t="s">
        <v>194</v>
      </c>
      <c r="W11" s="21" t="s">
        <v>195</v>
      </c>
      <c r="X11" s="21" t="s">
        <v>196</v>
      </c>
      <c r="Y11" s="14" t="s">
        <v>197</v>
      </c>
      <c r="Z11" s="21" t="s">
        <v>126</v>
      </c>
      <c r="AA11" s="21" t="s">
        <v>125</v>
      </c>
      <c r="AB11" s="21" t="s">
        <v>124</v>
      </c>
      <c r="AC11" s="14" t="s">
        <v>123</v>
      </c>
      <c r="AD11" s="21" t="s">
        <v>86</v>
      </c>
      <c r="AE11" s="21" t="s">
        <v>87</v>
      </c>
      <c r="AF11" s="21" t="s">
        <v>88</v>
      </c>
      <c r="AG11" s="14" t="s">
        <v>30</v>
      </c>
      <c r="AH11" s="21" t="s">
        <v>31</v>
      </c>
      <c r="AI11" s="21" t="s">
        <v>32</v>
      </c>
      <c r="AJ11" s="21" t="s">
        <v>33</v>
      </c>
      <c r="AK11" s="21" t="s">
        <v>34</v>
      </c>
      <c r="AL11" s="23" t="s">
        <v>35</v>
      </c>
      <c r="AM11" s="14" t="s">
        <v>36</v>
      </c>
      <c r="AN11" s="14" t="s">
        <v>37</v>
      </c>
      <c r="AO11" s="14" t="s">
        <v>38</v>
      </c>
      <c r="AP11" s="256"/>
      <c r="AQ11" s="21" t="s">
        <v>426</v>
      </c>
      <c r="AR11" s="21" t="s">
        <v>362</v>
      </c>
      <c r="AS11" s="1477" t="s">
        <v>39</v>
      </c>
      <c r="AT11" s="1478"/>
      <c r="AU11" s="668"/>
      <c r="AV11" s="20" t="s">
        <v>446</v>
      </c>
      <c r="AW11" s="20" t="s">
        <v>365</v>
      </c>
      <c r="AX11" s="20" t="s">
        <v>307</v>
      </c>
      <c r="AY11" s="20" t="s">
        <v>235</v>
      </c>
      <c r="AZ11" s="20" t="s">
        <v>128</v>
      </c>
      <c r="BA11" s="20" t="s">
        <v>127</v>
      </c>
      <c r="BB11" s="20" t="s">
        <v>43</v>
      </c>
      <c r="BC11" s="20" t="s">
        <v>40</v>
      </c>
      <c r="BD11" s="23" t="s">
        <v>41</v>
      </c>
      <c r="BE11" s="23" t="s">
        <v>146</v>
      </c>
      <c r="BF11" s="23" t="s">
        <v>147</v>
      </c>
      <c r="BG11" s="20" t="s">
        <v>148</v>
      </c>
      <c r="BH11" s="25"/>
      <c r="BI11" s="722"/>
      <c r="BJ11" s="722"/>
      <c r="BM11" s="722"/>
      <c r="BN11" s="722"/>
      <c r="BO11" s="722"/>
    </row>
    <row r="12" spans="1:67" x14ac:dyDescent="0.2">
      <c r="A12" s="6"/>
      <c r="B12" s="7"/>
      <c r="C12" s="630"/>
      <c r="D12" s="1247"/>
      <c r="E12" s="667"/>
      <c r="F12" s="633" t="s">
        <v>254</v>
      </c>
      <c r="G12" s="633" t="s">
        <v>254</v>
      </c>
      <c r="H12" s="633" t="s">
        <v>254</v>
      </c>
      <c r="I12" s="634" t="s">
        <v>254</v>
      </c>
      <c r="J12" s="633" t="s">
        <v>254</v>
      </c>
      <c r="K12" s="633" t="s">
        <v>254</v>
      </c>
      <c r="L12" s="633" t="s">
        <v>254</v>
      </c>
      <c r="M12" s="634" t="s">
        <v>254</v>
      </c>
      <c r="N12" s="633" t="s">
        <v>254</v>
      </c>
      <c r="O12" s="633" t="s">
        <v>254</v>
      </c>
      <c r="P12" s="633" t="s">
        <v>254</v>
      </c>
      <c r="Q12" s="634" t="s">
        <v>254</v>
      </c>
      <c r="R12" s="632" t="s">
        <v>254</v>
      </c>
      <c r="S12" s="633" t="s">
        <v>254</v>
      </c>
      <c r="T12" s="633" t="s">
        <v>254</v>
      </c>
      <c r="U12" s="634" t="s">
        <v>254</v>
      </c>
      <c r="V12" s="632" t="s">
        <v>254</v>
      </c>
      <c r="W12" s="633" t="s">
        <v>254</v>
      </c>
      <c r="X12" s="633" t="s">
        <v>254</v>
      </c>
      <c r="Y12" s="634" t="s">
        <v>254</v>
      </c>
      <c r="Z12" s="632" t="s">
        <v>255</v>
      </c>
      <c r="AA12" s="633" t="s">
        <v>255</v>
      </c>
      <c r="AB12" s="633" t="s">
        <v>255</v>
      </c>
      <c r="AC12" s="634" t="s">
        <v>255</v>
      </c>
      <c r="AD12" s="15"/>
      <c r="AE12" s="15"/>
      <c r="AF12" s="15"/>
      <c r="AG12" s="230"/>
      <c r="AH12" s="15"/>
      <c r="AI12" s="15"/>
      <c r="AJ12" s="15"/>
      <c r="AK12" s="15"/>
      <c r="AL12" s="256"/>
      <c r="AM12" s="230"/>
      <c r="AN12" s="230"/>
      <c r="AO12" s="230"/>
      <c r="AP12" s="256"/>
      <c r="AQ12" s="632" t="s">
        <v>254</v>
      </c>
      <c r="AR12" s="633" t="s">
        <v>254</v>
      </c>
      <c r="AS12" s="649"/>
      <c r="AT12" s="650"/>
      <c r="AU12" s="668"/>
      <c r="AV12" s="632" t="s">
        <v>254</v>
      </c>
      <c r="AW12" s="632" t="s">
        <v>254</v>
      </c>
      <c r="AX12" s="632" t="s">
        <v>254</v>
      </c>
      <c r="AY12" s="632" t="s">
        <v>254</v>
      </c>
      <c r="AZ12" s="632" t="s">
        <v>254</v>
      </c>
      <c r="BA12" s="632" t="s">
        <v>255</v>
      </c>
      <c r="BB12" s="632" t="s">
        <v>255</v>
      </c>
      <c r="BC12" s="632" t="s">
        <v>255</v>
      </c>
      <c r="BD12" s="635" t="s">
        <v>255</v>
      </c>
      <c r="BE12" s="256"/>
      <c r="BF12" s="256"/>
      <c r="BG12" s="229"/>
      <c r="BH12" s="25"/>
      <c r="BI12" s="722"/>
      <c r="BJ12" s="722"/>
      <c r="BM12" s="722"/>
      <c r="BN12" s="722"/>
      <c r="BO12" s="722"/>
    </row>
    <row r="13" spans="1:67" ht="12.75" customHeight="1" x14ac:dyDescent="0.2">
      <c r="A13" s="615" t="s">
        <v>64</v>
      </c>
      <c r="B13" s="8"/>
      <c r="C13" s="162"/>
      <c r="D13" s="164"/>
      <c r="E13" s="88"/>
      <c r="F13" s="725"/>
      <c r="G13" s="725"/>
      <c r="H13" s="725"/>
      <c r="I13" s="164"/>
      <c r="J13" s="725"/>
      <c r="K13" s="725"/>
      <c r="L13" s="725"/>
      <c r="M13" s="164"/>
      <c r="N13" s="725"/>
      <c r="O13" s="725"/>
      <c r="P13" s="725"/>
      <c r="Q13" s="164"/>
      <c r="R13" s="725"/>
      <c r="S13" s="725"/>
      <c r="T13" s="725"/>
      <c r="U13" s="164"/>
      <c r="V13" s="725"/>
      <c r="W13" s="725"/>
      <c r="X13" s="725"/>
      <c r="Y13" s="164"/>
      <c r="Z13" s="725"/>
      <c r="AA13" s="725"/>
      <c r="AB13" s="725"/>
      <c r="AC13" s="164"/>
      <c r="AD13" s="725"/>
      <c r="AE13" s="725"/>
      <c r="AF13" s="725"/>
      <c r="AG13" s="164"/>
      <c r="AH13" s="193"/>
      <c r="AI13" s="725"/>
      <c r="AJ13" s="725"/>
      <c r="AL13" s="22"/>
      <c r="AM13" s="26"/>
      <c r="AN13" s="26"/>
      <c r="AO13" s="19"/>
      <c r="AP13" s="88"/>
      <c r="AQ13" s="725"/>
      <c r="AR13" s="725"/>
      <c r="AS13" s="725"/>
      <c r="AT13" s="164"/>
      <c r="AU13" s="724"/>
      <c r="AV13" s="88"/>
      <c r="AW13" s="88"/>
      <c r="AX13" s="88"/>
      <c r="AY13" s="88"/>
      <c r="AZ13" s="88"/>
      <c r="BA13" s="88"/>
      <c r="BB13" s="88"/>
      <c r="BC13" s="162"/>
      <c r="BD13" s="88"/>
      <c r="BE13" s="310"/>
      <c r="BF13" s="310"/>
      <c r="BG13" s="698"/>
      <c r="BH13" s="25"/>
      <c r="BI13" s="722"/>
      <c r="BJ13" s="722"/>
      <c r="BM13" s="722"/>
    </row>
    <row r="14" spans="1:67" ht="12.75" customHeight="1" x14ac:dyDescent="0.2">
      <c r="A14" s="7"/>
      <c r="B14" s="731" t="s">
        <v>89</v>
      </c>
      <c r="C14" s="686">
        <v>1157</v>
      </c>
      <c r="D14" s="742">
        <v>3.6760500730761897E-2</v>
      </c>
      <c r="E14" s="741"/>
      <c r="F14" s="748">
        <v>32631</v>
      </c>
      <c r="G14" s="748">
        <v>27990</v>
      </c>
      <c r="H14" s="748">
        <v>31234</v>
      </c>
      <c r="I14" s="213">
        <v>32117</v>
      </c>
      <c r="J14" s="748">
        <v>31474</v>
      </c>
      <c r="K14" s="748">
        <v>27430</v>
      </c>
      <c r="L14" s="748">
        <v>24056</v>
      </c>
      <c r="M14" s="213">
        <v>26384</v>
      </c>
      <c r="N14" s="748">
        <v>31741</v>
      </c>
      <c r="O14" s="748">
        <v>34481</v>
      </c>
      <c r="P14" s="748">
        <v>35280</v>
      </c>
      <c r="Q14" s="213">
        <v>36123</v>
      </c>
      <c r="R14" s="748">
        <v>51747</v>
      </c>
      <c r="S14" s="748">
        <v>43765</v>
      </c>
      <c r="T14" s="748">
        <v>46616</v>
      </c>
      <c r="U14" s="213">
        <v>53600</v>
      </c>
      <c r="V14" s="748">
        <v>71218</v>
      </c>
      <c r="W14" s="748">
        <v>67044</v>
      </c>
      <c r="X14" s="748">
        <v>43529</v>
      </c>
      <c r="Y14" s="213">
        <v>46307</v>
      </c>
      <c r="Z14" s="748">
        <v>54086</v>
      </c>
      <c r="AA14" s="748">
        <v>50900</v>
      </c>
      <c r="AB14" s="748">
        <v>39596</v>
      </c>
      <c r="AC14" s="213">
        <v>39676</v>
      </c>
      <c r="AD14" s="748">
        <v>36739</v>
      </c>
      <c r="AE14" s="748">
        <v>33072</v>
      </c>
      <c r="AF14" s="748">
        <v>43016</v>
      </c>
      <c r="AG14" s="213">
        <v>56801</v>
      </c>
      <c r="AH14" s="173">
        <v>53686</v>
      </c>
      <c r="AI14" s="165">
        <v>60447</v>
      </c>
      <c r="AJ14" s="165">
        <v>56588</v>
      </c>
      <c r="AK14" s="166">
        <v>74990</v>
      </c>
      <c r="AL14" s="616">
        <v>74727</v>
      </c>
      <c r="AM14" s="166">
        <v>67907</v>
      </c>
      <c r="AN14" s="166">
        <v>54960</v>
      </c>
      <c r="AO14" s="166">
        <v>70996</v>
      </c>
      <c r="AP14" s="88"/>
      <c r="AQ14" s="730">
        <v>91341</v>
      </c>
      <c r="AR14" s="730">
        <v>77870</v>
      </c>
      <c r="AS14" s="754">
        <v>14628</v>
      </c>
      <c r="AT14" s="45">
        <v>0.13377963125548728</v>
      </c>
      <c r="AU14" s="724"/>
      <c r="AV14" s="565">
        <v>123972</v>
      </c>
      <c r="AW14" s="565">
        <v>109344</v>
      </c>
      <c r="AX14" s="744">
        <v>137625</v>
      </c>
      <c r="AY14" s="744">
        <v>195728</v>
      </c>
      <c r="AZ14" s="744">
        <v>228098</v>
      </c>
      <c r="BA14" s="744">
        <v>184258</v>
      </c>
      <c r="BB14" s="744">
        <v>169628</v>
      </c>
      <c r="BC14" s="744">
        <v>245711</v>
      </c>
      <c r="BD14" s="744">
        <v>268590</v>
      </c>
      <c r="BE14" s="311">
        <v>223925</v>
      </c>
      <c r="BF14" s="311">
        <v>178176</v>
      </c>
      <c r="BG14" s="311">
        <v>175983</v>
      </c>
      <c r="BH14" s="725"/>
      <c r="BJ14" s="722"/>
      <c r="BM14" s="722"/>
    </row>
    <row r="15" spans="1:67" ht="12.75" customHeight="1" x14ac:dyDescent="0.2">
      <c r="A15" s="7"/>
      <c r="B15" s="731" t="s">
        <v>206</v>
      </c>
      <c r="C15" s="686">
        <v>-94</v>
      </c>
      <c r="D15" s="742">
        <v>-0.17343173431734318</v>
      </c>
      <c r="E15" s="741"/>
      <c r="F15" s="748">
        <v>448</v>
      </c>
      <c r="G15" s="748">
        <v>277</v>
      </c>
      <c r="H15" s="748">
        <v>403</v>
      </c>
      <c r="I15" s="213">
        <v>239</v>
      </c>
      <c r="J15" s="748">
        <v>542</v>
      </c>
      <c r="K15" s="748">
        <v>289</v>
      </c>
      <c r="L15" s="748">
        <v>357</v>
      </c>
      <c r="M15" s="213">
        <v>458</v>
      </c>
      <c r="N15" s="748">
        <v>482</v>
      </c>
      <c r="O15" s="748">
        <v>570</v>
      </c>
      <c r="P15" s="748">
        <v>534</v>
      </c>
      <c r="Q15" s="213">
        <v>644</v>
      </c>
      <c r="R15" s="748">
        <v>790</v>
      </c>
      <c r="S15" s="748">
        <v>806</v>
      </c>
      <c r="T15" s="748">
        <v>796</v>
      </c>
      <c r="U15" s="213">
        <v>1183</v>
      </c>
      <c r="V15" s="748">
        <v>1486</v>
      </c>
      <c r="W15" s="748">
        <v>1555</v>
      </c>
      <c r="X15" s="748">
        <v>1010</v>
      </c>
      <c r="Y15" s="213">
        <v>900</v>
      </c>
      <c r="Z15" s="748">
        <v>904</v>
      </c>
      <c r="AA15" s="748">
        <v>833</v>
      </c>
      <c r="AB15" s="748">
        <v>542</v>
      </c>
      <c r="AC15" s="213">
        <v>509</v>
      </c>
      <c r="AD15" s="748">
        <v>516</v>
      </c>
      <c r="AE15" s="748">
        <v>460</v>
      </c>
      <c r="AF15" s="748">
        <v>828</v>
      </c>
      <c r="AG15" s="213">
        <v>1052</v>
      </c>
      <c r="AH15" s="172">
        <v>777</v>
      </c>
      <c r="AI15" s="209">
        <v>719</v>
      </c>
      <c r="AJ15" s="209">
        <v>827</v>
      </c>
      <c r="AK15" s="730">
        <v>1093</v>
      </c>
      <c r="AL15" s="616">
        <v>1149</v>
      </c>
      <c r="AM15" s="166">
        <v>924</v>
      </c>
      <c r="AN15" s="166">
        <v>666</v>
      </c>
      <c r="AO15" s="166">
        <v>1290</v>
      </c>
      <c r="AP15" s="88"/>
      <c r="AQ15" s="730">
        <v>919</v>
      </c>
      <c r="AR15" s="730">
        <v>1104</v>
      </c>
      <c r="AS15" s="754">
        <v>-279</v>
      </c>
      <c r="AT15" s="45">
        <v>-0.16950182260024302</v>
      </c>
      <c r="AU15" s="724"/>
      <c r="AV15" s="565">
        <v>1367</v>
      </c>
      <c r="AW15" s="565">
        <v>1646</v>
      </c>
      <c r="AX15" s="744">
        <v>2230</v>
      </c>
      <c r="AY15" s="744">
        <v>3575</v>
      </c>
      <c r="AZ15" s="744">
        <v>4951</v>
      </c>
      <c r="BA15" s="744">
        <v>2788</v>
      </c>
      <c r="BB15" s="744">
        <v>2856</v>
      </c>
      <c r="BC15" s="744">
        <v>3416</v>
      </c>
      <c r="BD15" s="744">
        <v>4029</v>
      </c>
      <c r="BE15" s="311">
        <v>1269</v>
      </c>
      <c r="BF15" s="311">
        <v>0</v>
      </c>
      <c r="BG15" s="311">
        <v>0</v>
      </c>
      <c r="BH15" s="725"/>
      <c r="BJ15" s="722"/>
      <c r="BM15" s="722"/>
    </row>
    <row r="16" spans="1:67" ht="12.75" customHeight="1" x14ac:dyDescent="0.2">
      <c r="A16" s="8"/>
      <c r="B16" s="7"/>
      <c r="C16" s="167">
        <v>1063</v>
      </c>
      <c r="D16" s="168">
        <v>3.3202148925537231E-2</v>
      </c>
      <c r="E16" s="741"/>
      <c r="F16" s="406">
        <v>33079</v>
      </c>
      <c r="G16" s="406">
        <v>28267</v>
      </c>
      <c r="H16" s="406">
        <v>31637</v>
      </c>
      <c r="I16" s="218">
        <v>32356</v>
      </c>
      <c r="J16" s="406">
        <v>32016</v>
      </c>
      <c r="K16" s="406">
        <v>27719</v>
      </c>
      <c r="L16" s="406">
        <v>24413</v>
      </c>
      <c r="M16" s="218">
        <v>26842</v>
      </c>
      <c r="N16" s="406">
        <v>32223</v>
      </c>
      <c r="O16" s="406">
        <v>35051</v>
      </c>
      <c r="P16" s="406">
        <v>35814</v>
      </c>
      <c r="Q16" s="218">
        <v>36767</v>
      </c>
      <c r="R16" s="406">
        <v>52537</v>
      </c>
      <c r="S16" s="406">
        <v>44571</v>
      </c>
      <c r="T16" s="406">
        <v>47412</v>
      </c>
      <c r="U16" s="218">
        <v>54783</v>
      </c>
      <c r="V16" s="406">
        <v>72704</v>
      </c>
      <c r="W16" s="406">
        <v>68599</v>
      </c>
      <c r="X16" s="406">
        <v>44539</v>
      </c>
      <c r="Y16" s="218">
        <v>47207</v>
      </c>
      <c r="Z16" s="406">
        <v>54990</v>
      </c>
      <c r="AA16" s="406">
        <v>51733</v>
      </c>
      <c r="AB16" s="406">
        <v>40138</v>
      </c>
      <c r="AC16" s="218">
        <v>40185</v>
      </c>
      <c r="AD16" s="406">
        <v>37255</v>
      </c>
      <c r="AE16" s="406">
        <v>33532</v>
      </c>
      <c r="AF16" s="406">
        <v>43844</v>
      </c>
      <c r="AG16" s="218">
        <v>57853</v>
      </c>
      <c r="AH16" s="176">
        <v>54463</v>
      </c>
      <c r="AI16" s="217">
        <v>61166</v>
      </c>
      <c r="AJ16" s="217">
        <v>57415</v>
      </c>
      <c r="AK16" s="217">
        <v>76083</v>
      </c>
      <c r="AL16" s="169">
        <v>75876</v>
      </c>
      <c r="AM16" s="218">
        <v>68831</v>
      </c>
      <c r="AN16" s="218">
        <v>55626</v>
      </c>
      <c r="AO16" s="218">
        <v>72286</v>
      </c>
      <c r="AP16" s="88"/>
      <c r="AQ16" s="818">
        <v>92260</v>
      </c>
      <c r="AR16" s="818">
        <v>78974</v>
      </c>
      <c r="AS16" s="1327">
        <v>14349</v>
      </c>
      <c r="AT16" s="168">
        <v>0.12928191728984592</v>
      </c>
      <c r="AU16" s="724"/>
      <c r="AV16" s="199">
        <v>125339</v>
      </c>
      <c r="AW16" s="199">
        <v>110990</v>
      </c>
      <c r="AX16" s="199">
        <v>139855</v>
      </c>
      <c r="AY16" s="199">
        <v>199303</v>
      </c>
      <c r="AZ16" s="199">
        <v>233049</v>
      </c>
      <c r="BA16" s="199">
        <v>187046</v>
      </c>
      <c r="BB16" s="199">
        <v>172484</v>
      </c>
      <c r="BC16" s="199">
        <v>249127</v>
      </c>
      <c r="BD16" s="199">
        <v>272619</v>
      </c>
      <c r="BE16" s="312">
        <v>225194</v>
      </c>
      <c r="BF16" s="312">
        <v>178176</v>
      </c>
      <c r="BG16" s="312">
        <v>175983</v>
      </c>
      <c r="BH16" s="725"/>
      <c r="BJ16" s="722"/>
      <c r="BM16" s="722"/>
    </row>
    <row r="17" spans="1:65" ht="12.75" customHeight="1" x14ac:dyDescent="0.2">
      <c r="A17" s="615" t="s">
        <v>5</v>
      </c>
      <c r="B17" s="7"/>
      <c r="C17" s="686"/>
      <c r="D17" s="742"/>
      <c r="E17" s="741"/>
      <c r="F17" s="748"/>
      <c r="G17" s="748"/>
      <c r="H17" s="748"/>
      <c r="I17" s="213"/>
      <c r="J17" s="748"/>
      <c r="K17" s="748"/>
      <c r="L17" s="748"/>
      <c r="M17" s="213"/>
      <c r="N17" s="748"/>
      <c r="O17" s="748"/>
      <c r="P17" s="748"/>
      <c r="Q17" s="213"/>
      <c r="R17" s="748"/>
      <c r="S17" s="748"/>
      <c r="T17" s="748"/>
      <c r="U17" s="213"/>
      <c r="V17" s="748"/>
      <c r="W17" s="748"/>
      <c r="X17" s="748"/>
      <c r="Y17" s="213"/>
      <c r="Z17" s="748"/>
      <c r="AA17" s="748"/>
      <c r="AB17" s="748"/>
      <c r="AC17" s="213"/>
      <c r="AD17" s="748"/>
      <c r="AE17" s="748"/>
      <c r="AF17" s="748"/>
      <c r="AG17" s="213"/>
      <c r="AH17" s="172"/>
      <c r="AI17" s="209"/>
      <c r="AJ17" s="209"/>
      <c r="AK17" s="209"/>
      <c r="AL17" s="728"/>
      <c r="AM17" s="213"/>
      <c r="AN17" s="213"/>
      <c r="AO17" s="213"/>
      <c r="AP17" s="88"/>
      <c r="AQ17" s="730"/>
      <c r="AR17" s="730">
        <v>0</v>
      </c>
      <c r="AS17" s="754"/>
      <c r="AT17" s="742"/>
      <c r="AU17" s="724"/>
      <c r="AV17" s="200"/>
      <c r="AW17" s="200"/>
      <c r="AX17" s="200"/>
      <c r="AY17" s="200"/>
      <c r="AZ17" s="200"/>
      <c r="BA17" s="200"/>
      <c r="BB17" s="200"/>
      <c r="BC17" s="744"/>
      <c r="BD17" s="744"/>
      <c r="BE17" s="311"/>
      <c r="BF17" s="311"/>
      <c r="BG17" s="311"/>
      <c r="BH17" s="725"/>
      <c r="BJ17" s="722"/>
      <c r="BM17" s="722"/>
    </row>
    <row r="18" spans="1:65" ht="12.75" customHeight="1" x14ac:dyDescent="0.2">
      <c r="A18" s="615"/>
      <c r="B18" s="7" t="s">
        <v>333</v>
      </c>
      <c r="C18" s="686">
        <v>1125</v>
      </c>
      <c r="D18" s="742">
        <v>7.2543203507866902E-2</v>
      </c>
      <c r="E18" s="741"/>
      <c r="F18" s="748">
        <v>16633</v>
      </c>
      <c r="G18" s="748">
        <v>13690</v>
      </c>
      <c r="H18" s="748">
        <v>15480</v>
      </c>
      <c r="I18" s="213">
        <v>16487</v>
      </c>
      <c r="J18" s="748">
        <v>15508</v>
      </c>
      <c r="K18" s="748">
        <v>13476</v>
      </c>
      <c r="L18" s="748">
        <v>12048</v>
      </c>
      <c r="M18" s="213">
        <v>12789</v>
      </c>
      <c r="N18" s="748">
        <v>15948</v>
      </c>
      <c r="O18" s="748">
        <v>16167</v>
      </c>
      <c r="P18" s="748">
        <v>17541</v>
      </c>
      <c r="Q18" s="213">
        <v>17968</v>
      </c>
      <c r="R18" s="748">
        <v>24803</v>
      </c>
      <c r="S18" s="748">
        <v>21369</v>
      </c>
      <c r="T18" s="748">
        <v>22217</v>
      </c>
      <c r="U18" s="213">
        <v>27227</v>
      </c>
      <c r="V18" s="748">
        <v>33880</v>
      </c>
      <c r="W18" s="748">
        <v>33144</v>
      </c>
      <c r="X18" s="748">
        <v>20664</v>
      </c>
      <c r="Y18" s="213"/>
      <c r="Z18" s="748"/>
      <c r="AA18" s="748"/>
      <c r="AB18" s="748"/>
      <c r="AC18" s="213"/>
      <c r="AD18" s="748"/>
      <c r="AE18" s="748"/>
      <c r="AF18" s="748"/>
      <c r="AG18" s="213"/>
      <c r="AH18" s="172"/>
      <c r="AI18" s="209"/>
      <c r="AJ18" s="209"/>
      <c r="AK18" s="209"/>
      <c r="AL18" s="728"/>
      <c r="AM18" s="213"/>
      <c r="AN18" s="213"/>
      <c r="AO18" s="213"/>
      <c r="AP18" s="88"/>
      <c r="AQ18" s="730">
        <v>45657</v>
      </c>
      <c r="AR18" s="730">
        <v>38313</v>
      </c>
      <c r="AS18" s="754">
        <v>8469</v>
      </c>
      <c r="AT18" s="742">
        <v>0.15735493580572638</v>
      </c>
      <c r="AU18" s="724"/>
      <c r="AV18" s="565">
        <v>62290</v>
      </c>
      <c r="AW18" s="565">
        <v>53821</v>
      </c>
      <c r="AX18" s="744">
        <v>67624</v>
      </c>
      <c r="AY18" s="744">
        <v>95616</v>
      </c>
      <c r="AZ18" s="744">
        <v>110021</v>
      </c>
      <c r="BA18" s="744">
        <v>83777</v>
      </c>
      <c r="BB18" s="744">
        <v>74307</v>
      </c>
      <c r="BC18" s="744">
        <v>111803</v>
      </c>
      <c r="BD18" s="744"/>
      <c r="BE18" s="311"/>
      <c r="BF18" s="311"/>
      <c r="BG18" s="311"/>
      <c r="BH18" s="725"/>
      <c r="BJ18" s="722"/>
      <c r="BM18" s="722"/>
    </row>
    <row r="19" spans="1:65" ht="12.75" customHeight="1" x14ac:dyDescent="0.2">
      <c r="A19" s="615"/>
      <c r="B19" s="7" t="s">
        <v>334</v>
      </c>
      <c r="C19" s="404">
        <v>-1516</v>
      </c>
      <c r="D19" s="147">
        <v>-1.2128000000000001</v>
      </c>
      <c r="E19" s="741"/>
      <c r="F19" s="408">
        <v>-266</v>
      </c>
      <c r="G19" s="408">
        <v>290</v>
      </c>
      <c r="H19" s="408">
        <v>229</v>
      </c>
      <c r="I19" s="216">
        <v>270</v>
      </c>
      <c r="J19" s="408">
        <v>1250</v>
      </c>
      <c r="K19" s="408">
        <v>598</v>
      </c>
      <c r="L19" s="408">
        <v>557</v>
      </c>
      <c r="M19" s="216">
        <v>295</v>
      </c>
      <c r="N19" s="408">
        <v>1365</v>
      </c>
      <c r="O19" s="408">
        <v>2014</v>
      </c>
      <c r="P19" s="408">
        <v>2256</v>
      </c>
      <c r="Q19" s="216">
        <v>1064</v>
      </c>
      <c r="R19" s="408">
        <v>1048</v>
      </c>
      <c r="S19" s="408">
        <v>1175</v>
      </c>
      <c r="T19" s="408">
        <v>1559</v>
      </c>
      <c r="U19" s="216">
        <v>999</v>
      </c>
      <c r="V19" s="408">
        <v>1641</v>
      </c>
      <c r="W19" s="408">
        <v>2757</v>
      </c>
      <c r="X19" s="408">
        <v>897</v>
      </c>
      <c r="Y19" s="213"/>
      <c r="Z19" s="748"/>
      <c r="AA19" s="748"/>
      <c r="AB19" s="748"/>
      <c r="AC19" s="213"/>
      <c r="AD19" s="748"/>
      <c r="AE19" s="748"/>
      <c r="AF19" s="748"/>
      <c r="AG19" s="213"/>
      <c r="AH19" s="172"/>
      <c r="AI19" s="209"/>
      <c r="AJ19" s="209"/>
      <c r="AK19" s="209"/>
      <c r="AL19" s="728"/>
      <c r="AM19" s="213"/>
      <c r="AN19" s="213"/>
      <c r="AO19" s="213"/>
      <c r="AP19" s="88"/>
      <c r="AQ19" s="343">
        <v>789</v>
      </c>
      <c r="AR19" s="343">
        <v>1450</v>
      </c>
      <c r="AS19" s="156">
        <v>-2177</v>
      </c>
      <c r="AT19" s="147">
        <v>-0.80629629629629629</v>
      </c>
      <c r="AU19" s="724"/>
      <c r="AV19" s="1396">
        <v>523</v>
      </c>
      <c r="AW19" s="1396">
        <v>2700</v>
      </c>
      <c r="AX19" s="204">
        <v>6699</v>
      </c>
      <c r="AY19" s="204">
        <v>4781</v>
      </c>
      <c r="AZ19" s="204">
        <v>6243</v>
      </c>
      <c r="BA19" s="204">
        <v>4813</v>
      </c>
      <c r="BB19" s="204">
        <v>76</v>
      </c>
      <c r="BC19" s="204">
        <v>3837</v>
      </c>
      <c r="BD19" s="744"/>
      <c r="BE19" s="311"/>
      <c r="BF19" s="311"/>
      <c r="BG19" s="311"/>
      <c r="BH19" s="725"/>
      <c r="BJ19" s="722"/>
      <c r="BM19" s="722"/>
    </row>
    <row r="20" spans="1:65" ht="12.75" customHeight="1" x14ac:dyDescent="0.2">
      <c r="A20" s="8"/>
      <c r="B20" s="724" t="s">
        <v>218</v>
      </c>
      <c r="C20" s="686">
        <v>-391</v>
      </c>
      <c r="D20" s="742">
        <v>-2.3332139873493259E-2</v>
      </c>
      <c r="E20" s="741"/>
      <c r="F20" s="748">
        <v>16367</v>
      </c>
      <c r="G20" s="748">
        <v>13980</v>
      </c>
      <c r="H20" s="748">
        <v>15709</v>
      </c>
      <c r="I20" s="269">
        <v>16757</v>
      </c>
      <c r="J20" s="748">
        <v>16758</v>
      </c>
      <c r="K20" s="748">
        <v>14074</v>
      </c>
      <c r="L20" s="748">
        <v>12605</v>
      </c>
      <c r="M20" s="213">
        <v>13084</v>
      </c>
      <c r="N20" s="748">
        <v>17313</v>
      </c>
      <c r="O20" s="748">
        <v>18181</v>
      </c>
      <c r="P20" s="748">
        <v>19797</v>
      </c>
      <c r="Q20" s="213">
        <v>19032</v>
      </c>
      <c r="R20" s="748">
        <v>25851</v>
      </c>
      <c r="S20" s="748">
        <v>22544</v>
      </c>
      <c r="T20" s="748">
        <v>23776</v>
      </c>
      <c r="U20" s="213">
        <v>28226</v>
      </c>
      <c r="V20" s="748">
        <v>35521</v>
      </c>
      <c r="W20" s="748">
        <v>35901</v>
      </c>
      <c r="X20" s="748">
        <v>21561</v>
      </c>
      <c r="Y20" s="213">
        <v>23281</v>
      </c>
      <c r="Z20" s="748">
        <v>26203</v>
      </c>
      <c r="AA20" s="748">
        <v>24376</v>
      </c>
      <c r="AB20" s="748">
        <v>19368</v>
      </c>
      <c r="AC20" s="213">
        <v>18643</v>
      </c>
      <c r="AD20" s="748">
        <v>13122</v>
      </c>
      <c r="AE20" s="748">
        <v>14195</v>
      </c>
      <c r="AF20" s="748">
        <v>20116</v>
      </c>
      <c r="AG20" s="213">
        <v>26950</v>
      </c>
      <c r="AH20" s="172">
        <v>24166</v>
      </c>
      <c r="AI20" s="209">
        <v>28443</v>
      </c>
      <c r="AJ20" s="209">
        <v>25351</v>
      </c>
      <c r="AK20" s="209">
        <v>37680</v>
      </c>
      <c r="AL20" s="728">
        <v>36567</v>
      </c>
      <c r="AM20" s="213">
        <v>31848</v>
      </c>
      <c r="AN20" s="213">
        <v>24885</v>
      </c>
      <c r="AO20" s="213">
        <v>33368</v>
      </c>
      <c r="AP20" s="88"/>
      <c r="AQ20" s="730">
        <v>46446</v>
      </c>
      <c r="AR20" s="730">
        <v>39763</v>
      </c>
      <c r="AS20" s="754">
        <v>6292</v>
      </c>
      <c r="AT20" s="742">
        <v>0.11132145574211355</v>
      </c>
      <c r="AU20" s="724"/>
      <c r="AV20" s="744">
        <v>62813</v>
      </c>
      <c r="AW20" s="744">
        <v>56521</v>
      </c>
      <c r="AX20" s="744">
        <v>74323</v>
      </c>
      <c r="AY20" s="744">
        <v>100397</v>
      </c>
      <c r="AZ20" s="744">
        <v>116264</v>
      </c>
      <c r="BA20" s="744">
        <v>88590</v>
      </c>
      <c r="BB20" s="744">
        <v>74383</v>
      </c>
      <c r="BC20" s="744">
        <v>115640</v>
      </c>
      <c r="BD20" s="744">
        <v>126668</v>
      </c>
      <c r="BE20" s="311">
        <v>105283</v>
      </c>
      <c r="BF20" s="311">
        <v>84396</v>
      </c>
      <c r="BG20" s="311">
        <v>82758</v>
      </c>
      <c r="BH20" s="725"/>
      <c r="BJ20" s="722"/>
      <c r="BM20" s="722"/>
    </row>
    <row r="21" spans="1:65" ht="12.75" customHeight="1" x14ac:dyDescent="0.2">
      <c r="A21" s="8"/>
      <c r="B21" s="731" t="s">
        <v>69</v>
      </c>
      <c r="C21" s="686">
        <v>-514</v>
      </c>
      <c r="D21" s="742">
        <v>-0.12891898670679708</v>
      </c>
      <c r="E21" s="741"/>
      <c r="F21" s="748">
        <v>3473</v>
      </c>
      <c r="G21" s="748">
        <v>2565</v>
      </c>
      <c r="H21" s="748">
        <v>2887</v>
      </c>
      <c r="I21" s="213">
        <v>3263</v>
      </c>
      <c r="J21" s="748">
        <v>3987</v>
      </c>
      <c r="K21" s="748">
        <v>2854</v>
      </c>
      <c r="L21" s="748">
        <v>2644</v>
      </c>
      <c r="M21" s="213">
        <v>3775</v>
      </c>
      <c r="N21" s="748">
        <v>3521</v>
      </c>
      <c r="O21" s="748">
        <v>3216</v>
      </c>
      <c r="P21" s="748">
        <v>3404</v>
      </c>
      <c r="Q21" s="213">
        <v>3704</v>
      </c>
      <c r="R21" s="748">
        <v>4557</v>
      </c>
      <c r="S21" s="748">
        <v>3437</v>
      </c>
      <c r="T21" s="748">
        <v>3327</v>
      </c>
      <c r="U21" s="213">
        <v>3938</v>
      </c>
      <c r="V21" s="748">
        <v>5565</v>
      </c>
      <c r="W21" s="748">
        <v>3601</v>
      </c>
      <c r="X21" s="748">
        <v>4817</v>
      </c>
      <c r="Y21" s="213">
        <v>3882</v>
      </c>
      <c r="Z21" s="748">
        <v>5573</v>
      </c>
      <c r="AA21" s="748">
        <v>4015</v>
      </c>
      <c r="AB21" s="748">
        <v>4360</v>
      </c>
      <c r="AC21" s="213">
        <v>4246</v>
      </c>
      <c r="AD21" s="748">
        <v>4505</v>
      </c>
      <c r="AE21" s="748">
        <v>3057</v>
      </c>
      <c r="AF21" s="748">
        <v>3477</v>
      </c>
      <c r="AG21" s="213">
        <v>3781</v>
      </c>
      <c r="AH21" s="172">
        <v>4683</v>
      </c>
      <c r="AI21" s="209">
        <v>3272</v>
      </c>
      <c r="AJ21" s="209">
        <v>3510</v>
      </c>
      <c r="AK21" s="209">
        <v>4049</v>
      </c>
      <c r="AL21" s="728">
        <v>4303</v>
      </c>
      <c r="AM21" s="213">
        <v>3039</v>
      </c>
      <c r="AN21" s="213">
        <v>2854</v>
      </c>
      <c r="AO21" s="213">
        <v>3430</v>
      </c>
      <c r="AP21" s="88"/>
      <c r="AQ21" s="730">
        <v>8715</v>
      </c>
      <c r="AR21" s="730">
        <v>9273</v>
      </c>
      <c r="AS21" s="754">
        <v>-1072</v>
      </c>
      <c r="AT21" s="742">
        <v>-8.0844645550527908E-2</v>
      </c>
      <c r="AU21" s="724"/>
      <c r="AV21" s="565">
        <v>12188</v>
      </c>
      <c r="AW21" s="565">
        <v>13260</v>
      </c>
      <c r="AX21" s="744">
        <v>13845</v>
      </c>
      <c r="AY21" s="744">
        <v>15259</v>
      </c>
      <c r="AZ21" s="744">
        <v>17865</v>
      </c>
      <c r="BA21" s="744">
        <v>18194</v>
      </c>
      <c r="BB21" s="744">
        <v>14820</v>
      </c>
      <c r="BC21" s="744">
        <v>15514</v>
      </c>
      <c r="BD21" s="744">
        <v>13626</v>
      </c>
      <c r="BE21" s="311">
        <v>13053</v>
      </c>
      <c r="BF21" s="311">
        <v>11158</v>
      </c>
      <c r="BG21" s="311">
        <v>10157</v>
      </c>
      <c r="BH21" s="725"/>
      <c r="BJ21" s="722"/>
      <c r="BM21" s="722"/>
    </row>
    <row r="22" spans="1:65" ht="12.75" customHeight="1" x14ac:dyDescent="0.2">
      <c r="A22" s="8"/>
      <c r="B22" s="731" t="s">
        <v>70</v>
      </c>
      <c r="C22" s="686">
        <v>-657</v>
      </c>
      <c r="D22" s="742">
        <v>-0.17316816025303111</v>
      </c>
      <c r="E22" s="741"/>
      <c r="F22" s="748">
        <v>3137</v>
      </c>
      <c r="G22" s="748">
        <v>3426</v>
      </c>
      <c r="H22" s="748">
        <v>2857</v>
      </c>
      <c r="I22" s="213">
        <v>3080</v>
      </c>
      <c r="J22" s="748">
        <v>3794</v>
      </c>
      <c r="K22" s="748">
        <v>3423</v>
      </c>
      <c r="L22" s="748">
        <v>3657</v>
      </c>
      <c r="M22" s="213">
        <v>3089</v>
      </c>
      <c r="N22" s="748">
        <v>1242</v>
      </c>
      <c r="O22" s="748">
        <v>1421</v>
      </c>
      <c r="P22" s="748">
        <v>1222</v>
      </c>
      <c r="Q22" s="213">
        <v>1552</v>
      </c>
      <c r="R22" s="748">
        <v>1546</v>
      </c>
      <c r="S22" s="748">
        <v>1859</v>
      </c>
      <c r="T22" s="748">
        <v>1709</v>
      </c>
      <c r="U22" s="213">
        <v>2183</v>
      </c>
      <c r="V22" s="748">
        <v>2253</v>
      </c>
      <c r="W22" s="748">
        <v>2017</v>
      </c>
      <c r="X22" s="748">
        <v>1577</v>
      </c>
      <c r="Y22" s="213">
        <v>2224</v>
      </c>
      <c r="Z22" s="748">
        <v>2320</v>
      </c>
      <c r="AA22" s="748">
        <v>1910</v>
      </c>
      <c r="AB22" s="748">
        <v>2120</v>
      </c>
      <c r="AC22" s="213">
        <v>2156</v>
      </c>
      <c r="AD22" s="748">
        <v>1697</v>
      </c>
      <c r="AE22" s="748">
        <v>1856</v>
      </c>
      <c r="AF22" s="748">
        <v>1606</v>
      </c>
      <c r="AG22" s="213">
        <v>1849</v>
      </c>
      <c r="AH22" s="172">
        <v>1694</v>
      </c>
      <c r="AI22" s="209">
        <v>2331</v>
      </c>
      <c r="AJ22" s="209">
        <v>2158</v>
      </c>
      <c r="AK22" s="209">
        <v>2399</v>
      </c>
      <c r="AL22" s="728">
        <v>2477</v>
      </c>
      <c r="AM22" s="213">
        <v>2338</v>
      </c>
      <c r="AN22" s="213">
        <v>2276</v>
      </c>
      <c r="AO22" s="213">
        <v>3066</v>
      </c>
      <c r="AP22" s="88"/>
      <c r="AQ22" s="730">
        <v>9363</v>
      </c>
      <c r="AR22" s="730">
        <v>10169</v>
      </c>
      <c r="AS22" s="754">
        <v>-1463</v>
      </c>
      <c r="AT22" s="742">
        <v>-0.10477691040607319</v>
      </c>
      <c r="AU22" s="724"/>
      <c r="AV22" s="565">
        <v>12500</v>
      </c>
      <c r="AW22" s="565">
        <v>13963</v>
      </c>
      <c r="AX22" s="744">
        <v>5437</v>
      </c>
      <c r="AY22" s="744">
        <v>7297</v>
      </c>
      <c r="AZ22" s="744">
        <v>8071</v>
      </c>
      <c r="BA22" s="744">
        <v>8506</v>
      </c>
      <c r="BB22" s="744">
        <v>7008</v>
      </c>
      <c r="BC22" s="744">
        <v>8582</v>
      </c>
      <c r="BD22" s="744">
        <v>10157</v>
      </c>
      <c r="BE22" s="311">
        <v>9013</v>
      </c>
      <c r="BF22" s="311">
        <v>8802</v>
      </c>
      <c r="BG22" s="311">
        <v>1308</v>
      </c>
      <c r="BH22" s="725"/>
      <c r="BJ22" s="722"/>
      <c r="BM22" s="722"/>
    </row>
    <row r="23" spans="1:65" ht="12.75" customHeight="1" x14ac:dyDescent="0.2">
      <c r="A23" s="8"/>
      <c r="B23" s="731" t="s">
        <v>71</v>
      </c>
      <c r="C23" s="686">
        <v>-99</v>
      </c>
      <c r="D23" s="742">
        <v>-7.5803981623277186E-2</v>
      </c>
      <c r="E23" s="741"/>
      <c r="F23" s="748">
        <v>1207</v>
      </c>
      <c r="G23" s="748">
        <v>1403</v>
      </c>
      <c r="H23" s="748">
        <v>1500</v>
      </c>
      <c r="I23" s="213">
        <v>1490</v>
      </c>
      <c r="J23" s="748">
        <v>1306</v>
      </c>
      <c r="K23" s="748">
        <v>1398</v>
      </c>
      <c r="L23" s="748">
        <v>1381</v>
      </c>
      <c r="M23" s="213">
        <v>1444</v>
      </c>
      <c r="N23" s="748">
        <v>1386</v>
      </c>
      <c r="O23" s="748">
        <v>1292</v>
      </c>
      <c r="P23" s="748">
        <v>1834</v>
      </c>
      <c r="Q23" s="213">
        <v>1891</v>
      </c>
      <c r="R23" s="748">
        <v>1822</v>
      </c>
      <c r="S23" s="748">
        <v>1838</v>
      </c>
      <c r="T23" s="748">
        <v>1881</v>
      </c>
      <c r="U23" s="213">
        <v>1852</v>
      </c>
      <c r="V23" s="748">
        <v>2030</v>
      </c>
      <c r="W23" s="748">
        <v>1993</v>
      </c>
      <c r="X23" s="748">
        <v>2068</v>
      </c>
      <c r="Y23" s="213">
        <v>1948</v>
      </c>
      <c r="Z23" s="748">
        <v>2016</v>
      </c>
      <c r="AA23" s="748">
        <v>2074</v>
      </c>
      <c r="AB23" s="748">
        <v>2075</v>
      </c>
      <c r="AC23" s="213">
        <v>1951</v>
      </c>
      <c r="AD23" s="748">
        <v>1822</v>
      </c>
      <c r="AE23" s="748">
        <v>1632</v>
      </c>
      <c r="AF23" s="748">
        <v>1702</v>
      </c>
      <c r="AG23" s="213">
        <v>1632</v>
      </c>
      <c r="AH23" s="172">
        <v>1630</v>
      </c>
      <c r="AI23" s="209">
        <v>1605</v>
      </c>
      <c r="AJ23" s="209">
        <v>1605</v>
      </c>
      <c r="AK23" s="209">
        <v>1535</v>
      </c>
      <c r="AL23" s="728">
        <v>1555</v>
      </c>
      <c r="AM23" s="213">
        <v>1528</v>
      </c>
      <c r="AN23" s="213">
        <v>1534</v>
      </c>
      <c r="AO23" s="213">
        <v>1536</v>
      </c>
      <c r="AP23" s="88"/>
      <c r="AQ23" s="730">
        <v>4393</v>
      </c>
      <c r="AR23" s="730">
        <v>4223</v>
      </c>
      <c r="AS23" s="754">
        <v>71</v>
      </c>
      <c r="AT23" s="742">
        <v>1.2841381805028034E-2</v>
      </c>
      <c r="AU23" s="724"/>
      <c r="AV23" s="565">
        <v>5600</v>
      </c>
      <c r="AW23" s="565">
        <v>5529</v>
      </c>
      <c r="AX23" s="744">
        <v>6403</v>
      </c>
      <c r="AY23" s="744">
        <v>7393</v>
      </c>
      <c r="AZ23" s="744">
        <v>8039</v>
      </c>
      <c r="BA23" s="744">
        <v>8116</v>
      </c>
      <c r="BB23" s="744">
        <v>6788</v>
      </c>
      <c r="BC23" s="744">
        <v>6375</v>
      </c>
      <c r="BD23" s="744">
        <v>6153</v>
      </c>
      <c r="BE23" s="311">
        <v>5464</v>
      </c>
      <c r="BF23" s="311">
        <v>4653</v>
      </c>
      <c r="BG23" s="311">
        <v>4742</v>
      </c>
      <c r="BH23" s="725"/>
      <c r="BJ23" s="722"/>
      <c r="BM23" s="722"/>
    </row>
    <row r="24" spans="1:65" ht="12.75" customHeight="1" x14ac:dyDescent="0.2">
      <c r="A24" s="8"/>
      <c r="B24" s="731" t="s">
        <v>72</v>
      </c>
      <c r="C24" s="686">
        <v>-134</v>
      </c>
      <c r="D24" s="742">
        <v>-9.5305832147937405E-2</v>
      </c>
      <c r="E24" s="741"/>
      <c r="F24" s="748">
        <v>1272</v>
      </c>
      <c r="G24" s="748">
        <v>1346</v>
      </c>
      <c r="H24" s="748">
        <v>1220</v>
      </c>
      <c r="I24" s="213">
        <v>1042</v>
      </c>
      <c r="J24" s="748">
        <v>1406</v>
      </c>
      <c r="K24" s="748">
        <v>1406</v>
      </c>
      <c r="L24" s="748">
        <v>1339</v>
      </c>
      <c r="M24" s="213">
        <v>1354</v>
      </c>
      <c r="N24" s="748">
        <v>1437</v>
      </c>
      <c r="O24" s="748">
        <v>1332</v>
      </c>
      <c r="P24" s="748">
        <v>1485</v>
      </c>
      <c r="Q24" s="213">
        <v>1367</v>
      </c>
      <c r="R24" s="748">
        <v>1477</v>
      </c>
      <c r="S24" s="748">
        <v>1288</v>
      </c>
      <c r="T24" s="748">
        <v>1390</v>
      </c>
      <c r="U24" s="213">
        <v>1277</v>
      </c>
      <c r="V24" s="748">
        <v>1256</v>
      </c>
      <c r="W24" s="748">
        <v>1264</v>
      </c>
      <c r="X24" s="748">
        <v>1329</v>
      </c>
      <c r="Y24" s="213">
        <v>1325</v>
      </c>
      <c r="Z24" s="748">
        <v>1426</v>
      </c>
      <c r="AA24" s="748">
        <v>1660</v>
      </c>
      <c r="AB24" s="748">
        <v>1494</v>
      </c>
      <c r="AC24" s="213">
        <v>1536</v>
      </c>
      <c r="AD24" s="748">
        <v>1630</v>
      </c>
      <c r="AE24" s="748">
        <v>1590</v>
      </c>
      <c r="AF24" s="748">
        <v>1556</v>
      </c>
      <c r="AG24" s="213">
        <v>1639</v>
      </c>
      <c r="AH24" s="172">
        <v>1596</v>
      </c>
      <c r="AI24" s="209">
        <v>1544</v>
      </c>
      <c r="AJ24" s="209">
        <v>1573</v>
      </c>
      <c r="AK24" s="209">
        <v>1670</v>
      </c>
      <c r="AL24" s="728">
        <v>1639</v>
      </c>
      <c r="AM24" s="213">
        <v>1526</v>
      </c>
      <c r="AN24" s="213">
        <v>1571</v>
      </c>
      <c r="AO24" s="213">
        <v>1602</v>
      </c>
      <c r="AP24" s="88"/>
      <c r="AQ24" s="730">
        <v>3608</v>
      </c>
      <c r="AR24" s="730">
        <v>4099</v>
      </c>
      <c r="AS24" s="754">
        <v>-625</v>
      </c>
      <c r="AT24" s="742">
        <v>-0.11353315168029064</v>
      </c>
      <c r="AU24" s="724"/>
      <c r="AV24" s="565">
        <v>4880</v>
      </c>
      <c r="AW24" s="565">
        <v>5505</v>
      </c>
      <c r="AX24" s="744">
        <v>5621</v>
      </c>
      <c r="AY24" s="744">
        <v>5432</v>
      </c>
      <c r="AZ24" s="744">
        <v>5174</v>
      </c>
      <c r="BA24" s="744">
        <v>6116</v>
      </c>
      <c r="BB24" s="744">
        <v>6415</v>
      </c>
      <c r="BC24" s="744">
        <v>6383</v>
      </c>
      <c r="BD24" s="744">
        <v>6338</v>
      </c>
      <c r="BE24" s="311">
        <v>6066</v>
      </c>
      <c r="BF24" s="311">
        <v>5819</v>
      </c>
      <c r="BG24" s="311">
        <v>5491</v>
      </c>
      <c r="BH24" s="725"/>
      <c r="BJ24" s="722"/>
      <c r="BM24" s="722"/>
    </row>
    <row r="25" spans="1:65" ht="12.75" customHeight="1" x14ac:dyDescent="0.2">
      <c r="A25" s="8"/>
      <c r="B25" s="731" t="s">
        <v>67</v>
      </c>
      <c r="C25" s="686">
        <v>1</v>
      </c>
      <c r="D25" s="742">
        <v>0.04</v>
      </c>
      <c r="E25" s="741"/>
      <c r="F25" s="748">
        <v>26</v>
      </c>
      <c r="G25" s="748">
        <v>28</v>
      </c>
      <c r="H25" s="748">
        <v>44</v>
      </c>
      <c r="I25" s="213">
        <v>34</v>
      </c>
      <c r="J25" s="748">
        <v>25</v>
      </c>
      <c r="K25" s="748">
        <v>38</v>
      </c>
      <c r="L25" s="748">
        <v>41</v>
      </c>
      <c r="M25" s="213">
        <v>47</v>
      </c>
      <c r="N25" s="748">
        <v>39</v>
      </c>
      <c r="O25" s="748">
        <v>47</v>
      </c>
      <c r="P25" s="748">
        <v>54</v>
      </c>
      <c r="Q25" s="213">
        <v>56</v>
      </c>
      <c r="R25" s="748">
        <v>56</v>
      </c>
      <c r="S25" s="748">
        <v>56</v>
      </c>
      <c r="T25" s="748">
        <v>80</v>
      </c>
      <c r="U25" s="213">
        <v>102</v>
      </c>
      <c r="V25" s="748">
        <v>90</v>
      </c>
      <c r="W25" s="748">
        <v>97</v>
      </c>
      <c r="X25" s="748">
        <v>63</v>
      </c>
      <c r="Y25" s="213">
        <v>58</v>
      </c>
      <c r="Z25" s="748">
        <v>44</v>
      </c>
      <c r="AA25" s="748">
        <v>51</v>
      </c>
      <c r="AB25" s="748">
        <v>104</v>
      </c>
      <c r="AC25" s="213">
        <v>243</v>
      </c>
      <c r="AD25" s="748">
        <v>671</v>
      </c>
      <c r="AE25" s="748">
        <v>1758</v>
      </c>
      <c r="AF25" s="748">
        <v>2459</v>
      </c>
      <c r="AG25" s="213">
        <v>2915</v>
      </c>
      <c r="AH25" s="172">
        <v>4124</v>
      </c>
      <c r="AI25" s="209">
        <v>5305</v>
      </c>
      <c r="AJ25" s="209">
        <v>5435</v>
      </c>
      <c r="AK25" s="209">
        <v>5060</v>
      </c>
      <c r="AL25" s="728">
        <v>4659</v>
      </c>
      <c r="AM25" s="213">
        <v>4412</v>
      </c>
      <c r="AN25" s="213">
        <v>4434</v>
      </c>
      <c r="AO25" s="213">
        <v>4246</v>
      </c>
      <c r="AP25" s="88"/>
      <c r="AQ25" s="730">
        <v>106</v>
      </c>
      <c r="AR25" s="730">
        <v>126</v>
      </c>
      <c r="AS25" s="754">
        <v>-19</v>
      </c>
      <c r="AT25" s="742">
        <v>-0.12582781456953643</v>
      </c>
      <c r="AU25" s="724"/>
      <c r="AV25" s="565">
        <v>132</v>
      </c>
      <c r="AW25" s="565">
        <v>151</v>
      </c>
      <c r="AX25" s="744">
        <v>196</v>
      </c>
      <c r="AY25" s="744">
        <v>294</v>
      </c>
      <c r="AZ25" s="744">
        <v>308</v>
      </c>
      <c r="BA25" s="744">
        <v>442</v>
      </c>
      <c r="BB25" s="744">
        <v>7803</v>
      </c>
      <c r="BC25" s="744">
        <v>19924</v>
      </c>
      <c r="BD25" s="744">
        <v>17751</v>
      </c>
      <c r="BE25" s="311">
        <v>7194</v>
      </c>
      <c r="BF25" s="311">
        <v>3711</v>
      </c>
      <c r="BG25" s="311">
        <v>0</v>
      </c>
      <c r="BH25" s="725"/>
      <c r="BJ25" s="722"/>
      <c r="BM25" s="722"/>
    </row>
    <row r="26" spans="1:65" ht="12.75" customHeight="1" x14ac:dyDescent="0.2">
      <c r="A26" s="8"/>
      <c r="B26" s="731" t="s">
        <v>95</v>
      </c>
      <c r="C26" s="686">
        <v>964</v>
      </c>
      <c r="D26" s="742">
        <v>0.51358550879062337</v>
      </c>
      <c r="E26" s="741"/>
      <c r="F26" s="748">
        <v>2841</v>
      </c>
      <c r="G26" s="748">
        <v>2049</v>
      </c>
      <c r="H26" s="748">
        <v>2797</v>
      </c>
      <c r="I26" s="213">
        <v>3041</v>
      </c>
      <c r="J26" s="748">
        <v>1877</v>
      </c>
      <c r="K26" s="748">
        <v>3310</v>
      </c>
      <c r="L26" s="748">
        <v>2824</v>
      </c>
      <c r="M26" s="213">
        <v>2668</v>
      </c>
      <c r="N26" s="748">
        <v>3243</v>
      </c>
      <c r="O26" s="748">
        <v>3197</v>
      </c>
      <c r="P26" s="748">
        <v>3536</v>
      </c>
      <c r="Q26" s="213">
        <v>4472</v>
      </c>
      <c r="R26" s="748">
        <v>3668</v>
      </c>
      <c r="S26" s="748">
        <v>3720</v>
      </c>
      <c r="T26" s="748">
        <v>2632</v>
      </c>
      <c r="U26" s="213">
        <v>3319</v>
      </c>
      <c r="V26" s="748">
        <v>4728</v>
      </c>
      <c r="W26" s="748">
        <v>4268</v>
      </c>
      <c r="X26" s="748">
        <v>4186</v>
      </c>
      <c r="Y26" s="213">
        <v>3730</v>
      </c>
      <c r="Z26" s="748">
        <v>6030</v>
      </c>
      <c r="AA26" s="748">
        <v>4108</v>
      </c>
      <c r="AB26" s="748">
        <v>2461</v>
      </c>
      <c r="AC26" s="213">
        <v>3886</v>
      </c>
      <c r="AD26" s="748">
        <v>2268</v>
      </c>
      <c r="AE26" s="748">
        <v>7826</v>
      </c>
      <c r="AF26" s="748">
        <v>3206</v>
      </c>
      <c r="AG26" s="213">
        <v>3942</v>
      </c>
      <c r="AH26" s="172">
        <v>3477</v>
      </c>
      <c r="AI26" s="209">
        <v>3587</v>
      </c>
      <c r="AJ26" s="209">
        <v>2594</v>
      </c>
      <c r="AK26" s="209">
        <v>2953</v>
      </c>
      <c r="AL26" s="728">
        <v>2341</v>
      </c>
      <c r="AM26" s="213">
        <v>3444</v>
      </c>
      <c r="AN26" s="213">
        <v>1855</v>
      </c>
      <c r="AO26" s="213">
        <v>6038</v>
      </c>
      <c r="AP26" s="88"/>
      <c r="AQ26" s="730">
        <v>7887</v>
      </c>
      <c r="AR26" s="730">
        <v>8802</v>
      </c>
      <c r="AS26" s="754">
        <v>49</v>
      </c>
      <c r="AT26" s="742">
        <v>4.5884446109186253E-3</v>
      </c>
      <c r="AU26" s="724"/>
      <c r="AV26" s="565">
        <v>10728</v>
      </c>
      <c r="AW26" s="565">
        <v>10679</v>
      </c>
      <c r="AX26" s="744">
        <v>14448</v>
      </c>
      <c r="AY26" s="744">
        <v>13339</v>
      </c>
      <c r="AZ26" s="744">
        <v>16912</v>
      </c>
      <c r="BA26" s="744">
        <v>16485</v>
      </c>
      <c r="BB26" s="744">
        <v>17242</v>
      </c>
      <c r="BC26" s="744">
        <v>12611</v>
      </c>
      <c r="BD26" s="744">
        <v>13678</v>
      </c>
      <c r="BE26" s="311">
        <v>12162</v>
      </c>
      <c r="BF26" s="311">
        <v>5080</v>
      </c>
      <c r="BG26" s="311">
        <v>9626</v>
      </c>
      <c r="BH26" s="725"/>
      <c r="BJ26" s="722"/>
      <c r="BK26" s="722"/>
      <c r="BL26" s="722"/>
      <c r="BM26" s="722"/>
    </row>
    <row r="27" spans="1:65" ht="12.75" customHeight="1" x14ac:dyDescent="0.2">
      <c r="A27" s="8"/>
      <c r="B27" s="731" t="s">
        <v>74</v>
      </c>
      <c r="C27" s="686">
        <v>91</v>
      </c>
      <c r="D27" s="742">
        <v>0.18840579710144928</v>
      </c>
      <c r="E27" s="1415"/>
      <c r="F27" s="748">
        <v>574</v>
      </c>
      <c r="G27" s="748">
        <v>603</v>
      </c>
      <c r="H27" s="748">
        <v>616</v>
      </c>
      <c r="I27" s="213">
        <v>602</v>
      </c>
      <c r="J27" s="748">
        <v>483</v>
      </c>
      <c r="K27" s="748">
        <v>408</v>
      </c>
      <c r="L27" s="748">
        <v>380</v>
      </c>
      <c r="M27" s="213">
        <v>368</v>
      </c>
      <c r="N27" s="748">
        <v>1940</v>
      </c>
      <c r="O27" s="748">
        <v>1080</v>
      </c>
      <c r="P27" s="748">
        <v>499</v>
      </c>
      <c r="Q27" s="213">
        <v>497</v>
      </c>
      <c r="R27" s="748">
        <v>500</v>
      </c>
      <c r="S27" s="748">
        <v>513</v>
      </c>
      <c r="T27" s="748">
        <v>554</v>
      </c>
      <c r="U27" s="213">
        <v>641</v>
      </c>
      <c r="V27" s="748">
        <v>632</v>
      </c>
      <c r="W27" s="748">
        <v>596</v>
      </c>
      <c r="X27" s="748">
        <v>575</v>
      </c>
      <c r="Y27" s="213">
        <v>619</v>
      </c>
      <c r="Z27" s="748">
        <v>649</v>
      </c>
      <c r="AA27" s="748">
        <v>637</v>
      </c>
      <c r="AB27" s="748">
        <v>618</v>
      </c>
      <c r="AC27" s="213">
        <v>602</v>
      </c>
      <c r="AD27" s="748">
        <v>655</v>
      </c>
      <c r="AE27" s="748">
        <v>463</v>
      </c>
      <c r="AF27" s="748">
        <v>411</v>
      </c>
      <c r="AG27" s="213">
        <v>409</v>
      </c>
      <c r="AH27" s="172">
        <v>436</v>
      </c>
      <c r="AI27" s="209">
        <v>495</v>
      </c>
      <c r="AJ27" s="209">
        <v>472</v>
      </c>
      <c r="AK27" s="209">
        <v>430</v>
      </c>
      <c r="AL27" s="728">
        <v>438</v>
      </c>
      <c r="AM27" s="213">
        <v>380</v>
      </c>
      <c r="AN27" s="213">
        <v>420</v>
      </c>
      <c r="AO27" s="213">
        <v>410</v>
      </c>
      <c r="AP27" s="88"/>
      <c r="AQ27" s="730">
        <v>1821</v>
      </c>
      <c r="AR27" s="730">
        <v>1156</v>
      </c>
      <c r="AS27" s="754">
        <v>756</v>
      </c>
      <c r="AT27" s="742">
        <v>0.46125686394142767</v>
      </c>
      <c r="AU27" s="724"/>
      <c r="AV27" s="565">
        <v>2395</v>
      </c>
      <c r="AW27" s="565">
        <v>1639</v>
      </c>
      <c r="AX27" s="744">
        <v>4016</v>
      </c>
      <c r="AY27" s="744">
        <v>2208</v>
      </c>
      <c r="AZ27" s="744">
        <v>2422</v>
      </c>
      <c r="BA27" s="744">
        <v>2506</v>
      </c>
      <c r="BB27" s="744">
        <v>1938</v>
      </c>
      <c r="BC27" s="744">
        <v>1833</v>
      </c>
      <c r="BD27" s="744">
        <v>1648</v>
      </c>
      <c r="BE27" s="311">
        <v>1439</v>
      </c>
      <c r="BF27" s="311">
        <v>1087</v>
      </c>
      <c r="BG27" s="311">
        <v>1295</v>
      </c>
      <c r="BH27" s="725"/>
      <c r="BJ27" s="722"/>
      <c r="BK27" s="722"/>
      <c r="BL27" s="722"/>
      <c r="BM27" s="722"/>
    </row>
    <row r="28" spans="1:65" ht="12.75" customHeight="1" x14ac:dyDescent="0.2">
      <c r="A28" s="7"/>
      <c r="B28" s="731" t="s">
        <v>75</v>
      </c>
      <c r="C28" s="686">
        <v>-366</v>
      </c>
      <c r="D28" s="742">
        <v>-0.2848249027237354</v>
      </c>
      <c r="E28" s="741"/>
      <c r="F28" s="748">
        <v>919</v>
      </c>
      <c r="G28" s="748">
        <v>859</v>
      </c>
      <c r="H28" s="748">
        <v>902</v>
      </c>
      <c r="I28" s="213">
        <v>1042</v>
      </c>
      <c r="J28" s="748">
        <v>1285</v>
      </c>
      <c r="K28" s="748">
        <v>1059</v>
      </c>
      <c r="L28" s="748">
        <v>1506</v>
      </c>
      <c r="M28" s="213">
        <v>1337</v>
      </c>
      <c r="N28" s="748">
        <v>1312</v>
      </c>
      <c r="O28" s="748">
        <v>1374</v>
      </c>
      <c r="P28" s="748">
        <v>1981</v>
      </c>
      <c r="Q28" s="213">
        <v>1980</v>
      </c>
      <c r="R28" s="748">
        <v>2274</v>
      </c>
      <c r="S28" s="748">
        <v>1989</v>
      </c>
      <c r="T28" s="748">
        <v>1978</v>
      </c>
      <c r="U28" s="213">
        <v>1979</v>
      </c>
      <c r="V28" s="748">
        <v>2125</v>
      </c>
      <c r="W28" s="748">
        <v>2275</v>
      </c>
      <c r="X28" s="748">
        <v>2425</v>
      </c>
      <c r="Y28" s="213">
        <v>2433</v>
      </c>
      <c r="Z28" s="748">
        <v>2574</v>
      </c>
      <c r="AA28" s="748">
        <v>3216</v>
      </c>
      <c r="AB28" s="748">
        <v>2613</v>
      </c>
      <c r="AC28" s="213">
        <v>1905</v>
      </c>
      <c r="AD28" s="748">
        <v>2597</v>
      </c>
      <c r="AE28" s="748">
        <v>2312</v>
      </c>
      <c r="AF28" s="748">
        <v>1378</v>
      </c>
      <c r="AG28" s="213">
        <v>1566</v>
      </c>
      <c r="AH28" s="172">
        <v>1897</v>
      </c>
      <c r="AI28" s="209">
        <v>1550</v>
      </c>
      <c r="AJ28" s="209">
        <v>1341</v>
      </c>
      <c r="AK28" s="209">
        <v>1372</v>
      </c>
      <c r="AL28" s="728">
        <v>1370</v>
      </c>
      <c r="AM28" s="213">
        <v>1663</v>
      </c>
      <c r="AN28" s="213">
        <v>1517</v>
      </c>
      <c r="AO28" s="213">
        <v>1521</v>
      </c>
      <c r="AP28" s="88"/>
      <c r="AQ28" s="730">
        <v>2803</v>
      </c>
      <c r="AR28" s="730">
        <v>3902</v>
      </c>
      <c r="AS28" s="754">
        <v>-1465</v>
      </c>
      <c r="AT28" s="742">
        <v>-0.2824368613842298</v>
      </c>
      <c r="AU28" s="724"/>
      <c r="AV28" s="565">
        <v>3722</v>
      </c>
      <c r="AW28" s="565">
        <v>5187</v>
      </c>
      <c r="AX28" s="744">
        <v>6647</v>
      </c>
      <c r="AY28" s="744">
        <v>8220</v>
      </c>
      <c r="AZ28" s="744">
        <v>9258</v>
      </c>
      <c r="BA28" s="744">
        <v>10308</v>
      </c>
      <c r="BB28" s="744">
        <v>7853</v>
      </c>
      <c r="BC28" s="744">
        <v>6160</v>
      </c>
      <c r="BD28" s="744">
        <v>6071</v>
      </c>
      <c r="BE28" s="311">
        <v>4302</v>
      </c>
      <c r="BF28" s="311">
        <v>2798</v>
      </c>
      <c r="BG28" s="311">
        <v>3261</v>
      </c>
      <c r="BH28" s="725"/>
      <c r="BJ28" s="722"/>
      <c r="BK28" s="722"/>
      <c r="BL28" s="722"/>
      <c r="BM28" s="722"/>
    </row>
    <row r="29" spans="1:65" ht="12.75" customHeight="1" x14ac:dyDescent="0.2">
      <c r="A29" s="7"/>
      <c r="B29" s="7" t="s">
        <v>169</v>
      </c>
      <c r="C29" s="686">
        <v>0</v>
      </c>
      <c r="D29" s="742">
        <v>0</v>
      </c>
      <c r="E29" s="741"/>
      <c r="F29" s="730">
        <v>0</v>
      </c>
      <c r="G29" s="730">
        <v>0</v>
      </c>
      <c r="H29" s="730">
        <v>0</v>
      </c>
      <c r="I29" s="166">
        <v>0</v>
      </c>
      <c r="J29" s="730">
        <v>0</v>
      </c>
      <c r="K29" s="730">
        <v>0</v>
      </c>
      <c r="L29" s="730">
        <v>0</v>
      </c>
      <c r="M29" s="166">
        <v>0</v>
      </c>
      <c r="N29" s="730">
        <v>0</v>
      </c>
      <c r="O29" s="730">
        <v>0</v>
      </c>
      <c r="P29" s="730">
        <v>13567</v>
      </c>
      <c r="Q29" s="166">
        <v>0</v>
      </c>
      <c r="R29" s="730">
        <v>900</v>
      </c>
      <c r="S29" s="730">
        <v>0</v>
      </c>
      <c r="T29" s="730">
        <v>0</v>
      </c>
      <c r="U29" s="166">
        <v>0</v>
      </c>
      <c r="V29" s="730">
        <v>0</v>
      </c>
      <c r="W29" s="730">
        <v>0</v>
      </c>
      <c r="X29" s="730">
        <v>0</v>
      </c>
      <c r="Y29" s="166">
        <v>0</v>
      </c>
      <c r="Z29" s="730">
        <v>0</v>
      </c>
      <c r="AA29" s="730">
        <v>0</v>
      </c>
      <c r="AB29" s="730">
        <v>0</v>
      </c>
      <c r="AC29" s="166">
        <v>0</v>
      </c>
      <c r="AD29" s="730">
        <v>0</v>
      </c>
      <c r="AE29" s="730">
        <v>5347</v>
      </c>
      <c r="AF29" s="730">
        <v>0</v>
      </c>
      <c r="AG29" s="742">
        <v>0</v>
      </c>
      <c r="AH29" s="173">
        <v>54200</v>
      </c>
      <c r="AI29" s="730">
        <v>0</v>
      </c>
      <c r="AJ29" s="730">
        <v>0</v>
      </c>
      <c r="AK29" s="166">
        <v>0</v>
      </c>
      <c r="AL29" s="616">
        <v>0</v>
      </c>
      <c r="AM29" s="166">
        <v>0</v>
      </c>
      <c r="AN29" s="166">
        <v>0</v>
      </c>
      <c r="AO29" s="166">
        <v>0</v>
      </c>
      <c r="AP29" s="88"/>
      <c r="AQ29" s="730">
        <v>0</v>
      </c>
      <c r="AR29" s="730">
        <v>0</v>
      </c>
      <c r="AS29" s="754">
        <v>0</v>
      </c>
      <c r="AT29" s="742">
        <v>0</v>
      </c>
      <c r="AU29" s="724"/>
      <c r="AV29" s="565">
        <v>0</v>
      </c>
      <c r="AW29" s="565">
        <v>0</v>
      </c>
      <c r="AX29" s="744">
        <v>13567</v>
      </c>
      <c r="AY29" s="617">
        <v>900</v>
      </c>
      <c r="AZ29" s="617">
        <v>0</v>
      </c>
      <c r="BA29" s="617">
        <v>0</v>
      </c>
      <c r="BB29" s="744">
        <v>180</v>
      </c>
      <c r="BC29" s="617">
        <v>700</v>
      </c>
      <c r="BD29" s="617">
        <v>0</v>
      </c>
      <c r="BE29" s="311">
        <v>0</v>
      </c>
      <c r="BF29" s="311">
        <v>0</v>
      </c>
      <c r="BG29" s="311">
        <v>0</v>
      </c>
      <c r="BH29" s="725"/>
      <c r="BJ29" s="211"/>
      <c r="BK29" s="211"/>
      <c r="BL29" s="722"/>
      <c r="BM29" s="722"/>
    </row>
    <row r="30" spans="1:65" ht="12.75" hidden="1" customHeight="1" x14ac:dyDescent="0.2">
      <c r="A30" s="7"/>
      <c r="B30" s="7" t="s">
        <v>190</v>
      </c>
      <c r="C30" s="686">
        <v>0</v>
      </c>
      <c r="D30" s="517">
        <v>0</v>
      </c>
      <c r="E30" s="741"/>
      <c r="F30" s="730"/>
      <c r="G30" s="730"/>
      <c r="H30" s="730"/>
      <c r="I30" s="166"/>
      <c r="J30" s="730"/>
      <c r="K30" s="730"/>
      <c r="L30" s="730">
        <v>0</v>
      </c>
      <c r="M30" s="166">
        <v>0</v>
      </c>
      <c r="N30" s="730">
        <v>0</v>
      </c>
      <c r="O30" s="730">
        <v>0</v>
      </c>
      <c r="P30" s="730">
        <v>0</v>
      </c>
      <c r="Q30" s="166">
        <v>0</v>
      </c>
      <c r="R30" s="730">
        <v>0</v>
      </c>
      <c r="S30" s="730">
        <v>0</v>
      </c>
      <c r="T30" s="730">
        <v>0</v>
      </c>
      <c r="U30" s="166">
        <v>0</v>
      </c>
      <c r="V30" s="730">
        <v>0</v>
      </c>
      <c r="W30" s="730">
        <v>0</v>
      </c>
      <c r="X30" s="730">
        <v>0</v>
      </c>
      <c r="Y30" s="166">
        <v>0</v>
      </c>
      <c r="Z30" s="730"/>
      <c r="AA30" s="730"/>
      <c r="AB30" s="730"/>
      <c r="AC30" s="166"/>
      <c r="AD30" s="730"/>
      <c r="AE30" s="730"/>
      <c r="AF30" s="730"/>
      <c r="AG30" s="742"/>
      <c r="AH30" s="730"/>
      <c r="AI30" s="730"/>
      <c r="AJ30" s="730"/>
      <c r="AK30" s="730"/>
      <c r="AL30" s="616"/>
      <c r="AM30" s="166"/>
      <c r="AN30" s="166"/>
      <c r="AO30" s="166"/>
      <c r="AP30" s="88"/>
      <c r="AQ30" s="730">
        <v>0</v>
      </c>
      <c r="AR30" s="730">
        <v>0</v>
      </c>
      <c r="AS30" s="754">
        <v>0</v>
      </c>
      <c r="AT30" s="742">
        <v>0</v>
      </c>
      <c r="AU30" s="724"/>
      <c r="AV30" s="565"/>
      <c r="AW30" s="565">
        <v>0</v>
      </c>
      <c r="AX30" s="617">
        <v>0</v>
      </c>
      <c r="AY30" s="617">
        <v>0</v>
      </c>
      <c r="AZ30" s="617">
        <v>0</v>
      </c>
      <c r="BA30" s="617">
        <v>0</v>
      </c>
      <c r="BB30" s="617">
        <v>0</v>
      </c>
      <c r="BC30" s="617">
        <v>0</v>
      </c>
      <c r="BD30" s="617"/>
      <c r="BE30" s="311"/>
      <c r="BF30" s="311"/>
      <c r="BG30" s="311"/>
      <c r="BH30" s="725"/>
      <c r="BJ30" s="211"/>
      <c r="BK30" s="211"/>
      <c r="BL30" s="722"/>
      <c r="BM30" s="722"/>
    </row>
    <row r="31" spans="1:65" ht="12.75" hidden="1" customHeight="1" x14ac:dyDescent="0.2">
      <c r="A31" s="8"/>
      <c r="B31" s="726" t="s">
        <v>168</v>
      </c>
      <c r="C31" s="686"/>
      <c r="D31" s="517"/>
      <c r="E31" s="741"/>
      <c r="F31" s="730"/>
      <c r="G31" s="730"/>
      <c r="H31" s="730"/>
      <c r="I31" s="403"/>
      <c r="J31" s="730"/>
      <c r="K31" s="730"/>
      <c r="L31" s="730"/>
      <c r="M31" s="403"/>
      <c r="N31" s="730"/>
      <c r="O31" s="730"/>
      <c r="P31" s="730"/>
      <c r="Q31" s="403"/>
      <c r="R31" s="730"/>
      <c r="S31" s="730">
        <v>0</v>
      </c>
      <c r="T31" s="730">
        <v>0</v>
      </c>
      <c r="U31" s="403">
        <v>0</v>
      </c>
      <c r="V31" s="730">
        <v>0</v>
      </c>
      <c r="W31" s="730">
        <v>0</v>
      </c>
      <c r="X31" s="730">
        <v>0</v>
      </c>
      <c r="Y31" s="403">
        <v>0</v>
      </c>
      <c r="Z31" s="730">
        <v>0</v>
      </c>
      <c r="AA31" s="730">
        <v>0</v>
      </c>
      <c r="AB31" s="730">
        <v>0</v>
      </c>
      <c r="AC31" s="403">
        <v>0</v>
      </c>
      <c r="AD31" s="730">
        <v>0</v>
      </c>
      <c r="AE31" s="748">
        <v>180</v>
      </c>
      <c r="AF31" s="730">
        <v>0</v>
      </c>
      <c r="AG31" s="742">
        <v>0</v>
      </c>
      <c r="AH31" s="730">
        <v>700</v>
      </c>
      <c r="AI31" s="730">
        <v>0</v>
      </c>
      <c r="AJ31" s="730">
        <v>0</v>
      </c>
      <c r="AK31" s="730">
        <v>0</v>
      </c>
      <c r="AL31" s="616">
        <v>0</v>
      </c>
      <c r="AM31" s="166">
        <v>0</v>
      </c>
      <c r="AN31" s="166">
        <v>0</v>
      </c>
      <c r="AO31" s="166">
        <v>0</v>
      </c>
      <c r="AP31" s="88"/>
      <c r="AQ31" s="730">
        <v>0</v>
      </c>
      <c r="AR31" s="730">
        <v>0</v>
      </c>
      <c r="AS31" s="754"/>
      <c r="AT31" s="742"/>
      <c r="AU31" s="724"/>
      <c r="AV31" s="565"/>
      <c r="AW31" s="565"/>
      <c r="AX31" s="617"/>
      <c r="AY31" s="617"/>
      <c r="AZ31" s="617"/>
      <c r="BA31" s="617"/>
      <c r="BB31" s="617">
        <v>5347</v>
      </c>
      <c r="BC31" s="617">
        <v>54200</v>
      </c>
      <c r="BD31" s="617">
        <v>0</v>
      </c>
      <c r="BE31" s="311">
        <v>0</v>
      </c>
      <c r="BF31" s="311">
        <v>0</v>
      </c>
      <c r="BG31" s="311">
        <v>0</v>
      </c>
      <c r="BH31" s="725"/>
      <c r="BJ31" s="722"/>
      <c r="BK31" s="722"/>
      <c r="BL31" s="722"/>
      <c r="BM31" s="722"/>
    </row>
    <row r="32" spans="1:65" ht="12.75" customHeight="1" x14ac:dyDescent="0.2">
      <c r="A32" s="8"/>
      <c r="C32" s="167">
        <v>-1105</v>
      </c>
      <c r="D32" s="168">
        <v>-3.5736231040393258E-2</v>
      </c>
      <c r="E32" s="741"/>
      <c r="F32" s="406">
        <v>29816</v>
      </c>
      <c r="G32" s="406">
        <v>26259</v>
      </c>
      <c r="H32" s="406">
        <v>28532</v>
      </c>
      <c r="I32" s="1405">
        <v>30351</v>
      </c>
      <c r="J32" s="406">
        <v>30921</v>
      </c>
      <c r="K32" s="406">
        <v>27970</v>
      </c>
      <c r="L32" s="406">
        <v>26377</v>
      </c>
      <c r="M32" s="218">
        <v>27166</v>
      </c>
      <c r="N32" s="406">
        <v>31433</v>
      </c>
      <c r="O32" s="406">
        <v>31140</v>
      </c>
      <c r="P32" s="406">
        <v>47379</v>
      </c>
      <c r="Q32" s="218">
        <v>34551</v>
      </c>
      <c r="R32" s="406">
        <v>42651</v>
      </c>
      <c r="S32" s="406">
        <v>37244</v>
      </c>
      <c r="T32" s="406">
        <v>37327</v>
      </c>
      <c r="U32" s="218">
        <v>43517</v>
      </c>
      <c r="V32" s="406">
        <v>54200</v>
      </c>
      <c r="W32" s="406">
        <v>52012</v>
      </c>
      <c r="X32" s="406">
        <v>38601</v>
      </c>
      <c r="Y32" s="218">
        <v>39500</v>
      </c>
      <c r="Z32" s="406">
        <v>46835</v>
      </c>
      <c r="AA32" s="406">
        <v>42047</v>
      </c>
      <c r="AB32" s="406">
        <v>35213</v>
      </c>
      <c r="AC32" s="218">
        <v>35168</v>
      </c>
      <c r="AD32" s="406">
        <v>28967</v>
      </c>
      <c r="AE32" s="406">
        <v>40216</v>
      </c>
      <c r="AF32" s="406">
        <v>35911</v>
      </c>
      <c r="AG32" s="218">
        <v>44683</v>
      </c>
      <c r="AH32" s="176">
        <v>98603</v>
      </c>
      <c r="AI32" s="217">
        <v>48132</v>
      </c>
      <c r="AJ32" s="217">
        <v>44039</v>
      </c>
      <c r="AK32" s="217">
        <v>57148</v>
      </c>
      <c r="AL32" s="169">
        <v>55349</v>
      </c>
      <c r="AM32" s="218">
        <v>50178</v>
      </c>
      <c r="AN32" s="218">
        <v>41346</v>
      </c>
      <c r="AO32" s="218">
        <v>55217</v>
      </c>
      <c r="AP32" s="88"/>
      <c r="AQ32" s="818">
        <v>85142</v>
      </c>
      <c r="AR32" s="818">
        <v>81513</v>
      </c>
      <c r="AS32" s="336">
        <v>2524</v>
      </c>
      <c r="AT32" s="472">
        <v>2.2448725474500594E-2</v>
      </c>
      <c r="AU32" s="88"/>
      <c r="AV32" s="218">
        <v>114958</v>
      </c>
      <c r="AW32" s="218">
        <v>112434</v>
      </c>
      <c r="AX32" s="218">
        <v>144503</v>
      </c>
      <c r="AY32" s="218">
        <v>160739</v>
      </c>
      <c r="AZ32" s="218">
        <v>184313</v>
      </c>
      <c r="BA32" s="246">
        <v>159263</v>
      </c>
      <c r="BB32" s="199">
        <v>149777</v>
      </c>
      <c r="BC32" s="199">
        <v>247922</v>
      </c>
      <c r="BD32" s="199">
        <v>202090</v>
      </c>
      <c r="BE32" s="312">
        <v>163976</v>
      </c>
      <c r="BF32" s="312">
        <v>127504</v>
      </c>
      <c r="BG32" s="312">
        <v>118638</v>
      </c>
      <c r="BH32" s="725"/>
      <c r="BJ32" s="722"/>
      <c r="BK32" s="722"/>
      <c r="BL32" s="722"/>
      <c r="BM32" s="722"/>
    </row>
    <row r="33" spans="1:65" s="95" customFormat="1" ht="24.75" customHeight="1" thickBot="1" x14ac:dyDescent="0.25">
      <c r="A33" s="1485" t="s">
        <v>221</v>
      </c>
      <c r="B33" s="1486"/>
      <c r="C33" s="686">
        <v>2168</v>
      </c>
      <c r="D33" s="470">
        <v>1.9799086757990867</v>
      </c>
      <c r="E33" s="741"/>
      <c r="F33" s="209">
        <v>3263</v>
      </c>
      <c r="G33" s="421">
        <v>2008</v>
      </c>
      <c r="H33" s="421">
        <v>3105</v>
      </c>
      <c r="I33" s="213">
        <v>2005</v>
      </c>
      <c r="J33" s="209">
        <v>1095</v>
      </c>
      <c r="K33" s="421">
        <v>-251</v>
      </c>
      <c r="L33" s="421">
        <v>-1964</v>
      </c>
      <c r="M33" s="1340">
        <v>-324</v>
      </c>
      <c r="N33" s="1319">
        <v>790</v>
      </c>
      <c r="O33" s="1308">
        <v>3911</v>
      </c>
      <c r="P33" s="1308">
        <v>-11565</v>
      </c>
      <c r="Q33" s="1311">
        <v>2216</v>
      </c>
      <c r="R33" s="1319">
        <v>9886</v>
      </c>
      <c r="S33" s="1308">
        <v>7327</v>
      </c>
      <c r="T33" s="217">
        <v>10085</v>
      </c>
      <c r="U33" s="218">
        <v>11266</v>
      </c>
      <c r="V33" s="341">
        <v>18504</v>
      </c>
      <c r="W33" s="341">
        <v>16587</v>
      </c>
      <c r="X33" s="209">
        <v>5938</v>
      </c>
      <c r="Y33" s="222">
        <v>7707</v>
      </c>
      <c r="Z33" s="209">
        <v>8155</v>
      </c>
      <c r="AA33" s="341">
        <v>9686</v>
      </c>
      <c r="AB33" s="209">
        <v>4925</v>
      </c>
      <c r="AC33" s="222">
        <v>5017</v>
      </c>
      <c r="AD33" s="341">
        <v>8288</v>
      </c>
      <c r="AE33" s="341">
        <v>-6684</v>
      </c>
      <c r="AF33" s="341">
        <v>7933</v>
      </c>
      <c r="AG33" s="222">
        <v>13170</v>
      </c>
      <c r="AH33" s="223">
        <v>-44140</v>
      </c>
      <c r="AI33" s="218">
        <v>13034</v>
      </c>
      <c r="AJ33" s="218">
        <v>13376</v>
      </c>
      <c r="AK33" s="217">
        <v>18935</v>
      </c>
      <c r="AL33" s="217">
        <v>20527</v>
      </c>
      <c r="AM33" s="217">
        <v>18653</v>
      </c>
      <c r="AN33" s="217">
        <v>14280</v>
      </c>
      <c r="AO33" s="217">
        <v>17069</v>
      </c>
      <c r="AP33" s="88"/>
      <c r="AQ33" s="167">
        <v>7118</v>
      </c>
      <c r="AR33" s="754">
        <v>-2539</v>
      </c>
      <c r="AS33" s="328">
        <v>11825</v>
      </c>
      <c r="AT33" s="472" t="s">
        <v>42</v>
      </c>
      <c r="AU33" s="88"/>
      <c r="AV33" s="1317">
        <v>10381</v>
      </c>
      <c r="AW33" s="1317">
        <v>-1444</v>
      </c>
      <c r="AX33" s="1317">
        <v>-4648</v>
      </c>
      <c r="AY33" s="1317">
        <v>38564</v>
      </c>
      <c r="AZ33" s="1317">
        <v>48736</v>
      </c>
      <c r="BA33" s="1331">
        <v>27783</v>
      </c>
      <c r="BB33" s="199">
        <v>22707</v>
      </c>
      <c r="BC33" s="233">
        <v>1205</v>
      </c>
      <c r="BD33" s="233">
        <v>70529</v>
      </c>
      <c r="BE33" s="307">
        <v>61218</v>
      </c>
      <c r="BF33" s="307">
        <v>50672</v>
      </c>
      <c r="BG33" s="313">
        <v>57345</v>
      </c>
      <c r="BH33" s="725"/>
      <c r="BJ33" s="754"/>
      <c r="BK33" s="1402"/>
      <c r="BL33" s="1402"/>
      <c r="BM33" s="1402"/>
    </row>
    <row r="34" spans="1:65" s="95" customFormat="1" ht="15" customHeight="1" thickTop="1" x14ac:dyDescent="0.2">
      <c r="A34" s="938"/>
      <c r="B34" s="740" t="s">
        <v>380</v>
      </c>
      <c r="C34" s="167">
        <v>267</v>
      </c>
      <c r="D34" s="168">
        <v>6.2456140350877196E-2</v>
      </c>
      <c r="E34" s="741"/>
      <c r="F34" s="232">
        <v>4542</v>
      </c>
      <c r="G34" s="913">
        <v>3794</v>
      </c>
      <c r="H34" s="913">
        <v>4870</v>
      </c>
      <c r="I34" s="233">
        <v>4277</v>
      </c>
      <c r="J34" s="232">
        <v>4275</v>
      </c>
      <c r="K34" s="232">
        <v>4407</v>
      </c>
      <c r="L34" s="913">
        <v>3182</v>
      </c>
      <c r="M34" s="910">
        <v>4808</v>
      </c>
      <c r="N34" s="913">
        <v>8342</v>
      </c>
      <c r="O34" s="913">
        <v>8506</v>
      </c>
      <c r="P34" s="913">
        <v>9222</v>
      </c>
      <c r="Q34" s="910">
        <v>9425</v>
      </c>
      <c r="R34" s="913">
        <v>10587</v>
      </c>
      <c r="S34" s="913">
        <v>8276</v>
      </c>
      <c r="T34" s="232">
        <v>8150</v>
      </c>
      <c r="U34" s="233">
        <v>8724</v>
      </c>
      <c r="V34" s="232"/>
      <c r="W34" s="232"/>
      <c r="X34" s="232"/>
      <c r="Y34" s="233"/>
      <c r="Z34" s="232"/>
      <c r="AA34" s="232"/>
      <c r="AB34" s="232"/>
      <c r="AC34" s="233"/>
      <c r="AD34" s="885"/>
      <c r="AE34" s="885"/>
      <c r="AF34" s="885"/>
      <c r="AG34" s="886"/>
      <c r="AH34" s="911"/>
      <c r="AI34" s="474"/>
      <c r="AJ34" s="474"/>
      <c r="AK34" s="473"/>
      <c r="AL34" s="473"/>
      <c r="AM34" s="473"/>
      <c r="AN34" s="473"/>
      <c r="AO34" s="473"/>
      <c r="AP34" s="482"/>
      <c r="AQ34" s="673">
        <v>12941</v>
      </c>
      <c r="AR34" s="673">
        <v>12397</v>
      </c>
      <c r="AS34" s="328">
        <v>811</v>
      </c>
      <c r="AT34" s="168">
        <v>4.8644433781190016E-2</v>
      </c>
      <c r="AU34" s="482"/>
      <c r="AV34" s="749">
        <v>17483</v>
      </c>
      <c r="AW34" s="749">
        <v>16672</v>
      </c>
      <c r="AX34" s="749">
        <v>35495</v>
      </c>
      <c r="AY34" s="749">
        <v>35737</v>
      </c>
      <c r="AZ34" s="749">
        <v>36604</v>
      </c>
      <c r="BA34" s="749">
        <v>35782</v>
      </c>
      <c r="BB34" s="474" t="s">
        <v>186</v>
      </c>
      <c r="BC34" s="886"/>
      <c r="BD34" s="886"/>
      <c r="BE34" s="887"/>
      <c r="BF34" s="887"/>
      <c r="BG34" s="9"/>
      <c r="BH34" s="725"/>
      <c r="BJ34" s="754"/>
      <c r="BK34" s="207"/>
      <c r="BL34" s="207"/>
      <c r="BM34" s="1403"/>
    </row>
    <row r="35" spans="1:65" s="95" customFormat="1" ht="24.75" customHeight="1" thickBot="1" x14ac:dyDescent="0.25">
      <c r="A35" s="141" t="s">
        <v>77</v>
      </c>
      <c r="B35" s="615"/>
      <c r="C35" s="405">
        <v>1901</v>
      </c>
      <c r="D35" s="179">
        <v>0.59779874213836481</v>
      </c>
      <c r="E35" s="741"/>
      <c r="F35" s="653">
        <v>-1279</v>
      </c>
      <c r="G35" s="653">
        <v>-1786</v>
      </c>
      <c r="H35" s="653">
        <v>-1765</v>
      </c>
      <c r="I35" s="1325">
        <v>-2272</v>
      </c>
      <c r="J35" s="653">
        <v>-3180</v>
      </c>
      <c r="K35" s="653">
        <v>-4658</v>
      </c>
      <c r="L35" s="653">
        <v>-5146</v>
      </c>
      <c r="M35" s="1325">
        <v>-5132</v>
      </c>
      <c r="N35" s="653">
        <v>-7552</v>
      </c>
      <c r="O35" s="653">
        <v>-4595</v>
      </c>
      <c r="P35" s="653">
        <v>-20787</v>
      </c>
      <c r="Q35" s="1325">
        <v>-7209</v>
      </c>
      <c r="R35" s="653">
        <v>-701</v>
      </c>
      <c r="S35" s="653">
        <v>-949</v>
      </c>
      <c r="T35" s="249">
        <v>1935</v>
      </c>
      <c r="U35" s="250">
        <v>2542</v>
      </c>
      <c r="V35" s="249">
        <v>9122</v>
      </c>
      <c r="W35" s="249">
        <v>8143</v>
      </c>
      <c r="X35" s="249">
        <v>-3436</v>
      </c>
      <c r="Y35" s="250">
        <v>-1697</v>
      </c>
      <c r="Z35" s="249">
        <v>-1070</v>
      </c>
      <c r="AA35" s="249">
        <v>-87</v>
      </c>
      <c r="AB35" s="249">
        <v>-3294</v>
      </c>
      <c r="AC35" s="250">
        <v>-3548</v>
      </c>
      <c r="AD35" s="475" t="s">
        <v>186</v>
      </c>
      <c r="AE35" s="475" t="s">
        <v>186</v>
      </c>
      <c r="AF35" s="475" t="s">
        <v>186</v>
      </c>
      <c r="AG35" s="476" t="s">
        <v>186</v>
      </c>
      <c r="AH35" s="497" t="s">
        <v>186</v>
      </c>
      <c r="AI35" s="474"/>
      <c r="AJ35" s="474"/>
      <c r="AK35" s="473"/>
      <c r="AL35" s="473"/>
      <c r="AM35" s="473"/>
      <c r="AN35" s="473"/>
      <c r="AO35" s="473"/>
      <c r="AP35" s="482"/>
      <c r="AQ35" s="331">
        <v>-5823</v>
      </c>
      <c r="AR35" s="331">
        <v>-14936</v>
      </c>
      <c r="AS35" s="331">
        <v>11014</v>
      </c>
      <c r="AT35" s="179">
        <v>0.6079708544932656</v>
      </c>
      <c r="AU35" s="482"/>
      <c r="AV35" s="1325">
        <v>-7102</v>
      </c>
      <c r="AW35" s="1325">
        <v>-18116</v>
      </c>
      <c r="AX35" s="1325">
        <v>-40143</v>
      </c>
      <c r="AY35" s="1325">
        <v>2827</v>
      </c>
      <c r="AZ35" s="1325">
        <v>12132</v>
      </c>
      <c r="BA35" s="1329">
        <v>-7999</v>
      </c>
      <c r="BB35" s="497" t="s">
        <v>186</v>
      </c>
      <c r="BC35" s="476" t="s">
        <v>186</v>
      </c>
      <c r="BD35" s="476" t="s">
        <v>186</v>
      </c>
      <c r="BE35" s="498" t="s">
        <v>186</v>
      </c>
      <c r="BF35" s="498" t="s">
        <v>186</v>
      </c>
      <c r="BG35" s="9"/>
      <c r="BH35" s="725"/>
      <c r="BJ35" s="754"/>
      <c r="BK35" s="207"/>
      <c r="BL35" s="207"/>
      <c r="BM35" s="207"/>
    </row>
    <row r="36" spans="1:65" ht="12.75" customHeight="1" thickTop="1" x14ac:dyDescent="0.2">
      <c r="A36" s="726"/>
      <c r="B36" s="726"/>
      <c r="C36" s="754"/>
      <c r="D36" s="755"/>
      <c r="E36" s="755"/>
      <c r="F36" s="755"/>
      <c r="G36" s="755"/>
      <c r="H36" s="755"/>
      <c r="I36" s="725"/>
      <c r="J36" s="755"/>
      <c r="K36" s="755"/>
      <c r="L36" s="755"/>
      <c r="M36" s="725"/>
      <c r="N36" s="755"/>
      <c r="O36" s="755"/>
      <c r="P36" s="755"/>
      <c r="Q36" s="725"/>
      <c r="R36" s="755"/>
      <c r="S36" s="755"/>
      <c r="T36" s="755"/>
      <c r="U36" s="725"/>
      <c r="V36" s="755"/>
      <c r="W36" s="755"/>
      <c r="X36" s="755"/>
      <c r="Y36" s="725"/>
      <c r="Z36" s="755"/>
      <c r="AA36" s="755"/>
      <c r="AB36" s="755"/>
      <c r="AC36" s="725"/>
      <c r="AD36" s="755"/>
      <c r="AE36" s="755"/>
      <c r="AF36" s="755"/>
      <c r="AG36" s="725"/>
      <c r="AH36" s="724"/>
      <c r="AI36" s="724"/>
      <c r="AJ36" s="724"/>
      <c r="AK36" s="209"/>
      <c r="AL36" s="209"/>
      <c r="AM36" s="209"/>
      <c r="AN36" s="209"/>
      <c r="AO36" s="209"/>
      <c r="AP36" s="725"/>
      <c r="AQ36" s="725"/>
      <c r="AR36" s="725"/>
      <c r="AS36" s="754"/>
      <c r="AT36" s="755"/>
      <c r="AU36" s="725"/>
      <c r="AV36" s="725"/>
      <c r="AW36" s="725"/>
      <c r="AX36" s="725"/>
      <c r="AY36" s="725"/>
      <c r="AZ36" s="725"/>
      <c r="BA36" s="725"/>
      <c r="BB36" s="725"/>
      <c r="BC36" s="754"/>
      <c r="BD36" s="754"/>
      <c r="BE36" s="9"/>
      <c r="BF36" s="9"/>
      <c r="BG36" s="9"/>
      <c r="BH36" s="725"/>
      <c r="BJ36" s="722"/>
      <c r="BM36" s="722"/>
    </row>
    <row r="37" spans="1:65" ht="13.5" customHeight="1" x14ac:dyDescent="0.2">
      <c r="A37" s="144" t="s">
        <v>419</v>
      </c>
      <c r="B37" s="726"/>
      <c r="C37" s="225">
        <v>5.2477753459797771</v>
      </c>
      <c r="D37" s="755"/>
      <c r="E37" s="755"/>
      <c r="F37" s="35">
        <v>0.34889204631337101</v>
      </c>
      <c r="G37" s="35">
        <v>0.40145752998195777</v>
      </c>
      <c r="H37" s="35">
        <v>0.34314252299522713</v>
      </c>
      <c r="I37" s="35">
        <v>0.31647916924218072</v>
      </c>
      <c r="J37" s="35">
        <v>0.29641429285357324</v>
      </c>
      <c r="K37" s="35">
        <v>0.32353259497095854</v>
      </c>
      <c r="L37" s="35">
        <v>0.35776020972432721</v>
      </c>
      <c r="M37" s="35">
        <v>0.31834438566425749</v>
      </c>
      <c r="N37" s="35">
        <v>0.25</v>
      </c>
      <c r="O37" s="35">
        <v>0.27974112237077409</v>
      </c>
      <c r="P37" s="35">
        <v>0.26209862850650578</v>
      </c>
      <c r="Q37" s="35">
        <v>0.25689293025976445</v>
      </c>
      <c r="R37" s="35">
        <v>0.185</v>
      </c>
      <c r="S37" s="35">
        <v>0.19878396266630768</v>
      </c>
      <c r="T37" s="35">
        <v>0.19393824348266261</v>
      </c>
      <c r="U37" s="35">
        <v>0.1696146614825767</v>
      </c>
      <c r="V37" s="35">
        <v>0.12057108274647887</v>
      </c>
      <c r="W37" s="35">
        <v>0.11753815653289407</v>
      </c>
      <c r="X37" s="35">
        <v>0.15242820898538359</v>
      </c>
      <c r="Y37" s="35">
        <v>0.14044527294680872</v>
      </c>
      <c r="Z37" s="35">
        <v>0.11445717403164211</v>
      </c>
      <c r="AA37" s="35">
        <v>0.11710126998240968</v>
      </c>
      <c r="AB37" s="35">
        <v>0.15167671533210425</v>
      </c>
      <c r="AC37" s="35">
        <v>0.1384596242378997</v>
      </c>
      <c r="AD37" s="35">
        <v>0.14532277546638034</v>
      </c>
      <c r="AE37" s="35">
        <v>0.18445067398306095</v>
      </c>
      <c r="AF37" s="35">
        <v>0.19284280631329259</v>
      </c>
      <c r="AG37" s="35">
        <v>0.157</v>
      </c>
      <c r="AH37" s="35">
        <v>0.16300000000000001</v>
      </c>
      <c r="AI37" s="35">
        <v>0.153</v>
      </c>
      <c r="AJ37" s="35">
        <v>0.16</v>
      </c>
      <c r="AK37" s="35">
        <v>0.12</v>
      </c>
      <c r="AL37" s="35">
        <v>0.11600000000000001</v>
      </c>
      <c r="AM37" s="35">
        <v>0.121</v>
      </c>
      <c r="AN37" s="35">
        <v>0.14299999999999999</v>
      </c>
      <c r="AO37" s="35">
        <v>0.104</v>
      </c>
      <c r="AP37" s="725"/>
      <c r="AQ37" s="35">
        <v>0.32966105667807416</v>
      </c>
      <c r="AR37" s="35">
        <v>0.33234988730468257</v>
      </c>
      <c r="AS37" s="225">
        <v>2.8944319978719935</v>
      </c>
      <c r="AT37" s="755"/>
      <c r="AU37" s="725"/>
      <c r="AV37" s="35">
        <v>0.35092828249786578</v>
      </c>
      <c r="AW37" s="35">
        <v>0.32198396251914585</v>
      </c>
      <c r="AX37" s="35">
        <v>0.26219580263451664</v>
      </c>
      <c r="AY37" s="35">
        <v>0.189</v>
      </c>
      <c r="AZ37" s="35">
        <v>0.12979244708194415</v>
      </c>
      <c r="BA37" s="35">
        <v>0.128</v>
      </c>
      <c r="BB37" s="35">
        <v>0.16900000000000001</v>
      </c>
      <c r="BC37" s="35">
        <v>0.14699999999999999</v>
      </c>
      <c r="BD37" s="35">
        <v>0.11899999999999999</v>
      </c>
      <c r="BE37" s="314">
        <v>9.9000000000000005E-2</v>
      </c>
      <c r="BF37" s="314">
        <v>7.6999999999999999E-2</v>
      </c>
      <c r="BG37" s="314">
        <v>7.9000000000000001E-2</v>
      </c>
      <c r="BH37" s="725"/>
      <c r="BJ37" s="722"/>
      <c r="BM37" s="722"/>
    </row>
    <row r="38" spans="1:65" ht="13.5" customHeight="1" x14ac:dyDescent="0.2">
      <c r="A38" s="7" t="s">
        <v>335</v>
      </c>
      <c r="B38" s="726"/>
      <c r="C38" s="225">
        <v>1.8443758108248942</v>
      </c>
      <c r="D38" s="755"/>
      <c r="E38" s="755"/>
      <c r="F38" s="35">
        <v>0.50282656670395109</v>
      </c>
      <c r="G38" s="35">
        <v>0.48431032652916828</v>
      </c>
      <c r="H38" s="35">
        <v>0.48930050257609758</v>
      </c>
      <c r="I38" s="35">
        <v>0.50955000618123381</v>
      </c>
      <c r="J38" s="35">
        <v>0.48438280859570215</v>
      </c>
      <c r="K38" s="35">
        <v>0.48616472455716297</v>
      </c>
      <c r="L38" s="35">
        <v>0.49350755744890018</v>
      </c>
      <c r="M38" s="35">
        <v>0.47645480962670445</v>
      </c>
      <c r="N38" s="35">
        <v>0.49492598454520065</v>
      </c>
      <c r="O38" s="35">
        <v>0.46124218995178456</v>
      </c>
      <c r="P38" s="35">
        <v>0.48978053275255484</v>
      </c>
      <c r="Q38" s="35">
        <v>0.48869910517583703</v>
      </c>
      <c r="R38" s="35">
        <v>0.47210537335592057</v>
      </c>
      <c r="S38" s="35">
        <v>0.47943730228175269</v>
      </c>
      <c r="T38" s="35">
        <v>0.46859444866278577</v>
      </c>
      <c r="U38" s="35">
        <v>0.4969972436704817</v>
      </c>
      <c r="V38" s="35">
        <v>0.46599911971830987</v>
      </c>
      <c r="W38" s="35">
        <v>0.48315573113310689</v>
      </c>
      <c r="X38" s="35">
        <v>0.46395294011989491</v>
      </c>
      <c r="Y38" s="35"/>
      <c r="Z38" s="35"/>
      <c r="AA38" s="35"/>
      <c r="AB38" s="35"/>
      <c r="AC38" s="35"/>
      <c r="AD38" s="35"/>
      <c r="AE38" s="35"/>
      <c r="AF38" s="35"/>
      <c r="AG38" s="35"/>
      <c r="AH38" s="35"/>
      <c r="AI38" s="35"/>
      <c r="AJ38" s="35"/>
      <c r="AK38" s="35"/>
      <c r="AL38" s="35"/>
      <c r="AM38" s="35"/>
      <c r="AN38" s="35"/>
      <c r="AO38" s="35"/>
      <c r="AP38" s="725"/>
      <c r="AQ38" s="35">
        <v>0.49487318447864731</v>
      </c>
      <c r="AR38" s="35">
        <v>0.48513434801327021</v>
      </c>
      <c r="AS38" s="225">
        <v>1.2054651222230928</v>
      </c>
      <c r="AT38" s="755"/>
      <c r="AU38" s="725"/>
      <c r="AV38" s="35">
        <v>0.49697221136278413</v>
      </c>
      <c r="AW38" s="35">
        <v>0.48491756014055321</v>
      </c>
      <c r="AX38" s="35">
        <v>0.48352936970433663</v>
      </c>
      <c r="AY38" s="35">
        <v>0.47975193549520079</v>
      </c>
      <c r="AZ38" s="35">
        <v>0.47209385150762284</v>
      </c>
      <c r="BA38" s="35">
        <v>0.44789517017204322</v>
      </c>
      <c r="BB38" s="35">
        <v>0.43080517613227892</v>
      </c>
      <c r="BC38" s="35">
        <v>0.44877913674551534</v>
      </c>
      <c r="BD38" s="35"/>
      <c r="BE38" s="314"/>
      <c r="BF38" s="314"/>
      <c r="BG38" s="314"/>
      <c r="BH38" s="725"/>
      <c r="BJ38" s="722"/>
      <c r="BM38" s="722"/>
    </row>
    <row r="39" spans="1:65" ht="13.5" customHeight="1" x14ac:dyDescent="0.2">
      <c r="A39" s="7" t="s">
        <v>336</v>
      </c>
      <c r="B39" s="726"/>
      <c r="C39" s="225">
        <v>-4.7084334053536123</v>
      </c>
      <c r="D39" s="755"/>
      <c r="E39" s="755"/>
      <c r="F39" s="35">
        <v>-8.0413555427914993E-3</v>
      </c>
      <c r="G39" s="35">
        <v>1.0259312979799767E-2</v>
      </c>
      <c r="H39" s="35">
        <v>7.2383601479280588E-3</v>
      </c>
      <c r="I39" s="35">
        <v>8.3446655952528117E-3</v>
      </c>
      <c r="J39" s="35">
        <v>3.9042978510744626E-2</v>
      </c>
      <c r="K39" s="35">
        <v>2.1573649843067932E-2</v>
      </c>
      <c r="L39" s="35">
        <v>2.2815712939827142E-2</v>
      </c>
      <c r="M39" s="35">
        <v>1.0990239177408538E-2</v>
      </c>
      <c r="N39" s="35">
        <v>4.2361046457499302E-2</v>
      </c>
      <c r="O39" s="35">
        <v>5.745913098057117E-2</v>
      </c>
      <c r="P39" s="35">
        <v>6.2992125984251968E-2</v>
      </c>
      <c r="Q39" s="35">
        <v>2.8938994206761499E-2</v>
      </c>
      <c r="R39" s="35">
        <v>1.9947846279764737E-2</v>
      </c>
      <c r="S39" s="35">
        <v>2.636243297211191E-2</v>
      </c>
      <c r="T39" s="35">
        <v>3.2881970809077871E-2</v>
      </c>
      <c r="U39" s="35">
        <v>1.8235584031542632E-2</v>
      </c>
      <c r="V39" s="35">
        <v>2.2570972711267605E-2</v>
      </c>
      <c r="W39" s="35">
        <v>4.0190090234551522E-2</v>
      </c>
      <c r="X39" s="35">
        <v>2.0139652888479759E-2</v>
      </c>
      <c r="Y39" s="35"/>
      <c r="Z39" s="35"/>
      <c r="AA39" s="35"/>
      <c r="AB39" s="35"/>
      <c r="AC39" s="35"/>
      <c r="AD39" s="35"/>
      <c r="AE39" s="35"/>
      <c r="AF39" s="35"/>
      <c r="AG39" s="35"/>
      <c r="AH39" s="35"/>
      <c r="AI39" s="35"/>
      <c r="AJ39" s="35"/>
      <c r="AK39" s="35"/>
      <c r="AL39" s="35"/>
      <c r="AM39" s="35"/>
      <c r="AN39" s="35"/>
      <c r="AO39" s="35"/>
      <c r="AP39" s="725"/>
      <c r="AQ39" s="35">
        <v>8.551918491220464E-3</v>
      </c>
      <c r="AR39" s="35">
        <v>1.8360473067085371E-2</v>
      </c>
      <c r="AS39" s="225">
        <v>-2.0153832220478738</v>
      </c>
      <c r="AT39" s="755"/>
      <c r="AU39" s="725"/>
      <c r="AV39" s="35">
        <v>4.1726836818548095E-3</v>
      </c>
      <c r="AW39" s="35">
        <v>2.4326515902333545E-2</v>
      </c>
      <c r="AX39" s="35">
        <v>4.7899610310678915E-2</v>
      </c>
      <c r="AY39" s="35">
        <v>2.3988600271947737E-2</v>
      </c>
      <c r="AZ39" s="35">
        <v>2.6788357813163754E-2</v>
      </c>
      <c r="BA39" s="35">
        <v>2.5731638206644356E-2</v>
      </c>
      <c r="BB39" s="35">
        <v>4.4062057930010899E-4</v>
      </c>
      <c r="BC39" s="35">
        <v>1.5401783026327937E-2</v>
      </c>
      <c r="BD39" s="35"/>
      <c r="BE39" s="314"/>
      <c r="BF39" s="314"/>
      <c r="BG39" s="314"/>
      <c r="BH39" s="725"/>
      <c r="BJ39" s="722"/>
      <c r="BM39" s="722"/>
    </row>
    <row r="40" spans="1:65" ht="12.75" customHeight="1" x14ac:dyDescent="0.2">
      <c r="A40" s="727" t="s">
        <v>79</v>
      </c>
      <c r="B40" s="726"/>
      <c r="C40" s="225">
        <v>-2.8640575945287186</v>
      </c>
      <c r="D40" s="755"/>
      <c r="E40" s="755"/>
      <c r="F40" s="35">
        <v>0.49478521116115964</v>
      </c>
      <c r="G40" s="35">
        <v>0.49456963950896804</v>
      </c>
      <c r="H40" s="35">
        <v>0.49653886272402564</v>
      </c>
      <c r="I40" s="35">
        <v>0.51789467177648663</v>
      </c>
      <c r="J40" s="35">
        <v>0.52342578710644683</v>
      </c>
      <c r="K40" s="35">
        <v>0.50773837440023084</v>
      </c>
      <c r="L40" s="35">
        <v>0.51632327038872727</v>
      </c>
      <c r="M40" s="35">
        <v>0.48744504880411293</v>
      </c>
      <c r="N40" s="35">
        <v>0.53728703100269992</v>
      </c>
      <c r="O40" s="35">
        <v>0.51870132093235566</v>
      </c>
      <c r="P40" s="35">
        <v>0.55277265873680681</v>
      </c>
      <c r="Q40" s="35">
        <v>0.51763809938259853</v>
      </c>
      <c r="R40" s="35">
        <v>0.49205321963568532</v>
      </c>
      <c r="S40" s="35">
        <v>0.50579973525386457</v>
      </c>
      <c r="T40" s="35">
        <v>0.50147641947186361</v>
      </c>
      <c r="U40" s="35">
        <v>0.51523282770202439</v>
      </c>
      <c r="V40" s="35">
        <v>0.48857009242957744</v>
      </c>
      <c r="W40" s="35">
        <v>0.52334582136765839</v>
      </c>
      <c r="X40" s="35">
        <v>0.48409259300837471</v>
      </c>
      <c r="Y40" s="35">
        <v>0.49316838604444257</v>
      </c>
      <c r="Z40" s="35">
        <v>0.47650481905801056</v>
      </c>
      <c r="AA40" s="35">
        <v>0.47118860301934934</v>
      </c>
      <c r="AB40" s="35">
        <v>0.48253525337585329</v>
      </c>
      <c r="AC40" s="35">
        <v>0.46392932686325744</v>
      </c>
      <c r="AD40" s="35">
        <v>0.35222117836532008</v>
      </c>
      <c r="AE40" s="35">
        <v>0.423326971251342</v>
      </c>
      <c r="AF40" s="35">
        <v>0.45880850287382541</v>
      </c>
      <c r="AG40" s="35">
        <v>0.46583582528131645</v>
      </c>
      <c r="AH40" s="35">
        <v>0.44400000000000001</v>
      </c>
      <c r="AI40" s="35">
        <v>0.46500000000000002</v>
      </c>
      <c r="AJ40" s="35">
        <v>0.442</v>
      </c>
      <c r="AK40" s="35">
        <v>0.495</v>
      </c>
      <c r="AL40" s="35">
        <v>0.48199999999999998</v>
      </c>
      <c r="AM40" s="35">
        <v>0.46300000000000002</v>
      </c>
      <c r="AN40" s="35">
        <v>0.44700000000000001</v>
      </c>
      <c r="AO40" s="35">
        <v>0.46200000000000002</v>
      </c>
      <c r="AP40" s="725"/>
      <c r="AQ40" s="35">
        <v>0.50342510296986775</v>
      </c>
      <c r="AR40" s="35">
        <v>0.50349482108035559</v>
      </c>
      <c r="AS40" s="225">
        <v>-0.80991809982478014</v>
      </c>
      <c r="AT40" s="755"/>
      <c r="AU40" s="725"/>
      <c r="AV40" s="35">
        <v>0.50114489504463899</v>
      </c>
      <c r="AW40" s="35">
        <v>0.5092440760428868</v>
      </c>
      <c r="AX40" s="35">
        <v>0.5314289800150156</v>
      </c>
      <c r="AY40" s="35">
        <v>0.5037405357671485</v>
      </c>
      <c r="AZ40" s="35">
        <v>0.49888220932078664</v>
      </c>
      <c r="BA40" s="35">
        <v>0.47362680837868759</v>
      </c>
      <c r="BB40" s="35">
        <v>0.43124579671157903</v>
      </c>
      <c r="BC40" s="35">
        <v>0.46418091977184328</v>
      </c>
      <c r="BD40" s="35">
        <v>0.46500000000000002</v>
      </c>
      <c r="BE40" s="305">
        <v>0.46800000000000003</v>
      </c>
      <c r="BF40" s="305">
        <v>0.47399999999999998</v>
      </c>
      <c r="BG40" s="305">
        <v>0.47</v>
      </c>
      <c r="BH40" s="725"/>
      <c r="BJ40" s="722"/>
      <c r="BM40" s="722"/>
    </row>
    <row r="41" spans="1:65" ht="13.5" customHeight="1" x14ac:dyDescent="0.2">
      <c r="A41" s="727" t="s">
        <v>217</v>
      </c>
      <c r="B41" s="726"/>
      <c r="C41" s="225">
        <v>-4.8180978247839068</v>
      </c>
      <c r="D41" s="755"/>
      <c r="E41" s="755"/>
      <c r="F41" s="35">
        <v>0.59977629311647873</v>
      </c>
      <c r="G41" s="35">
        <v>0.58531149396823146</v>
      </c>
      <c r="H41" s="35">
        <v>0.58779277428327592</v>
      </c>
      <c r="I41" s="35">
        <v>0.61874150080356038</v>
      </c>
      <c r="J41" s="35">
        <v>0.6479572713643178</v>
      </c>
      <c r="K41" s="35">
        <v>0.61070024171146142</v>
      </c>
      <c r="L41" s="35">
        <v>0.62462622373325682</v>
      </c>
      <c r="M41" s="35">
        <v>0.62808285522688323</v>
      </c>
      <c r="N41" s="35">
        <v>0.64655680724948017</v>
      </c>
      <c r="O41" s="35">
        <v>0.6104533394197027</v>
      </c>
      <c r="P41" s="35">
        <v>0.64781928854637849</v>
      </c>
      <c r="Q41" s="35">
        <v>0.61838061304974568</v>
      </c>
      <c r="R41" s="35">
        <v>0.57879208938462412</v>
      </c>
      <c r="S41" s="35">
        <v>0.58291265621143795</v>
      </c>
      <c r="T41" s="35">
        <v>0.57164852779886943</v>
      </c>
      <c r="U41" s="35">
        <v>0.58711644123176898</v>
      </c>
      <c r="V41" s="35">
        <v>0.56511333626760563</v>
      </c>
      <c r="W41" s="35">
        <v>0.57583929794894972</v>
      </c>
      <c r="X41" s="35">
        <v>0.59224499876512715</v>
      </c>
      <c r="Y41" s="35">
        <v>0.57540195310017583</v>
      </c>
      <c r="Z41" s="35">
        <v>0.57785051827605016</v>
      </c>
      <c r="AA41" s="35">
        <v>0.54879863916648952</v>
      </c>
      <c r="AB41" s="35">
        <v>0.59116049628780709</v>
      </c>
      <c r="AC41" s="35">
        <v>0.56959064327485376</v>
      </c>
      <c r="AD41" s="35">
        <v>0.47314454435646219</v>
      </c>
      <c r="AE41" s="35">
        <v>0.5144936180365024</v>
      </c>
      <c r="AF41" s="35">
        <v>0.53811239850378612</v>
      </c>
      <c r="AG41" s="35">
        <v>0.53119112232727772</v>
      </c>
      <c r="AH41" s="35">
        <v>0.53</v>
      </c>
      <c r="AI41" s="35">
        <v>0.51900000000000002</v>
      </c>
      <c r="AJ41" s="35">
        <v>0.503</v>
      </c>
      <c r="AK41" s="35">
        <v>0.54800000000000004</v>
      </c>
      <c r="AL41" s="35">
        <v>0.53900000000000003</v>
      </c>
      <c r="AM41" s="35">
        <v>0.50700000000000001</v>
      </c>
      <c r="AN41" s="35">
        <v>0.499</v>
      </c>
      <c r="AO41" s="35">
        <v>0.50900000000000001</v>
      </c>
      <c r="AP41" s="725"/>
      <c r="AQ41" s="35">
        <v>0.59788640797745507</v>
      </c>
      <c r="AR41" s="35">
        <v>0.62091321194317117</v>
      </c>
      <c r="AS41" s="225">
        <v>-3.0329119191973231</v>
      </c>
      <c r="AT41" s="755"/>
      <c r="AU41" s="725"/>
      <c r="AV41" s="35">
        <v>0.5983851793934849</v>
      </c>
      <c r="AW41" s="35">
        <v>0.62871429858545813</v>
      </c>
      <c r="AX41" s="35">
        <v>0.63042436809552749</v>
      </c>
      <c r="AY41" s="35">
        <v>0.58030235370265371</v>
      </c>
      <c r="AZ41" s="35">
        <v>0.57553990791636089</v>
      </c>
      <c r="BA41" s="35">
        <v>0.57089699859927501</v>
      </c>
      <c r="BB41" s="35">
        <v>0.51716680967510031</v>
      </c>
      <c r="BC41" s="35">
        <v>0.5264543786903868</v>
      </c>
      <c r="BD41" s="35">
        <v>0.51500000000000001</v>
      </c>
      <c r="BE41" s="305">
        <v>0.52500000000000002</v>
      </c>
      <c r="BF41" s="305">
        <v>0.53600000000000003</v>
      </c>
      <c r="BG41" s="305">
        <v>0.52800000000000002</v>
      </c>
      <c r="BH41" s="725"/>
      <c r="BJ41" s="722"/>
      <c r="BM41" s="722"/>
    </row>
    <row r="42" spans="1:65" ht="12.75" customHeight="1" x14ac:dyDescent="0.2">
      <c r="A42" s="726" t="s">
        <v>80</v>
      </c>
      <c r="B42" s="726"/>
      <c r="C42" s="225">
        <v>-1.626001594565335</v>
      </c>
      <c r="D42" s="755"/>
      <c r="E42" s="755"/>
      <c r="F42" s="35">
        <v>0.3015810635146165</v>
      </c>
      <c r="G42" s="35">
        <v>0.34365160788198251</v>
      </c>
      <c r="H42" s="35">
        <v>0.31406264816512314</v>
      </c>
      <c r="I42" s="35">
        <v>0.31929163060946963</v>
      </c>
      <c r="J42" s="35">
        <v>0.31784107946026985</v>
      </c>
      <c r="K42" s="35">
        <v>0.39835491900862224</v>
      </c>
      <c r="L42" s="35">
        <v>0.45582271740466146</v>
      </c>
      <c r="M42" s="35">
        <v>0.38398778034423664</v>
      </c>
      <c r="N42" s="35">
        <v>0.32892654315240666</v>
      </c>
      <c r="O42" s="35">
        <v>0.27796639182904909</v>
      </c>
      <c r="P42" s="35">
        <v>0.6750991232478919</v>
      </c>
      <c r="Q42" s="35">
        <v>0.32134794788805177</v>
      </c>
      <c r="R42" s="35">
        <v>0.23303576527019054</v>
      </c>
      <c r="S42" s="35">
        <v>0.25269794260842254</v>
      </c>
      <c r="T42" s="35">
        <v>0.21564160971905846</v>
      </c>
      <c r="U42" s="35">
        <v>0.20723582133143492</v>
      </c>
      <c r="V42" s="35">
        <v>0.18037522007042253</v>
      </c>
      <c r="W42" s="35">
        <v>0.18236417440487471</v>
      </c>
      <c r="X42" s="35">
        <v>0.27443364242573925</v>
      </c>
      <c r="Y42" s="35">
        <v>0.26133836083631667</v>
      </c>
      <c r="Z42" s="35">
        <v>0.27384979087106748</v>
      </c>
      <c r="AA42" s="35">
        <v>0.26397077300755806</v>
      </c>
      <c r="AB42" s="35">
        <v>0.28613782450545616</v>
      </c>
      <c r="AC42" s="35">
        <v>0.3045617767823815</v>
      </c>
      <c r="AD42" s="35">
        <v>0.30438867266138775</v>
      </c>
      <c r="AE42" s="35">
        <v>0.68483836335440773</v>
      </c>
      <c r="AF42" s="35">
        <v>0.28095064318949003</v>
      </c>
      <c r="AG42" s="35">
        <v>0.24116294747031269</v>
      </c>
      <c r="AH42" s="35">
        <v>1.28</v>
      </c>
      <c r="AI42" s="35">
        <v>0.26800000000000002</v>
      </c>
      <c r="AJ42" s="35">
        <v>0.26400000000000001</v>
      </c>
      <c r="AK42" s="35">
        <v>0.20299999999999996</v>
      </c>
      <c r="AL42" s="35">
        <v>0.19</v>
      </c>
      <c r="AM42" s="35">
        <v>0.22199999999999998</v>
      </c>
      <c r="AN42" s="35">
        <v>0.24399999999999999</v>
      </c>
      <c r="AO42" s="35">
        <v>0.255</v>
      </c>
      <c r="AP42" s="725"/>
      <c r="AQ42" s="35">
        <v>0.32496206373292869</v>
      </c>
      <c r="AR42" s="35">
        <v>0.41123660951705626</v>
      </c>
      <c r="AS42" s="225">
        <v>-6.5504444890766624</v>
      </c>
      <c r="AT42" s="755"/>
      <c r="AU42" s="725"/>
      <c r="AV42" s="35">
        <v>0.3187914376211714</v>
      </c>
      <c r="AW42" s="35">
        <v>0.38429588251193803</v>
      </c>
      <c r="AX42" s="35">
        <v>0.40281005326945768</v>
      </c>
      <c r="AY42" s="35">
        <v>0.22620331856519973</v>
      </c>
      <c r="AZ42" s="35">
        <v>0.21533668885084253</v>
      </c>
      <c r="BA42" s="35">
        <v>0.28056734706970476</v>
      </c>
      <c r="BB42" s="35">
        <v>0.3511861969805895</v>
      </c>
      <c r="BC42" s="35">
        <v>0.46870873088826182</v>
      </c>
      <c r="BD42" s="35">
        <v>0.22599999999999998</v>
      </c>
      <c r="BE42" s="305">
        <v>0.20299999999999996</v>
      </c>
      <c r="BF42" s="305">
        <v>0.18</v>
      </c>
      <c r="BG42" s="305">
        <v>0.14600000000000002</v>
      </c>
      <c r="BH42" s="725"/>
      <c r="BJ42" s="722"/>
      <c r="BM42" s="722"/>
    </row>
    <row r="43" spans="1:65" ht="12.75" customHeight="1" x14ac:dyDescent="0.2">
      <c r="A43" s="726" t="s">
        <v>81</v>
      </c>
      <c r="B43" s="726"/>
      <c r="C43" s="225">
        <v>-6.4440994193492473</v>
      </c>
      <c r="D43" s="755"/>
      <c r="E43" s="755"/>
      <c r="F43" s="35">
        <v>0.90135735663109529</v>
      </c>
      <c r="G43" s="35">
        <v>0.92896310185021402</v>
      </c>
      <c r="H43" s="35">
        <v>0.901855422448399</v>
      </c>
      <c r="I43" s="35">
        <v>0.93803313141303002</v>
      </c>
      <c r="J43" s="35">
        <v>0.96579835082458776</v>
      </c>
      <c r="K43" s="35">
        <v>1.0090551607200837</v>
      </c>
      <c r="L43" s="35">
        <v>1.0804489411379183</v>
      </c>
      <c r="M43" s="35">
        <v>1.01207063557112</v>
      </c>
      <c r="N43" s="35">
        <v>0.97548335040188683</v>
      </c>
      <c r="O43" s="35">
        <v>0.88841973124875184</v>
      </c>
      <c r="P43" s="35">
        <v>1.3229184117942705</v>
      </c>
      <c r="Q43" s="35">
        <v>0.93972856093779744</v>
      </c>
      <c r="R43" s="35">
        <v>0.81182785465481466</v>
      </c>
      <c r="S43" s="35">
        <v>0.83561059881986044</v>
      </c>
      <c r="T43" s="35">
        <v>0.78729013751792798</v>
      </c>
      <c r="U43" s="35">
        <v>0.7943522625632039</v>
      </c>
      <c r="V43" s="35">
        <v>0.74548855633802813</v>
      </c>
      <c r="W43" s="35">
        <v>0.75820347235382435</v>
      </c>
      <c r="X43" s="35">
        <v>0.86667864119086646</v>
      </c>
      <c r="Y43" s="35">
        <v>0.83674031393649251</v>
      </c>
      <c r="Z43" s="35">
        <v>0.8517003091471177</v>
      </c>
      <c r="AA43" s="35">
        <v>0.81276941217404752</v>
      </c>
      <c r="AB43" s="35">
        <v>0.8772983207932632</v>
      </c>
      <c r="AC43" s="35">
        <v>0.87515242005723526</v>
      </c>
      <c r="AD43" s="35">
        <v>0.77753321701784994</v>
      </c>
      <c r="AE43" s="35">
        <v>1.1993319813909102</v>
      </c>
      <c r="AF43" s="35">
        <v>0.81906304169327615</v>
      </c>
      <c r="AG43" s="35">
        <v>0.77235406979759047</v>
      </c>
      <c r="AH43" s="35">
        <v>1.81</v>
      </c>
      <c r="AI43" s="35">
        <v>0.78700000000000003</v>
      </c>
      <c r="AJ43" s="35">
        <v>0.76700000000000002</v>
      </c>
      <c r="AK43" s="35">
        <v>0.751</v>
      </c>
      <c r="AL43" s="35">
        <v>0.72899999999999998</v>
      </c>
      <c r="AM43" s="35">
        <v>0.72899999999999998</v>
      </c>
      <c r="AN43" s="35">
        <v>0.74299999999999999</v>
      </c>
      <c r="AO43" s="35">
        <v>0.76400000000000001</v>
      </c>
      <c r="AP43" s="725"/>
      <c r="AQ43" s="35">
        <v>0.92284847171038364</v>
      </c>
      <c r="AR43" s="35">
        <v>1.0321498214602274</v>
      </c>
      <c r="AS43" s="225">
        <v>-9.5833564082739908</v>
      </c>
      <c r="AT43" s="755"/>
      <c r="AU43" s="725"/>
      <c r="AV43" s="35">
        <v>0.91717661701465625</v>
      </c>
      <c r="AW43" s="35">
        <v>1.0130101810973962</v>
      </c>
      <c r="AX43" s="35">
        <v>1.0332344213649851</v>
      </c>
      <c r="AY43" s="35">
        <v>0.80650567226785352</v>
      </c>
      <c r="AZ43" s="35">
        <v>0.79087659676720345</v>
      </c>
      <c r="BA43" s="35">
        <v>0.85146434566897977</v>
      </c>
      <c r="BB43" s="35">
        <v>0.86835300665568982</v>
      </c>
      <c r="BC43" s="35">
        <v>0.99516310957864862</v>
      </c>
      <c r="BD43" s="35">
        <v>0.74099999999999999</v>
      </c>
      <c r="BE43" s="305">
        <v>0.72799999999999998</v>
      </c>
      <c r="BF43" s="305">
        <v>0.71599999999999997</v>
      </c>
      <c r="BG43" s="305">
        <v>0.67400000000000004</v>
      </c>
      <c r="BH43" s="725"/>
      <c r="BJ43" s="722"/>
      <c r="BM43" s="722"/>
    </row>
    <row r="44" spans="1:65" ht="12.75" customHeight="1" x14ac:dyDescent="0.2">
      <c r="A44" s="727" t="s">
        <v>187</v>
      </c>
      <c r="B44" s="726"/>
      <c r="C44" s="225">
        <v>6.4440994193492447</v>
      </c>
      <c r="D44" s="755"/>
      <c r="E44" s="755"/>
      <c r="F44" s="35">
        <v>9.8642643368904742E-2</v>
      </c>
      <c r="G44" s="35">
        <v>7.1036898149785976E-2</v>
      </c>
      <c r="H44" s="35">
        <v>9.814457755160097E-2</v>
      </c>
      <c r="I44" s="35">
        <v>6.196686858696996E-2</v>
      </c>
      <c r="J44" s="35">
        <v>3.4201649175412296E-2</v>
      </c>
      <c r="K44" s="35">
        <v>-9.0551607200836971E-3</v>
      </c>
      <c r="L44" s="35">
        <v>-8.0448941137918326E-2</v>
      </c>
      <c r="M44" s="35">
        <v>-1.2070635571119887E-2</v>
      </c>
      <c r="N44" s="35">
        <v>2.4516649598113147E-2</v>
      </c>
      <c r="O44" s="35">
        <v>0.11158026875124818</v>
      </c>
      <c r="P44" s="35">
        <v>-0.32291841179427039</v>
      </c>
      <c r="Q44" s="35">
        <v>6.0271439062202517E-2</v>
      </c>
      <c r="R44" s="35">
        <v>0.18817214534518531</v>
      </c>
      <c r="S44" s="35">
        <v>0.16438940118013956</v>
      </c>
      <c r="T44" s="35">
        <v>0.21270986248207205</v>
      </c>
      <c r="U44" s="35">
        <v>0.2056477374367961</v>
      </c>
      <c r="V44" s="35">
        <v>0.25451144366197181</v>
      </c>
      <c r="W44" s="35">
        <v>0.2417965276461756</v>
      </c>
      <c r="X44" s="35">
        <v>0.13332135880913357</v>
      </c>
      <c r="Y44" s="35">
        <v>0.16325968606350752</v>
      </c>
      <c r="Z44" s="35">
        <v>0.14829969085288233</v>
      </c>
      <c r="AA44" s="35">
        <v>0.18723058782595248</v>
      </c>
      <c r="AB44" s="35">
        <v>0.12270167920673676</v>
      </c>
      <c r="AC44" s="35">
        <v>0.12484757994276471</v>
      </c>
      <c r="AD44" s="35">
        <v>0.22246678298215006</v>
      </c>
      <c r="AE44" s="35">
        <v>-0.19933198139091018</v>
      </c>
      <c r="AF44" s="35">
        <v>0.18093695830672385</v>
      </c>
      <c r="AG44" s="35">
        <v>0.22764593020240956</v>
      </c>
      <c r="AH44" s="35">
        <v>-0.81</v>
      </c>
      <c r="AI44" s="35">
        <v>0.21299999999999997</v>
      </c>
      <c r="AJ44" s="35">
        <v>0.23299999999999998</v>
      </c>
      <c r="AK44" s="35">
        <v>0.249</v>
      </c>
      <c r="AL44" s="35">
        <v>0.27100000000000002</v>
      </c>
      <c r="AM44" s="35">
        <v>0.27100000000000002</v>
      </c>
      <c r="AN44" s="35">
        <v>0.25700000000000001</v>
      </c>
      <c r="AO44" s="35">
        <v>0.23599999999999999</v>
      </c>
      <c r="AP44" s="725"/>
      <c r="AQ44" s="35">
        <v>7.71515282896163E-2</v>
      </c>
      <c r="AR44" s="35">
        <v>-3.2149821460227414E-2</v>
      </c>
      <c r="AS44" s="225">
        <v>9.5833564082739908</v>
      </c>
      <c r="AT44" s="755"/>
      <c r="AU44" s="725"/>
      <c r="AV44" s="35">
        <v>8.2823382985343752E-2</v>
      </c>
      <c r="AW44" s="35">
        <v>-1.3010181097396161E-2</v>
      </c>
      <c r="AX44" s="35">
        <v>-3.323442136498516E-2</v>
      </c>
      <c r="AY44" s="35">
        <v>0.19349432773214653</v>
      </c>
      <c r="AZ44" s="35">
        <v>0.20912340323279655</v>
      </c>
      <c r="BA44" s="35">
        <v>0.14853565433102017</v>
      </c>
      <c r="BB44" s="35">
        <v>0.13164699334431021</v>
      </c>
      <c r="BC44" s="35">
        <v>4.8368904213513591E-3</v>
      </c>
      <c r="BD44" s="35">
        <v>0.25900000000000001</v>
      </c>
      <c r="BE44" s="305">
        <v>0.27200000000000002</v>
      </c>
      <c r="BF44" s="305">
        <v>0.28400000000000003</v>
      </c>
      <c r="BG44" s="305">
        <v>0.32599999999999996</v>
      </c>
      <c r="BH44" s="725"/>
      <c r="BJ44" s="722"/>
      <c r="BM44" s="722"/>
    </row>
    <row r="45" spans="1:65" ht="12.75" customHeight="1" x14ac:dyDescent="0.2">
      <c r="A45" s="727" t="s">
        <v>82</v>
      </c>
      <c r="B45" s="726"/>
      <c r="C45" s="225">
        <v>6.0660323274077461</v>
      </c>
      <c r="D45" s="755"/>
      <c r="E45" s="755"/>
      <c r="F45" s="35">
        <v>-3.866501405725687E-2</v>
      </c>
      <c r="G45" s="35">
        <v>-6.3183217179042697E-2</v>
      </c>
      <c r="H45" s="35">
        <v>-5.5789107690362549E-2</v>
      </c>
      <c r="I45" s="35">
        <v>-7.0218815675608851E-2</v>
      </c>
      <c r="J45" s="35">
        <v>-9.9325337331334335E-2</v>
      </c>
      <c r="K45" s="35">
        <v>-0.16804358021573651</v>
      </c>
      <c r="L45" s="35">
        <v>-0.21078933355179619</v>
      </c>
      <c r="M45" s="35">
        <v>-0.19119290663884955</v>
      </c>
      <c r="N45" s="35">
        <v>-0.2343667566644943</v>
      </c>
      <c r="O45" s="35">
        <v>-0.13109469059370632</v>
      </c>
      <c r="P45" s="35">
        <v>-0.58041547997989618</v>
      </c>
      <c r="Q45" s="35">
        <v>-0.19607256507193951</v>
      </c>
      <c r="R45" s="35">
        <v>-1.3342977330262481E-2</v>
      </c>
      <c r="S45" s="35">
        <v>-2.1291871396199324E-2</v>
      </c>
      <c r="T45" s="35">
        <v>4.0812452543659831E-2</v>
      </c>
      <c r="U45" s="35">
        <v>4.6401255864045414E-2</v>
      </c>
      <c r="V45" s="35">
        <v>0.12546764964788731</v>
      </c>
      <c r="W45" s="35">
        <v>0.11870435429087887</v>
      </c>
      <c r="X45" s="35">
        <v>-7.7145872156986012E-2</v>
      </c>
      <c r="Y45" s="35">
        <v>-3.5948058550638678E-2</v>
      </c>
      <c r="Z45" s="35">
        <v>-1.9458083287870524E-2</v>
      </c>
      <c r="AA45" s="35">
        <v>-1.6817118667001719E-3</v>
      </c>
      <c r="AB45" s="35">
        <v>-8.2066869300911852E-2</v>
      </c>
      <c r="AC45" s="755" t="s">
        <v>186</v>
      </c>
      <c r="AD45" s="755" t="s">
        <v>186</v>
      </c>
      <c r="AE45" s="755" t="s">
        <v>186</v>
      </c>
      <c r="AF45" s="755" t="s">
        <v>186</v>
      </c>
      <c r="AG45" s="755" t="s">
        <v>186</v>
      </c>
      <c r="AH45" s="755" t="s">
        <v>186</v>
      </c>
      <c r="AI45" s="755" t="s">
        <v>186</v>
      </c>
      <c r="AJ45" s="755" t="s">
        <v>186</v>
      </c>
      <c r="AK45" s="755"/>
      <c r="AL45" s="755"/>
      <c r="AM45" s="755"/>
      <c r="AN45" s="755"/>
      <c r="AO45" s="755"/>
      <c r="AP45" s="240"/>
      <c r="AQ45" s="35">
        <v>-6.3115109473227834E-2</v>
      </c>
      <c r="AR45" s="35">
        <v>-0.189125534986198</v>
      </c>
      <c r="AS45" s="225">
        <v>10.655958012767655</v>
      </c>
      <c r="AT45" s="755"/>
      <c r="AU45" s="240"/>
      <c r="AV45" s="35">
        <v>-5.6662331756276975E-2</v>
      </c>
      <c r="AW45" s="35">
        <v>-0.16322191188395352</v>
      </c>
      <c r="AX45" s="35">
        <v>-0.28703299846269348</v>
      </c>
      <c r="AY45" s="35">
        <v>1.4184432748127224E-2</v>
      </c>
      <c r="AZ45" s="35">
        <v>5.2057721766667099E-2</v>
      </c>
      <c r="BA45" s="35">
        <v>-4.2764881366081073E-2</v>
      </c>
      <c r="BB45" s="503" t="s">
        <v>186</v>
      </c>
      <c r="BC45" s="755" t="s">
        <v>186</v>
      </c>
      <c r="BD45" s="755" t="s">
        <v>186</v>
      </c>
      <c r="BE45" s="755" t="s">
        <v>186</v>
      </c>
      <c r="BF45" s="503" t="s">
        <v>186</v>
      </c>
      <c r="BG45" s="305"/>
      <c r="BH45" s="725"/>
      <c r="BJ45" s="722"/>
      <c r="BM45" s="722"/>
    </row>
    <row r="46" spans="1:65" ht="12.75" customHeight="1" x14ac:dyDescent="0.2">
      <c r="A46" s="726"/>
      <c r="B46" s="726"/>
      <c r="C46" s="754"/>
      <c r="D46" s="755"/>
      <c r="E46" s="755"/>
      <c r="F46" s="755"/>
      <c r="G46" s="755"/>
      <c r="H46" s="755"/>
      <c r="I46" s="755"/>
      <c r="J46" s="755"/>
      <c r="K46" s="755"/>
      <c r="L46" s="755"/>
      <c r="M46" s="755"/>
      <c r="N46" s="755"/>
      <c r="O46" s="755"/>
      <c r="P46" s="755"/>
      <c r="Q46" s="755"/>
      <c r="R46" s="755"/>
      <c r="S46" s="755"/>
      <c r="T46" s="755"/>
      <c r="U46" s="755"/>
      <c r="V46" s="755"/>
      <c r="W46" s="755"/>
      <c r="X46" s="755"/>
      <c r="Y46" s="755"/>
      <c r="Z46" s="755"/>
      <c r="AA46" s="755"/>
      <c r="AB46" s="755"/>
      <c r="AC46" s="755"/>
      <c r="AD46" s="755"/>
      <c r="AE46" s="755"/>
      <c r="AF46" s="755"/>
      <c r="AG46" s="725"/>
      <c r="AH46" s="724"/>
      <c r="AI46" s="724"/>
      <c r="AJ46" s="724"/>
      <c r="AK46" s="724"/>
      <c r="AL46" s="183"/>
      <c r="AM46" s="183"/>
      <c r="AN46" s="183"/>
      <c r="AO46" s="183"/>
      <c r="AP46" s="725"/>
      <c r="AQ46" s="725"/>
      <c r="AR46" s="725"/>
      <c r="AS46" s="754"/>
      <c r="AT46" s="755"/>
      <c r="AU46" s="725"/>
      <c r="AV46" s="35"/>
      <c r="AW46" s="35"/>
      <c r="AX46" s="35"/>
      <c r="AY46" s="35"/>
      <c r="AZ46" s="35"/>
      <c r="BA46" s="35"/>
      <c r="BB46" s="725"/>
      <c r="BC46" s="754"/>
      <c r="BD46" s="754"/>
      <c r="BE46" s="306"/>
      <c r="BF46" s="306"/>
      <c r="BG46" s="306"/>
      <c r="BH46" s="725"/>
      <c r="BJ46" s="722"/>
      <c r="BM46" s="722"/>
    </row>
    <row r="47" spans="1:65" ht="13.5" customHeight="1" x14ac:dyDescent="0.2">
      <c r="A47" s="7" t="s">
        <v>285</v>
      </c>
      <c r="B47" s="726"/>
      <c r="C47" s="754">
        <v>357</v>
      </c>
      <c r="D47" s="755">
        <v>0.29651162790697677</v>
      </c>
      <c r="E47" s="755"/>
      <c r="F47" s="754">
        <v>1561</v>
      </c>
      <c r="G47" s="754">
        <v>1441</v>
      </c>
      <c r="H47" s="754">
        <v>1391</v>
      </c>
      <c r="I47" s="754">
        <v>1270</v>
      </c>
      <c r="J47" s="754">
        <v>1204</v>
      </c>
      <c r="K47" s="754">
        <v>1070</v>
      </c>
      <c r="L47" s="754">
        <v>935</v>
      </c>
      <c r="M47" s="754">
        <v>880</v>
      </c>
      <c r="N47" s="754">
        <v>835</v>
      </c>
      <c r="O47" s="754">
        <v>791</v>
      </c>
      <c r="P47" s="754">
        <v>784</v>
      </c>
      <c r="Q47" s="754">
        <v>709</v>
      </c>
      <c r="R47" s="754">
        <v>677</v>
      </c>
      <c r="S47" s="754">
        <v>607</v>
      </c>
      <c r="T47" s="754">
        <v>574</v>
      </c>
      <c r="U47" s="754">
        <v>575</v>
      </c>
      <c r="V47" s="754">
        <v>546</v>
      </c>
      <c r="W47" s="754">
        <v>514</v>
      </c>
      <c r="X47" s="754">
        <v>473</v>
      </c>
      <c r="Y47" s="754">
        <v>431</v>
      </c>
      <c r="Z47" s="754">
        <v>445</v>
      </c>
      <c r="AA47" s="754"/>
      <c r="AB47" s="754"/>
      <c r="AC47" s="754"/>
      <c r="AD47" s="754"/>
      <c r="AE47" s="754"/>
      <c r="AF47" s="754"/>
      <c r="AG47" s="754"/>
      <c r="AH47" s="754"/>
      <c r="AI47" s="754"/>
      <c r="AJ47" s="754"/>
      <c r="AK47" s="754"/>
      <c r="AL47" s="754"/>
      <c r="AM47" s="754"/>
      <c r="AN47" s="754"/>
      <c r="AO47" s="754"/>
      <c r="AP47" s="725"/>
      <c r="AQ47" s="730">
        <v>1441</v>
      </c>
      <c r="AR47" s="730">
        <v>1070</v>
      </c>
      <c r="AS47" s="754">
        <v>357</v>
      </c>
      <c r="AT47" s="755">
        <v>0.29651162790697677</v>
      </c>
      <c r="AU47" s="725"/>
      <c r="AV47" s="754">
        <v>1561</v>
      </c>
      <c r="AW47" s="754">
        <v>1204</v>
      </c>
      <c r="AX47" s="754">
        <v>835</v>
      </c>
      <c r="AY47" s="754">
        <v>677</v>
      </c>
      <c r="AZ47" s="754">
        <v>546</v>
      </c>
      <c r="BA47" s="754">
        <v>445</v>
      </c>
      <c r="BB47" s="754">
        <v>393</v>
      </c>
      <c r="BC47" s="754">
        <v>730</v>
      </c>
      <c r="BD47" s="754"/>
      <c r="BE47" s="306"/>
      <c r="BF47" s="306"/>
      <c r="BG47" s="306"/>
      <c r="BH47" s="725"/>
      <c r="BJ47" s="722"/>
      <c r="BM47" s="722"/>
    </row>
    <row r="48" spans="1:65" ht="13.5" customHeight="1" x14ac:dyDescent="0.2">
      <c r="A48" s="736" t="s">
        <v>279</v>
      </c>
      <c r="B48" s="144"/>
      <c r="C48" s="754">
        <v>569</v>
      </c>
      <c r="D48" s="755">
        <v>5.6003937007874018E-2</v>
      </c>
      <c r="E48" s="755"/>
      <c r="F48" s="754">
        <v>10729</v>
      </c>
      <c r="G48" s="754">
        <v>10310</v>
      </c>
      <c r="H48" s="754">
        <v>10757</v>
      </c>
      <c r="I48" s="754">
        <v>10958</v>
      </c>
      <c r="J48" s="754">
        <v>10160</v>
      </c>
      <c r="K48" s="754">
        <v>9536</v>
      </c>
      <c r="L48" s="754">
        <v>9427</v>
      </c>
      <c r="M48" s="754">
        <v>9325</v>
      </c>
      <c r="N48" s="754">
        <v>10429</v>
      </c>
      <c r="O48" s="754">
        <v>11403</v>
      </c>
      <c r="P48" s="754">
        <v>13344</v>
      </c>
      <c r="Q48" s="754">
        <v>13137</v>
      </c>
      <c r="R48" s="754">
        <v>14828</v>
      </c>
      <c r="S48" s="754">
        <v>14367</v>
      </c>
      <c r="T48" s="754">
        <v>14635</v>
      </c>
      <c r="U48" s="754">
        <v>15676</v>
      </c>
      <c r="V48" s="754">
        <v>16985</v>
      </c>
      <c r="W48" s="754">
        <v>16006</v>
      </c>
      <c r="X48" s="754">
        <v>13895</v>
      </c>
      <c r="Y48" s="754">
        <v>12571</v>
      </c>
      <c r="Z48" s="754">
        <v>12922</v>
      </c>
      <c r="AA48" s="754">
        <v>12210</v>
      </c>
      <c r="AB48" s="754">
        <v>11386</v>
      </c>
      <c r="AC48" s="754">
        <v>10341</v>
      </c>
      <c r="AD48" s="754">
        <v>9184</v>
      </c>
      <c r="AE48" s="754">
        <v>9030</v>
      </c>
      <c r="AF48" s="754">
        <v>11584</v>
      </c>
      <c r="AG48" s="754">
        <v>14695</v>
      </c>
      <c r="AH48" s="754">
        <v>14295</v>
      </c>
      <c r="AI48" s="754">
        <v>14860</v>
      </c>
      <c r="AJ48" s="754">
        <v>15288</v>
      </c>
      <c r="AK48" s="754">
        <v>15701</v>
      </c>
      <c r="AL48" s="754">
        <v>15014</v>
      </c>
      <c r="AM48" s="754">
        <v>14121</v>
      </c>
      <c r="AN48" s="754">
        <v>13826</v>
      </c>
      <c r="AO48" s="754">
        <v>13942</v>
      </c>
      <c r="AP48" s="725"/>
      <c r="AQ48" s="730">
        <v>10310</v>
      </c>
      <c r="AR48" s="730">
        <v>9536</v>
      </c>
      <c r="AS48" s="754">
        <v>569</v>
      </c>
      <c r="AT48" s="755">
        <v>5.6003937007874018E-2</v>
      </c>
      <c r="AU48" s="725"/>
      <c r="AV48" s="754">
        <v>10729</v>
      </c>
      <c r="AW48" s="754">
        <v>10160</v>
      </c>
      <c r="AX48" s="754">
        <v>10429</v>
      </c>
      <c r="AY48" s="754">
        <v>14828</v>
      </c>
      <c r="AZ48" s="754">
        <v>16985</v>
      </c>
      <c r="BA48" s="754">
        <v>12922</v>
      </c>
      <c r="BB48" s="754">
        <v>9184</v>
      </c>
      <c r="BC48" s="754">
        <v>14295</v>
      </c>
      <c r="BD48" s="754">
        <v>15014</v>
      </c>
      <c r="BE48" s="736">
        <v>14310</v>
      </c>
      <c r="BF48" s="736">
        <v>9967</v>
      </c>
      <c r="BG48" s="736">
        <v>8292</v>
      </c>
      <c r="BH48" s="725"/>
      <c r="BJ48" s="722"/>
      <c r="BM48" s="722"/>
    </row>
    <row r="49" spans="1:65" ht="13.5" hidden="1" customHeight="1" x14ac:dyDescent="0.2">
      <c r="A49" s="736" t="s">
        <v>316</v>
      </c>
      <c r="B49" s="144"/>
      <c r="C49" s="754" t="e">
        <v>#REF!</v>
      </c>
      <c r="D49" s="755" t="e">
        <v>#REF!</v>
      </c>
      <c r="E49" s="816"/>
      <c r="F49" s="754" t="e">
        <v>#REF!</v>
      </c>
      <c r="G49" s="754" t="e">
        <v>#REF!</v>
      </c>
      <c r="H49" s="754" t="e">
        <v>#REF!</v>
      </c>
      <c r="I49" s="754" t="e">
        <v>#REF!</v>
      </c>
      <c r="J49" s="754" t="e">
        <v>#REF!</v>
      </c>
      <c r="K49" s="754" t="e">
        <v>#REF!</v>
      </c>
      <c r="L49" s="754" t="e">
        <v>#REF!</v>
      </c>
      <c r="M49" s="754">
        <v>360</v>
      </c>
      <c r="N49" s="754">
        <v>451</v>
      </c>
      <c r="O49" s="754">
        <v>408</v>
      </c>
      <c r="P49" s="754">
        <v>354</v>
      </c>
      <c r="Q49" s="754">
        <v>305.20875765857699</v>
      </c>
      <c r="R49" s="251">
        <v>0</v>
      </c>
      <c r="S49" s="251">
        <v>0</v>
      </c>
      <c r="T49" s="251">
        <v>0</v>
      </c>
      <c r="U49" s="251">
        <v>0</v>
      </c>
      <c r="V49" s="251">
        <v>0</v>
      </c>
      <c r="W49" s="251">
        <v>0</v>
      </c>
      <c r="X49" s="251">
        <v>0</v>
      </c>
      <c r="Y49" s="251">
        <v>0</v>
      </c>
      <c r="Z49" s="754"/>
      <c r="AA49" s="754"/>
      <c r="AB49" s="754"/>
      <c r="AC49" s="754"/>
      <c r="AD49" s="754"/>
      <c r="AE49" s="754"/>
      <c r="AF49" s="754"/>
      <c r="AG49" s="754"/>
      <c r="AH49" s="754"/>
      <c r="AI49" s="754"/>
      <c r="AJ49" s="754"/>
      <c r="AK49" s="754"/>
      <c r="AL49" s="754"/>
      <c r="AM49" s="754"/>
      <c r="AN49" s="754"/>
      <c r="AO49" s="754"/>
      <c r="AP49" s="817"/>
      <c r="AQ49" s="730" t="e">
        <v>#REF!</v>
      </c>
      <c r="AR49" s="730">
        <v>354</v>
      </c>
      <c r="AS49" s="754" t="e">
        <v>#REF!</v>
      </c>
      <c r="AT49" s="251" t="s">
        <v>42</v>
      </c>
      <c r="AU49" s="817"/>
      <c r="AV49" s="754"/>
      <c r="AW49" s="754" t="e">
        <v>#REF!</v>
      </c>
      <c r="AX49" s="754">
        <v>451</v>
      </c>
      <c r="AY49" s="251">
        <v>0</v>
      </c>
      <c r="AZ49" s="251">
        <v>0</v>
      </c>
      <c r="BA49" s="251">
        <v>0</v>
      </c>
      <c r="BB49" s="251">
        <v>0</v>
      </c>
      <c r="BC49" s="251">
        <v>0</v>
      </c>
      <c r="BD49" s="754"/>
      <c r="BE49" s="726"/>
      <c r="BF49" s="726"/>
      <c r="BG49" s="726"/>
      <c r="BH49" s="725"/>
      <c r="BJ49" s="722"/>
      <c r="BM49" s="722"/>
    </row>
    <row r="50" spans="1:65" ht="12.75" hidden="1" customHeight="1" x14ac:dyDescent="0.2">
      <c r="A50" s="736" t="s">
        <v>63</v>
      </c>
      <c r="B50" s="144"/>
      <c r="C50" s="754" t="e">
        <v>#REF!</v>
      </c>
      <c r="D50" s="755" t="e">
        <v>#REF!</v>
      </c>
      <c r="E50" s="755"/>
      <c r="F50" s="754" t="e">
        <v>#REF!</v>
      </c>
      <c r="G50" s="754" t="e">
        <v>#REF!</v>
      </c>
      <c r="H50" s="754" t="e">
        <v>#REF!</v>
      </c>
      <c r="I50" s="754" t="e">
        <v>#REF!</v>
      </c>
      <c r="J50" s="754" t="e">
        <v>#REF!</v>
      </c>
      <c r="K50" s="754" t="e">
        <v>#REF!</v>
      </c>
      <c r="L50" s="754" t="e">
        <v>#REF!</v>
      </c>
      <c r="M50" s="754">
        <v>9685</v>
      </c>
      <c r="N50" s="754">
        <v>10880</v>
      </c>
      <c r="O50" s="754">
        <v>11811</v>
      </c>
      <c r="P50" s="754">
        <v>13698</v>
      </c>
      <c r="Q50" s="754">
        <v>13442.208757658576</v>
      </c>
      <c r="R50" s="754">
        <v>14828</v>
      </c>
      <c r="S50" s="754">
        <v>14367</v>
      </c>
      <c r="T50" s="754">
        <v>14635</v>
      </c>
      <c r="U50" s="754">
        <v>15676</v>
      </c>
      <c r="V50" s="754">
        <v>16985</v>
      </c>
      <c r="W50" s="754">
        <v>16006</v>
      </c>
      <c r="X50" s="754">
        <v>13895</v>
      </c>
      <c r="Y50" s="754">
        <v>12571</v>
      </c>
      <c r="Z50" s="754"/>
      <c r="AA50" s="754"/>
      <c r="AB50" s="754"/>
      <c r="AC50" s="754"/>
      <c r="AD50" s="754"/>
      <c r="AE50" s="754"/>
      <c r="AF50" s="754"/>
      <c r="AG50" s="754"/>
      <c r="AH50" s="754"/>
      <c r="AI50" s="754"/>
      <c r="AJ50" s="754"/>
      <c r="AK50" s="754"/>
      <c r="AL50" s="754"/>
      <c r="AM50" s="754"/>
      <c r="AN50" s="754"/>
      <c r="AO50" s="754"/>
      <c r="AP50" s="725"/>
      <c r="AQ50" s="730" t="e">
        <v>#REF!</v>
      </c>
      <c r="AR50" s="730">
        <v>13698</v>
      </c>
      <c r="AS50" s="754" t="e">
        <v>#REF!</v>
      </c>
      <c r="AT50" s="755" t="e">
        <v>#REF!</v>
      </c>
      <c r="AU50" s="725"/>
      <c r="AV50" s="754"/>
      <c r="AW50" s="754" t="e">
        <v>#REF!</v>
      </c>
      <c r="AX50" s="754">
        <v>10880</v>
      </c>
      <c r="AY50" s="754">
        <v>14828</v>
      </c>
      <c r="AZ50" s="754">
        <v>16985</v>
      </c>
      <c r="BA50" s="754">
        <v>12922</v>
      </c>
      <c r="BB50" s="754">
        <v>9184</v>
      </c>
      <c r="BC50" s="754">
        <v>14295</v>
      </c>
      <c r="BD50" s="754"/>
      <c r="BE50" s="726"/>
      <c r="BF50" s="726"/>
      <c r="BG50" s="726"/>
      <c r="BH50" s="725"/>
      <c r="BJ50" s="722"/>
      <c r="BM50" s="722"/>
    </row>
    <row r="51" spans="1:65" ht="12.75" customHeight="1" x14ac:dyDescent="0.2">
      <c r="A51" s="736"/>
      <c r="B51" s="144"/>
      <c r="C51" s="754"/>
      <c r="D51" s="755"/>
      <c r="E51" s="755"/>
      <c r="F51" s="754"/>
      <c r="G51" s="754"/>
      <c r="H51" s="754"/>
      <c r="I51" s="754"/>
      <c r="J51" s="754"/>
      <c r="K51" s="754"/>
      <c r="L51" s="754"/>
      <c r="M51" s="754"/>
      <c r="N51" s="754"/>
      <c r="O51" s="754"/>
      <c r="P51" s="754"/>
      <c r="Q51" s="754"/>
      <c r="R51" s="755"/>
      <c r="S51" s="755"/>
      <c r="T51" s="755"/>
      <c r="U51" s="755"/>
      <c r="V51" s="755"/>
      <c r="W51" s="755"/>
      <c r="X51" s="755"/>
      <c r="Y51" s="755"/>
      <c r="Z51" s="754"/>
      <c r="AA51" s="754"/>
      <c r="AB51" s="754"/>
      <c r="AC51" s="754"/>
      <c r="AD51" s="754"/>
      <c r="AE51" s="754"/>
      <c r="AF51" s="754"/>
      <c r="AG51" s="754"/>
      <c r="AH51" s="754"/>
      <c r="AI51" s="754"/>
      <c r="AJ51" s="754"/>
      <c r="AK51" s="754"/>
      <c r="AL51" s="754"/>
      <c r="AM51" s="754"/>
      <c r="AN51" s="754"/>
      <c r="AO51" s="754"/>
      <c r="AP51" s="725"/>
      <c r="AQ51" s="725"/>
      <c r="AR51" s="725"/>
      <c r="AS51" s="754"/>
      <c r="AT51" s="755"/>
      <c r="AU51" s="725"/>
      <c r="AV51" s="755"/>
      <c r="AW51" s="755"/>
      <c r="AX51" s="755"/>
      <c r="AY51" s="755"/>
      <c r="AZ51" s="755"/>
      <c r="BA51" s="755"/>
      <c r="BB51" s="755"/>
      <c r="BC51" s="755"/>
      <c r="BD51" s="754"/>
      <c r="BE51" s="726"/>
      <c r="BF51" s="726"/>
      <c r="BG51" s="726"/>
      <c r="BH51" s="725"/>
      <c r="BJ51" s="722"/>
      <c r="BM51" s="722"/>
    </row>
    <row r="52" spans="1:65" ht="12.75" customHeight="1" x14ac:dyDescent="0.2">
      <c r="A52" s="727" t="s">
        <v>94</v>
      </c>
      <c r="B52" s="144"/>
      <c r="C52" s="754">
        <v>-20</v>
      </c>
      <c r="D52" s="755">
        <v>-4.7619047619047616E-2</v>
      </c>
      <c r="E52" s="755"/>
      <c r="F52" s="754">
        <v>400</v>
      </c>
      <c r="G52" s="754">
        <v>405</v>
      </c>
      <c r="H52" s="754">
        <v>412</v>
      </c>
      <c r="I52" s="754">
        <v>407</v>
      </c>
      <c r="J52" s="754">
        <v>420</v>
      </c>
      <c r="K52" s="754">
        <v>425</v>
      </c>
      <c r="L52" s="754">
        <v>430</v>
      </c>
      <c r="M52" s="754">
        <v>448</v>
      </c>
      <c r="N52" s="754">
        <v>461</v>
      </c>
      <c r="O52" s="754">
        <v>493</v>
      </c>
      <c r="P52" s="754">
        <v>617</v>
      </c>
      <c r="Q52" s="754">
        <v>662</v>
      </c>
      <c r="R52" s="754">
        <v>684</v>
      </c>
      <c r="S52" s="754">
        <v>699</v>
      </c>
      <c r="T52" s="754">
        <v>686</v>
      </c>
      <c r="U52" s="754">
        <v>666</v>
      </c>
      <c r="V52" s="754">
        <v>684</v>
      </c>
      <c r="W52" s="754">
        <v>671</v>
      </c>
      <c r="X52" s="754">
        <v>665</v>
      </c>
      <c r="Y52" s="754">
        <v>689</v>
      </c>
      <c r="Z52" s="754">
        <v>680</v>
      </c>
      <c r="AA52" s="754">
        <v>707</v>
      </c>
      <c r="AB52" s="754">
        <v>698</v>
      </c>
      <c r="AC52" s="754">
        <v>688</v>
      </c>
      <c r="AD52" s="754">
        <v>700</v>
      </c>
      <c r="AE52" s="754">
        <v>725</v>
      </c>
      <c r="AF52" s="754">
        <v>744</v>
      </c>
      <c r="AG52" s="754">
        <v>760</v>
      </c>
      <c r="AH52" s="754">
        <v>762</v>
      </c>
      <c r="AI52" s="754">
        <v>772</v>
      </c>
      <c r="AJ52" s="754">
        <v>784</v>
      </c>
      <c r="AK52" s="754">
        <v>757</v>
      </c>
      <c r="AL52" s="754">
        <v>728</v>
      </c>
      <c r="AM52" s="754">
        <v>725</v>
      </c>
      <c r="AN52" s="754">
        <v>719</v>
      </c>
      <c r="AO52" s="754">
        <v>710</v>
      </c>
      <c r="AP52" s="725"/>
      <c r="AQ52" s="730">
        <v>405</v>
      </c>
      <c r="AR52" s="730">
        <v>425</v>
      </c>
      <c r="AS52" s="754">
        <v>-20</v>
      </c>
      <c r="AT52" s="755">
        <v>-4.7619047619047616E-2</v>
      </c>
      <c r="AU52" s="725"/>
      <c r="AV52" s="754">
        <v>400</v>
      </c>
      <c r="AW52" s="754">
        <v>420</v>
      </c>
      <c r="AX52" s="754">
        <v>461</v>
      </c>
      <c r="AY52" s="754">
        <v>684</v>
      </c>
      <c r="AZ52" s="754">
        <v>684</v>
      </c>
      <c r="BA52" s="754">
        <v>680</v>
      </c>
      <c r="BB52" s="754">
        <v>700</v>
      </c>
      <c r="BC52" s="754">
        <v>762</v>
      </c>
      <c r="BD52" s="754">
        <v>728</v>
      </c>
      <c r="BE52" s="736">
        <v>689</v>
      </c>
      <c r="BF52" s="736">
        <v>657</v>
      </c>
      <c r="BG52" s="736">
        <v>623</v>
      </c>
      <c r="BH52" s="725"/>
      <c r="BJ52" s="722"/>
      <c r="BM52" s="722"/>
    </row>
    <row r="53" spans="1:65" ht="13.5" customHeight="1" x14ac:dyDescent="0.2">
      <c r="A53" s="731" t="s">
        <v>278</v>
      </c>
      <c r="B53" s="727"/>
      <c r="C53" s="754">
        <v>-8</v>
      </c>
      <c r="D53" s="755">
        <v>-0.05</v>
      </c>
      <c r="E53" s="755"/>
      <c r="F53" s="754">
        <v>152</v>
      </c>
      <c r="G53" s="754">
        <v>161</v>
      </c>
      <c r="H53" s="754">
        <v>162</v>
      </c>
      <c r="I53" s="754">
        <v>163</v>
      </c>
      <c r="J53" s="754">
        <v>160</v>
      </c>
      <c r="K53" s="754">
        <v>163</v>
      </c>
      <c r="L53" s="754">
        <v>163</v>
      </c>
      <c r="M53" s="754">
        <v>173</v>
      </c>
      <c r="N53" s="754">
        <v>178</v>
      </c>
      <c r="O53" s="754">
        <v>184</v>
      </c>
      <c r="P53" s="754">
        <v>231</v>
      </c>
      <c r="Q53" s="754">
        <v>269</v>
      </c>
      <c r="R53" s="754">
        <v>280</v>
      </c>
      <c r="S53" s="754">
        <v>278</v>
      </c>
      <c r="T53" s="754">
        <v>271</v>
      </c>
      <c r="U53" s="754">
        <v>263</v>
      </c>
      <c r="V53" s="754">
        <v>271</v>
      </c>
      <c r="W53" s="754">
        <v>272</v>
      </c>
      <c r="X53" s="754">
        <v>280</v>
      </c>
      <c r="Y53" s="754">
        <v>290</v>
      </c>
      <c r="Z53" s="754">
        <v>303</v>
      </c>
      <c r="AA53" s="754">
        <v>327</v>
      </c>
      <c r="AB53" s="754">
        <v>334</v>
      </c>
      <c r="AC53" s="754">
        <v>335</v>
      </c>
      <c r="AD53" s="754">
        <v>338</v>
      </c>
      <c r="AE53" s="754">
        <v>347</v>
      </c>
      <c r="AF53" s="754">
        <v>341</v>
      </c>
      <c r="AG53" s="754">
        <v>354</v>
      </c>
      <c r="AH53" s="754">
        <v>354</v>
      </c>
      <c r="AI53" s="754">
        <v>377</v>
      </c>
      <c r="AJ53" s="754">
        <v>378</v>
      </c>
      <c r="AK53" s="754">
        <v>373</v>
      </c>
      <c r="AL53" s="754">
        <v>368</v>
      </c>
      <c r="AM53" s="754">
        <v>368</v>
      </c>
      <c r="AN53" s="754">
        <v>371</v>
      </c>
      <c r="AO53" s="754">
        <v>373</v>
      </c>
      <c r="AP53" s="725"/>
      <c r="AQ53" s="730">
        <v>161</v>
      </c>
      <c r="AR53" s="730">
        <v>163</v>
      </c>
      <c r="AS53" s="754">
        <v>-8</v>
      </c>
      <c r="AT53" s="755">
        <v>-0.05</v>
      </c>
      <c r="AU53" s="725"/>
      <c r="AV53" s="754">
        <v>152</v>
      </c>
      <c r="AW53" s="754">
        <v>160</v>
      </c>
      <c r="AX53" s="754">
        <v>178</v>
      </c>
      <c r="AY53" s="754">
        <v>280</v>
      </c>
      <c r="AZ53" s="754">
        <v>271</v>
      </c>
      <c r="BA53" s="754">
        <v>303</v>
      </c>
      <c r="BB53" s="754">
        <v>338</v>
      </c>
      <c r="BC53" s="754">
        <v>354</v>
      </c>
      <c r="BD53" s="754">
        <v>368</v>
      </c>
      <c r="BE53" s="736">
        <v>365</v>
      </c>
      <c r="BF53" s="736">
        <v>343</v>
      </c>
      <c r="BG53" s="736">
        <v>327</v>
      </c>
      <c r="BH53" s="725"/>
      <c r="BJ53" s="722"/>
      <c r="BM53" s="722"/>
    </row>
    <row r="54" spans="1:65" ht="12.75" hidden="1" customHeight="1" x14ac:dyDescent="0.2">
      <c r="A54" s="731" t="s">
        <v>313</v>
      </c>
      <c r="B54" s="727"/>
      <c r="C54" s="754" t="e">
        <v>#REF!</v>
      </c>
      <c r="D54" s="755" t="s">
        <v>42</v>
      </c>
      <c r="E54" s="755"/>
      <c r="F54" s="754"/>
      <c r="G54" s="754"/>
      <c r="H54" s="754"/>
      <c r="I54" s="754"/>
      <c r="J54" s="754" t="e">
        <v>#REF!</v>
      </c>
      <c r="K54" s="754" t="e">
        <v>#REF!</v>
      </c>
      <c r="L54" s="754" t="e">
        <v>#REF!</v>
      </c>
      <c r="M54" s="754">
        <v>7</v>
      </c>
      <c r="N54" s="754">
        <v>12</v>
      </c>
      <c r="O54" s="754">
        <v>11</v>
      </c>
      <c r="P54" s="754">
        <v>11</v>
      </c>
      <c r="Q54" s="754">
        <v>10</v>
      </c>
      <c r="R54" s="251">
        <v>0</v>
      </c>
      <c r="S54" s="251">
        <v>0</v>
      </c>
      <c r="T54" s="251">
        <v>0</v>
      </c>
      <c r="U54" s="251">
        <v>0</v>
      </c>
      <c r="V54" s="251">
        <v>0</v>
      </c>
      <c r="W54" s="251">
        <v>0</v>
      </c>
      <c r="X54" s="251">
        <v>0</v>
      </c>
      <c r="Y54" s="251">
        <v>0</v>
      </c>
      <c r="Z54" s="754"/>
      <c r="AA54" s="754"/>
      <c r="AB54" s="754"/>
      <c r="AC54" s="754"/>
      <c r="AD54" s="754"/>
      <c r="AE54" s="754"/>
      <c r="AF54" s="754"/>
      <c r="AG54" s="754"/>
      <c r="AH54" s="754"/>
      <c r="AI54" s="754"/>
      <c r="AJ54" s="754"/>
      <c r="AK54" s="754"/>
      <c r="AL54" s="754"/>
      <c r="AM54" s="754"/>
      <c r="AN54" s="754"/>
      <c r="AO54" s="754"/>
      <c r="AP54" s="817"/>
      <c r="AQ54" s="730" t="e">
        <v>#REF!</v>
      </c>
      <c r="AR54" s="730">
        <v>11</v>
      </c>
      <c r="AS54" s="754">
        <v>0</v>
      </c>
      <c r="AT54" s="755" t="s">
        <v>42</v>
      </c>
      <c r="AU54" s="817"/>
      <c r="AV54" s="754"/>
      <c r="AW54" s="754"/>
      <c r="AX54" s="754">
        <v>12</v>
      </c>
      <c r="AY54" s="251">
        <v>0</v>
      </c>
      <c r="AZ54" s="251">
        <v>0</v>
      </c>
      <c r="BA54" s="251">
        <v>0</v>
      </c>
      <c r="BB54" s="251">
        <v>0</v>
      </c>
      <c r="BC54" s="251">
        <v>0</v>
      </c>
      <c r="BD54" s="754"/>
      <c r="BE54" s="736"/>
      <c r="BF54" s="736"/>
      <c r="BG54" s="736"/>
      <c r="BH54" s="725"/>
      <c r="BJ54" s="722"/>
      <c r="BM54" s="722"/>
    </row>
    <row r="55" spans="1:65" ht="12.75" customHeight="1" x14ac:dyDescent="0.2">
      <c r="A55" s="7"/>
      <c r="B55" s="7"/>
      <c r="C55" s="725"/>
      <c r="D55" s="725"/>
      <c r="E55" s="725"/>
      <c r="F55" s="725"/>
      <c r="G55" s="725"/>
      <c r="H55" s="725"/>
      <c r="I55" s="7"/>
      <c r="J55" s="725"/>
      <c r="K55" s="725"/>
      <c r="L55" s="725"/>
      <c r="M55" s="7"/>
      <c r="N55" s="725"/>
      <c r="O55" s="725"/>
      <c r="P55" s="725"/>
      <c r="Q55" s="7"/>
      <c r="R55" s="725"/>
      <c r="S55" s="725"/>
      <c r="T55" s="725"/>
      <c r="U55" s="7"/>
      <c r="V55" s="725"/>
      <c r="W55" s="725"/>
      <c r="X55" s="725"/>
      <c r="Y55" s="7"/>
      <c r="Z55" s="725"/>
      <c r="AA55" s="725"/>
      <c r="AB55" s="725"/>
      <c r="AC55" s="7"/>
      <c r="AD55" s="725"/>
      <c r="AE55" s="725"/>
      <c r="AF55" s="725"/>
      <c r="AG55" s="7"/>
      <c r="AH55" s="725"/>
      <c r="AI55" s="725"/>
      <c r="AJ55" s="725"/>
      <c r="AK55" s="725"/>
      <c r="AL55" s="725"/>
      <c r="AM55" s="725"/>
      <c r="AN55" s="725"/>
      <c r="AO55" s="725"/>
      <c r="AP55" s="725"/>
      <c r="AQ55" s="725"/>
      <c r="AR55" s="725"/>
      <c r="AS55" s="725"/>
      <c r="AT55" s="725"/>
      <c r="AU55" s="725"/>
      <c r="AV55" s="725"/>
      <c r="AW55" s="725"/>
      <c r="AX55" s="725"/>
      <c r="AY55" s="725"/>
      <c r="AZ55" s="725"/>
      <c r="BA55" s="725"/>
      <c r="BB55" s="725"/>
      <c r="BC55" s="725"/>
      <c r="BD55" s="725"/>
      <c r="BE55" s="726"/>
      <c r="BF55" s="724"/>
      <c r="BG55" s="724"/>
      <c r="BH55" s="725"/>
      <c r="BJ55" s="722"/>
      <c r="BM55" s="722"/>
    </row>
    <row r="56" spans="1:65" ht="18" customHeight="1" x14ac:dyDescent="0.2">
      <c r="A56" s="12" t="s">
        <v>267</v>
      </c>
      <c r="B56" s="7"/>
      <c r="C56" s="724"/>
      <c r="D56" s="724"/>
      <c r="E56" s="725"/>
      <c r="F56" s="725"/>
      <c r="G56" s="725"/>
      <c r="H56" s="725"/>
      <c r="I56" s="725"/>
      <c r="J56" s="725"/>
      <c r="K56" s="725"/>
      <c r="L56" s="725"/>
      <c r="M56" s="725"/>
      <c r="N56" s="725"/>
      <c r="O56" s="725"/>
      <c r="P56" s="725"/>
      <c r="Q56" s="725"/>
      <c r="R56" s="725"/>
      <c r="S56" s="725"/>
      <c r="T56" s="725"/>
      <c r="U56" s="725"/>
      <c r="V56" s="725"/>
      <c r="W56" s="725"/>
      <c r="X56" s="725"/>
      <c r="Y56" s="725"/>
      <c r="Z56" s="725"/>
      <c r="AA56" s="725"/>
      <c r="AB56" s="725"/>
      <c r="AC56" s="725"/>
      <c r="AD56" s="725"/>
      <c r="AE56" s="725"/>
      <c r="AF56" s="725"/>
      <c r="AG56" s="725"/>
      <c r="AH56" s="725"/>
      <c r="AI56" s="725"/>
      <c r="AJ56" s="724"/>
      <c r="AK56" s="724"/>
      <c r="AL56" s="724"/>
      <c r="AM56" s="724"/>
      <c r="AN56" s="724"/>
      <c r="AO56" s="724"/>
      <c r="AP56" s="724"/>
      <c r="AQ56" s="724"/>
      <c r="AR56" s="724"/>
      <c r="AS56" s="725"/>
      <c r="AT56" s="725"/>
      <c r="AU56" s="724"/>
      <c r="AV56" s="724"/>
      <c r="AW56" s="724"/>
      <c r="AX56" s="724"/>
      <c r="AY56" s="724"/>
      <c r="AZ56" s="724"/>
      <c r="BA56" s="724"/>
      <c r="BB56" s="724"/>
      <c r="BC56" s="724"/>
      <c r="BD56" s="724"/>
      <c r="BE56" s="726"/>
      <c r="BF56" s="724"/>
      <c r="BG56" s="724"/>
      <c r="BH56" s="725"/>
      <c r="BJ56" s="722"/>
      <c r="BM56" s="722"/>
    </row>
    <row r="57" spans="1:65" ht="12.75" customHeight="1" x14ac:dyDescent="0.2">
      <c r="A57" s="190"/>
      <c r="B57" s="7"/>
      <c r="C57" s="724"/>
      <c r="D57" s="724"/>
      <c r="E57" s="725"/>
      <c r="F57" s="401"/>
      <c r="G57" s="401"/>
      <c r="H57" s="401"/>
      <c r="I57" s="725"/>
      <c r="J57" s="401"/>
      <c r="K57" s="401"/>
      <c r="L57" s="401"/>
      <c r="M57" s="725"/>
      <c r="N57" s="401"/>
      <c r="O57" s="401"/>
      <c r="P57" s="401"/>
      <c r="Q57" s="725"/>
      <c r="R57" s="401"/>
      <c r="S57" s="725"/>
      <c r="T57" s="401"/>
      <c r="U57" s="725"/>
      <c r="V57" s="401"/>
      <c r="W57" s="725"/>
      <c r="X57" s="401"/>
      <c r="Y57" s="725"/>
      <c r="Z57" s="401"/>
      <c r="AA57" s="725"/>
      <c r="AB57" s="401"/>
      <c r="AC57" s="725"/>
      <c r="AD57" s="401"/>
      <c r="AE57" s="725"/>
      <c r="AF57" s="725"/>
      <c r="AG57" s="725"/>
      <c r="AH57" s="725"/>
      <c r="AI57" s="725"/>
      <c r="AJ57" s="724"/>
      <c r="AK57" s="724"/>
      <c r="AL57" s="724"/>
      <c r="AM57" s="724"/>
      <c r="AN57" s="724"/>
      <c r="AO57" s="724"/>
      <c r="AP57" s="724"/>
      <c r="AQ57" s="724"/>
      <c r="AR57" s="724"/>
      <c r="AS57" s="725"/>
      <c r="AT57" s="725"/>
      <c r="AU57" s="724"/>
      <c r="AV57" s="724"/>
      <c r="AW57" s="724"/>
      <c r="AX57" s="724"/>
      <c r="AY57" s="724"/>
      <c r="AZ57" s="724"/>
      <c r="BA57" s="724"/>
      <c r="BB57" s="724"/>
      <c r="BC57" s="724"/>
      <c r="BD57" s="724"/>
      <c r="BE57" s="304"/>
      <c r="BF57" s="304"/>
      <c r="BG57" s="304"/>
      <c r="BH57" s="725"/>
      <c r="BJ57" s="722"/>
      <c r="BM57" s="722"/>
    </row>
    <row r="58" spans="1:65" ht="12.75" customHeight="1" x14ac:dyDescent="0.2">
      <c r="A58" s="6"/>
      <c r="B58" s="7"/>
      <c r="C58" s="1479" t="s">
        <v>447</v>
      </c>
      <c r="D58" s="1480"/>
      <c r="E58" s="256"/>
      <c r="F58" s="410"/>
      <c r="G58" s="410"/>
      <c r="H58" s="410"/>
      <c r="I58" s="19"/>
      <c r="J58" s="410"/>
      <c r="K58" s="410"/>
      <c r="L58" s="410"/>
      <c r="M58" s="19"/>
      <c r="N58" s="410"/>
      <c r="O58" s="410"/>
      <c r="P58" s="410"/>
      <c r="Q58" s="19"/>
      <c r="R58" s="17"/>
      <c r="S58" s="18"/>
      <c r="T58" s="410"/>
      <c r="U58" s="19"/>
      <c r="V58" s="17"/>
      <c r="W58" s="18"/>
      <c r="X58" s="410"/>
      <c r="Y58" s="19"/>
      <c r="AA58" s="18"/>
      <c r="AB58" s="2"/>
      <c r="AC58" s="19"/>
      <c r="AD58" s="18"/>
      <c r="AF58" s="410"/>
      <c r="AG58" s="19"/>
      <c r="AH58" s="18"/>
      <c r="AI58" s="18"/>
      <c r="AJ58" s="18"/>
      <c r="AK58" s="18"/>
      <c r="AL58" s="22"/>
      <c r="AM58" s="19"/>
      <c r="AN58" s="19"/>
      <c r="AO58" s="19"/>
      <c r="AP58" s="24"/>
      <c r="AQ58" s="661" t="s">
        <v>340</v>
      </c>
      <c r="AR58" s="647"/>
      <c r="AS58" s="647" t="s">
        <v>432</v>
      </c>
      <c r="AT58" s="648"/>
      <c r="AU58" s="15"/>
      <c r="AV58" s="87"/>
      <c r="AW58" s="87"/>
      <c r="AX58" s="87"/>
      <c r="AY58" s="87"/>
      <c r="AZ58" s="87"/>
      <c r="BA58" s="87"/>
      <c r="BB58" s="87"/>
      <c r="BC58" s="193"/>
      <c r="BD58" s="191"/>
      <c r="BE58" s="87"/>
      <c r="BF58" s="87"/>
      <c r="BG58" s="87"/>
      <c r="BH58" s="162"/>
      <c r="BJ58" s="722"/>
      <c r="BM58" s="722"/>
    </row>
    <row r="59" spans="1:65" ht="12.75" customHeight="1" x14ac:dyDescent="0.2">
      <c r="A59" s="6" t="s">
        <v>101</v>
      </c>
      <c r="B59" s="7"/>
      <c r="C59" s="1481" t="s">
        <v>39</v>
      </c>
      <c r="D59" s="1501"/>
      <c r="E59" s="667"/>
      <c r="F59" s="21" t="s">
        <v>425</v>
      </c>
      <c r="G59" s="21" t="s">
        <v>426</v>
      </c>
      <c r="H59" s="21" t="s">
        <v>427</v>
      </c>
      <c r="I59" s="14" t="s">
        <v>428</v>
      </c>
      <c r="J59" s="21" t="s">
        <v>363</v>
      </c>
      <c r="K59" s="21" t="s">
        <v>362</v>
      </c>
      <c r="L59" s="21" t="s">
        <v>361</v>
      </c>
      <c r="M59" s="14" t="s">
        <v>359</v>
      </c>
      <c r="N59" s="21" t="s">
        <v>302</v>
      </c>
      <c r="O59" s="21" t="s">
        <v>303</v>
      </c>
      <c r="P59" s="21" t="s">
        <v>304</v>
      </c>
      <c r="Q59" s="14" t="s">
        <v>305</v>
      </c>
      <c r="R59" s="20" t="s">
        <v>231</v>
      </c>
      <c r="S59" s="21" t="s">
        <v>232</v>
      </c>
      <c r="T59" s="21" t="s">
        <v>233</v>
      </c>
      <c r="U59" s="14" t="s">
        <v>230</v>
      </c>
      <c r="V59" s="20" t="s">
        <v>194</v>
      </c>
      <c r="W59" s="21" t="s">
        <v>195</v>
      </c>
      <c r="X59" s="21" t="s">
        <v>196</v>
      </c>
      <c r="Y59" s="14" t="s">
        <v>197</v>
      </c>
      <c r="Z59" s="21" t="s">
        <v>126</v>
      </c>
      <c r="AA59" s="21" t="s">
        <v>125</v>
      </c>
      <c r="AB59" s="21" t="s">
        <v>124</v>
      </c>
      <c r="AC59" s="14" t="s">
        <v>123</v>
      </c>
      <c r="AD59" s="21" t="s">
        <v>86</v>
      </c>
      <c r="AE59" s="21" t="s">
        <v>87</v>
      </c>
      <c r="AF59" s="21" t="s">
        <v>88</v>
      </c>
      <c r="AG59" s="14" t="s">
        <v>30</v>
      </c>
      <c r="AH59" s="21" t="s">
        <v>31</v>
      </c>
      <c r="AI59" s="21" t="s">
        <v>32</v>
      </c>
      <c r="AJ59" s="21" t="s">
        <v>33</v>
      </c>
      <c r="AK59" s="21" t="s">
        <v>34</v>
      </c>
      <c r="AL59" s="23" t="s">
        <v>35</v>
      </c>
      <c r="AM59" s="14" t="s">
        <v>36</v>
      </c>
      <c r="AN59" s="14" t="s">
        <v>37</v>
      </c>
      <c r="AO59" s="14" t="s">
        <v>38</v>
      </c>
      <c r="AP59" s="256"/>
      <c r="AQ59" s="21" t="s">
        <v>426</v>
      </c>
      <c r="AR59" s="21" t="s">
        <v>362</v>
      </c>
      <c r="AS59" s="1494" t="s">
        <v>39</v>
      </c>
      <c r="AT59" s="1482"/>
      <c r="AU59" s="194"/>
      <c r="AV59" s="20" t="s">
        <v>446</v>
      </c>
      <c r="AW59" s="20" t="s">
        <v>365</v>
      </c>
      <c r="AX59" s="20" t="s">
        <v>307</v>
      </c>
      <c r="AY59" s="20" t="s">
        <v>235</v>
      </c>
      <c r="AZ59" s="20" t="s">
        <v>128</v>
      </c>
      <c r="BA59" s="20" t="s">
        <v>127</v>
      </c>
      <c r="BB59" s="20" t="s">
        <v>43</v>
      </c>
      <c r="BC59" s="20" t="s">
        <v>40</v>
      </c>
      <c r="BD59" s="23" t="s">
        <v>41</v>
      </c>
      <c r="BE59" s="23" t="s">
        <v>146</v>
      </c>
      <c r="BF59" s="23" t="s">
        <v>147</v>
      </c>
      <c r="BG59" s="23" t="s">
        <v>148</v>
      </c>
      <c r="BH59" s="162"/>
      <c r="BJ59" s="722"/>
      <c r="BM59" s="722"/>
    </row>
    <row r="60" spans="1:65" ht="12.75" customHeight="1" x14ac:dyDescent="0.2">
      <c r="A60" s="145"/>
      <c r="B60" s="725" t="s">
        <v>4</v>
      </c>
      <c r="C60" s="397">
        <v>1063</v>
      </c>
      <c r="D60" s="742">
        <v>3.3202148925537231E-2</v>
      </c>
      <c r="E60" s="88"/>
      <c r="F60" s="738">
        <v>33079</v>
      </c>
      <c r="G60" s="738">
        <v>28267</v>
      </c>
      <c r="H60" s="738">
        <v>31637</v>
      </c>
      <c r="I60" s="638">
        <v>32356</v>
      </c>
      <c r="J60" s="738">
        <v>32016</v>
      </c>
      <c r="K60" s="738">
        <v>27719</v>
      </c>
      <c r="L60" s="738">
        <v>24413</v>
      </c>
      <c r="M60" s="739">
        <v>26842</v>
      </c>
      <c r="N60" s="738">
        <v>32223</v>
      </c>
      <c r="O60" s="738">
        <v>35051</v>
      </c>
      <c r="P60" s="738">
        <v>35814</v>
      </c>
      <c r="Q60" s="739">
        <v>36767</v>
      </c>
      <c r="R60" s="738">
        <v>52537</v>
      </c>
      <c r="S60" s="738">
        <v>44571</v>
      </c>
      <c r="T60" s="738">
        <v>47412</v>
      </c>
      <c r="U60" s="739">
        <v>54783</v>
      </c>
      <c r="V60" s="738">
        <v>72704</v>
      </c>
      <c r="W60" s="738">
        <v>68599</v>
      </c>
      <c r="X60" s="738">
        <v>44539</v>
      </c>
      <c r="Y60" s="739">
        <v>47207</v>
      </c>
      <c r="Z60" s="738">
        <v>54990</v>
      </c>
      <c r="AA60" s="738">
        <v>51733</v>
      </c>
      <c r="AB60" s="738">
        <v>40138</v>
      </c>
      <c r="AC60" s="739">
        <v>40185</v>
      </c>
      <c r="AD60" s="337">
        <v>37255</v>
      </c>
      <c r="AE60" s="738">
        <v>33532</v>
      </c>
      <c r="AF60" s="738">
        <v>43844</v>
      </c>
      <c r="AG60" s="739">
        <v>57853</v>
      </c>
      <c r="AH60" s="172">
        <v>54463</v>
      </c>
      <c r="AI60" s="209">
        <v>61166</v>
      </c>
      <c r="AJ60" s="209">
        <v>57415</v>
      </c>
      <c r="AK60" s="213">
        <v>76083</v>
      </c>
      <c r="AL60" s="223">
        <v>75876</v>
      </c>
      <c r="AM60" s="213">
        <v>68831</v>
      </c>
      <c r="AN60" s="213">
        <v>55626</v>
      </c>
      <c r="AO60" s="222">
        <v>72286</v>
      </c>
      <c r="AP60" s="88"/>
      <c r="AQ60" s="738">
        <v>92260</v>
      </c>
      <c r="AR60" s="738">
        <v>78974</v>
      </c>
      <c r="AS60" s="754">
        <v>14349</v>
      </c>
      <c r="AT60" s="517">
        <v>0.12928191728984592</v>
      </c>
      <c r="AU60" s="724"/>
      <c r="AV60" s="565">
        <v>125339</v>
      </c>
      <c r="AW60" s="565">
        <v>110990</v>
      </c>
      <c r="AX60" s="744">
        <v>139855</v>
      </c>
      <c r="AY60" s="729">
        <v>199303</v>
      </c>
      <c r="AZ60" s="729">
        <v>233049</v>
      </c>
      <c r="BA60" s="729">
        <v>187046</v>
      </c>
      <c r="BB60" s="729">
        <v>172484</v>
      </c>
      <c r="BC60" s="221">
        <v>249127</v>
      </c>
      <c r="BD60" s="223">
        <v>272619</v>
      </c>
      <c r="BE60" s="223">
        <v>225194</v>
      </c>
      <c r="BF60" s="223">
        <v>178176</v>
      </c>
      <c r="BG60" s="223">
        <v>175983</v>
      </c>
      <c r="BH60" s="162"/>
      <c r="BJ60" s="722"/>
      <c r="BM60" s="722"/>
    </row>
    <row r="61" spans="1:65" ht="12.75" customHeight="1" x14ac:dyDescent="0.2">
      <c r="A61" s="724"/>
      <c r="B61" s="725" t="s">
        <v>85</v>
      </c>
      <c r="C61" s="83">
        <v>-1105</v>
      </c>
      <c r="D61" s="45">
        <v>-3.5736231040393258E-2</v>
      </c>
      <c r="E61" s="533"/>
      <c r="F61" s="399">
        <v>29816</v>
      </c>
      <c r="G61" s="399">
        <v>26259</v>
      </c>
      <c r="H61" s="399">
        <v>28532</v>
      </c>
      <c r="I61" s="619">
        <v>30351</v>
      </c>
      <c r="J61" s="399">
        <v>30921</v>
      </c>
      <c r="K61" s="399">
        <v>27970</v>
      </c>
      <c r="L61" s="399">
        <v>26377</v>
      </c>
      <c r="M61" s="739">
        <v>27166</v>
      </c>
      <c r="N61" s="399">
        <v>31433</v>
      </c>
      <c r="O61" s="399">
        <v>31140</v>
      </c>
      <c r="P61" s="399">
        <v>33812</v>
      </c>
      <c r="Q61" s="739">
        <v>34551</v>
      </c>
      <c r="R61" s="399">
        <v>41751</v>
      </c>
      <c r="S61" s="399">
        <v>37244</v>
      </c>
      <c r="T61" s="399">
        <v>37327</v>
      </c>
      <c r="U61" s="739">
        <v>43517</v>
      </c>
      <c r="V61" s="399">
        <v>54200</v>
      </c>
      <c r="W61" s="399">
        <v>52012</v>
      </c>
      <c r="X61" s="399">
        <v>38601</v>
      </c>
      <c r="Y61" s="739">
        <v>39500</v>
      </c>
      <c r="Z61" s="399">
        <v>46835</v>
      </c>
      <c r="AA61" s="399">
        <v>42047</v>
      </c>
      <c r="AB61" s="399">
        <v>35213</v>
      </c>
      <c r="AC61" s="739">
        <v>35168</v>
      </c>
      <c r="AD61" s="399">
        <v>28967</v>
      </c>
      <c r="AE61" s="399">
        <v>34689</v>
      </c>
      <c r="AF61" s="399">
        <v>35911</v>
      </c>
      <c r="AG61" s="739">
        <v>44683</v>
      </c>
      <c r="AH61" s="172">
        <v>43703</v>
      </c>
      <c r="AI61" s="209">
        <v>48132</v>
      </c>
      <c r="AJ61" s="209">
        <v>44039</v>
      </c>
      <c r="AK61" s="213">
        <v>57148</v>
      </c>
      <c r="AL61" s="728">
        <v>55349</v>
      </c>
      <c r="AM61" s="213">
        <v>50178</v>
      </c>
      <c r="AN61" s="213">
        <v>41346</v>
      </c>
      <c r="AO61" s="213">
        <v>55217</v>
      </c>
      <c r="AP61" s="88"/>
      <c r="AQ61" s="738">
        <v>85142</v>
      </c>
      <c r="AR61" s="738">
        <v>81513</v>
      </c>
      <c r="AS61" s="754">
        <v>2524</v>
      </c>
      <c r="AT61" s="45">
        <v>2.2448725474500594E-2</v>
      </c>
      <c r="AU61" s="724"/>
      <c r="AV61" s="565">
        <v>114958</v>
      </c>
      <c r="AW61" s="565">
        <v>112434</v>
      </c>
      <c r="AX61" s="729">
        <v>130936</v>
      </c>
      <c r="AY61" s="729">
        <v>159839</v>
      </c>
      <c r="AZ61" s="729">
        <v>184313</v>
      </c>
      <c r="BA61" s="729">
        <v>159263</v>
      </c>
      <c r="BB61" s="729">
        <v>144250</v>
      </c>
      <c r="BC61" s="172">
        <v>193022</v>
      </c>
      <c r="BD61" s="728">
        <v>202090</v>
      </c>
      <c r="BE61" s="728">
        <v>163976</v>
      </c>
      <c r="BF61" s="728">
        <v>127504</v>
      </c>
      <c r="BG61" s="728">
        <v>118638</v>
      </c>
      <c r="BH61" s="162"/>
      <c r="BJ61" s="722"/>
      <c r="BM61" s="722"/>
    </row>
    <row r="62" spans="1:65" ht="24" x14ac:dyDescent="0.2">
      <c r="A62" s="724"/>
      <c r="B62" s="740" t="s">
        <v>188</v>
      </c>
      <c r="C62" s="83">
        <v>2168</v>
      </c>
      <c r="D62" s="485">
        <v>1.9799086757990867</v>
      </c>
      <c r="E62" s="533"/>
      <c r="F62" s="421">
        <v>3263</v>
      </c>
      <c r="G62" s="421">
        <v>2008</v>
      </c>
      <c r="H62" s="421">
        <v>3105</v>
      </c>
      <c r="I62" s="703">
        <v>2005</v>
      </c>
      <c r="J62" s="421">
        <v>1095</v>
      </c>
      <c r="K62" s="421">
        <v>-251</v>
      </c>
      <c r="L62" s="421">
        <v>-1964</v>
      </c>
      <c r="M62" s="832">
        <v>-324</v>
      </c>
      <c r="N62" s="421">
        <v>790</v>
      </c>
      <c r="O62" s="421">
        <v>3911</v>
      </c>
      <c r="P62" s="421">
        <v>2002</v>
      </c>
      <c r="Q62" s="832">
        <v>2216</v>
      </c>
      <c r="R62" s="421">
        <v>10786</v>
      </c>
      <c r="S62" s="421">
        <v>7327</v>
      </c>
      <c r="T62" s="421">
        <v>10085</v>
      </c>
      <c r="U62" s="832">
        <v>11266</v>
      </c>
      <c r="V62" s="421">
        <v>18504</v>
      </c>
      <c r="W62" s="421">
        <v>16587</v>
      </c>
      <c r="X62" s="421">
        <v>5938</v>
      </c>
      <c r="Y62" s="832">
        <v>7707</v>
      </c>
      <c r="Z62" s="421">
        <v>8155</v>
      </c>
      <c r="AA62" s="421">
        <v>9686</v>
      </c>
      <c r="AB62" s="421">
        <v>4925</v>
      </c>
      <c r="AC62" s="832">
        <v>5017</v>
      </c>
      <c r="AD62" s="421">
        <v>8288</v>
      </c>
      <c r="AE62" s="421">
        <v>-1157</v>
      </c>
      <c r="AF62" s="421">
        <v>7933</v>
      </c>
      <c r="AG62" s="832">
        <v>13170</v>
      </c>
      <c r="AH62" s="1337">
        <v>10760</v>
      </c>
      <c r="AI62" s="421">
        <v>13034</v>
      </c>
      <c r="AJ62" s="421">
        <v>13376</v>
      </c>
      <c r="AK62" s="703">
        <v>18935</v>
      </c>
      <c r="AL62" s="705">
        <v>20527</v>
      </c>
      <c r="AM62" s="703">
        <v>18653</v>
      </c>
      <c r="AN62" s="703">
        <v>14280</v>
      </c>
      <c r="AO62" s="703">
        <v>17069</v>
      </c>
      <c r="AP62" s="751"/>
      <c r="AQ62" s="536">
        <v>7118</v>
      </c>
      <c r="AR62" s="536">
        <v>-2539</v>
      </c>
      <c r="AS62" s="754">
        <v>11825</v>
      </c>
      <c r="AT62" s="485" t="s">
        <v>42</v>
      </c>
      <c r="AU62" s="724"/>
      <c r="AV62" s="565">
        <v>10381</v>
      </c>
      <c r="AW62" s="565">
        <v>-1444</v>
      </c>
      <c r="AX62" s="751">
        <v>8919</v>
      </c>
      <c r="AY62" s="751">
        <v>39464</v>
      </c>
      <c r="AZ62" s="751">
        <v>48736</v>
      </c>
      <c r="BA62" s="751">
        <v>27783</v>
      </c>
      <c r="BB62" s="729">
        <v>28234</v>
      </c>
      <c r="BC62" s="172">
        <v>56105</v>
      </c>
      <c r="BD62" s="728">
        <v>70529</v>
      </c>
      <c r="BE62" s="728">
        <v>61218</v>
      </c>
      <c r="BF62" s="728">
        <v>50672</v>
      </c>
      <c r="BG62" s="728">
        <v>57345</v>
      </c>
      <c r="BH62" s="162"/>
      <c r="BJ62" s="722"/>
      <c r="BM62" s="722"/>
    </row>
    <row r="63" spans="1:65" x14ac:dyDescent="0.2">
      <c r="A63" s="724"/>
      <c r="B63" s="740" t="s">
        <v>77</v>
      </c>
      <c r="C63" s="152">
        <v>1901</v>
      </c>
      <c r="D63" s="483">
        <v>0.59779874213836481</v>
      </c>
      <c r="E63" s="533"/>
      <c r="F63" s="1322">
        <v>-1279</v>
      </c>
      <c r="G63" s="1322">
        <v>-1786</v>
      </c>
      <c r="H63" s="1322">
        <v>-1765</v>
      </c>
      <c r="I63" s="837">
        <v>-2272</v>
      </c>
      <c r="J63" s="1322">
        <v>-3180</v>
      </c>
      <c r="K63" s="1322">
        <v>-4658</v>
      </c>
      <c r="L63" s="1322">
        <v>-5146</v>
      </c>
      <c r="M63" s="1310">
        <v>-5132</v>
      </c>
      <c r="N63" s="1322">
        <v>-7552</v>
      </c>
      <c r="O63" s="1322">
        <v>-4595</v>
      </c>
      <c r="P63" s="1322">
        <v>-7220</v>
      </c>
      <c r="Q63" s="837">
        <v>-7209</v>
      </c>
      <c r="R63" s="1322">
        <v>199</v>
      </c>
      <c r="S63" s="1322">
        <v>-949</v>
      </c>
      <c r="T63" s="1322">
        <v>1935</v>
      </c>
      <c r="U63" s="1310">
        <v>2542</v>
      </c>
      <c r="V63" s="1322">
        <v>9122</v>
      </c>
      <c r="W63" s="1322">
        <v>8143</v>
      </c>
      <c r="X63" s="1322"/>
      <c r="Y63" s="1310"/>
      <c r="Z63" s="1322"/>
      <c r="AA63" s="1322"/>
      <c r="AB63" s="1322"/>
      <c r="AC63" s="1310"/>
      <c r="AD63" s="1322"/>
      <c r="AE63" s="1322"/>
      <c r="AF63" s="1322"/>
      <c r="AG63" s="1310"/>
      <c r="AH63" s="1338"/>
      <c r="AI63" s="1322"/>
      <c r="AJ63" s="1322"/>
      <c r="AK63" s="837"/>
      <c r="AL63" s="1324"/>
      <c r="AM63" s="837"/>
      <c r="AN63" s="837"/>
      <c r="AO63" s="837"/>
      <c r="AP63" s="751"/>
      <c r="AQ63" s="1322">
        <v>-5823</v>
      </c>
      <c r="AR63" s="1322">
        <v>-14936</v>
      </c>
      <c r="AS63" s="407">
        <v>11014</v>
      </c>
      <c r="AT63" s="483">
        <v>0.6079708544932656</v>
      </c>
      <c r="AU63" s="724"/>
      <c r="AV63" s="1396">
        <v>-7102</v>
      </c>
      <c r="AW63" s="1396">
        <v>-18116</v>
      </c>
      <c r="AX63" s="1309">
        <v>-26576</v>
      </c>
      <c r="AY63" s="1309">
        <v>3727</v>
      </c>
      <c r="AZ63" s="1309">
        <v>12132</v>
      </c>
      <c r="BA63" s="1309">
        <v>-7999</v>
      </c>
      <c r="BB63" s="195">
        <v>28234</v>
      </c>
      <c r="BC63" s="208">
        <v>56105</v>
      </c>
      <c r="BD63" s="203"/>
      <c r="BE63" s="203"/>
      <c r="BF63" s="203"/>
      <c r="BG63" s="203"/>
      <c r="BH63" s="162"/>
      <c r="BJ63" s="722"/>
      <c r="BM63" s="722"/>
    </row>
    <row r="64" spans="1:65" ht="12.75" customHeight="1" x14ac:dyDescent="0.2">
      <c r="A64" s="724"/>
      <c r="B64" s="725"/>
      <c r="C64" s="151"/>
      <c r="D64" s="11"/>
      <c r="E64" s="11"/>
      <c r="F64" s="11"/>
      <c r="G64" s="11"/>
      <c r="H64" s="11"/>
      <c r="I64" s="11"/>
      <c r="J64" s="11"/>
      <c r="K64" s="11"/>
      <c r="L64" s="11"/>
      <c r="M64" s="725"/>
      <c r="N64" s="11"/>
      <c r="O64" s="11"/>
      <c r="P64" s="11"/>
      <c r="Q64" s="725"/>
      <c r="R64" s="421"/>
      <c r="S64" s="11"/>
      <c r="T64" s="11"/>
      <c r="U64" s="725"/>
      <c r="V64" s="11"/>
      <c r="W64" s="11"/>
      <c r="X64" s="11"/>
      <c r="Y64" s="725"/>
      <c r="Z64" s="11"/>
      <c r="AA64" s="11"/>
      <c r="AB64" s="11"/>
      <c r="AC64" s="725"/>
      <c r="AD64" s="11"/>
      <c r="AE64" s="11"/>
      <c r="AF64" s="11"/>
      <c r="AG64" s="725"/>
      <c r="AH64" s="724"/>
      <c r="AI64" s="724"/>
      <c r="AJ64" s="724"/>
      <c r="AK64" s="724"/>
      <c r="AL64" s="724"/>
      <c r="AM64" s="724"/>
      <c r="AN64" s="724"/>
      <c r="AO64" s="724"/>
      <c r="AP64" s="725"/>
      <c r="AQ64" s="725"/>
      <c r="AR64" s="725"/>
      <c r="AS64" s="151"/>
      <c r="AT64" s="11"/>
      <c r="AU64" s="725"/>
      <c r="AV64" s="725"/>
      <c r="AW64" s="725"/>
      <c r="AX64" s="725"/>
      <c r="AY64" s="725"/>
      <c r="AZ64" s="725"/>
      <c r="BA64" s="725"/>
      <c r="BB64" s="725"/>
      <c r="BC64" s="724"/>
      <c r="BD64" s="724"/>
      <c r="BE64" s="754"/>
      <c r="BF64" s="754"/>
      <c r="BG64" s="754"/>
      <c r="BH64" s="725"/>
      <c r="BJ64" s="722"/>
      <c r="BM64" s="722"/>
    </row>
    <row r="65" spans="1:65" ht="12.75" customHeight="1" x14ac:dyDescent="0.2">
      <c r="A65" s="724"/>
      <c r="B65" s="727" t="s">
        <v>80</v>
      </c>
      <c r="C65" s="225">
        <v>-1.626001594565335</v>
      </c>
      <c r="D65" s="11"/>
      <c r="E65" s="11"/>
      <c r="F65" s="11">
        <v>0.3015810635146165</v>
      </c>
      <c r="G65" s="11">
        <v>0.34365160788198251</v>
      </c>
      <c r="H65" s="11">
        <v>0.31406264816512314</v>
      </c>
      <c r="I65" s="11">
        <v>0.31929163060946963</v>
      </c>
      <c r="J65" s="11">
        <v>0.31784107946026985</v>
      </c>
      <c r="K65" s="11">
        <v>0.39835491900862224</v>
      </c>
      <c r="L65" s="11">
        <v>0.45582271740466146</v>
      </c>
      <c r="M65" s="11">
        <v>0.38398778034423664</v>
      </c>
      <c r="N65" s="11">
        <v>0.32892654315240666</v>
      </c>
      <c r="O65" s="11">
        <v>0.27796639182904909</v>
      </c>
      <c r="P65" s="11">
        <v>0.29628078405092978</v>
      </c>
      <c r="Q65" s="11">
        <v>0.32134794788805177</v>
      </c>
      <c r="R65" s="11">
        <v>0.21590498125130861</v>
      </c>
      <c r="S65" s="11">
        <v>0.25269794260842254</v>
      </c>
      <c r="T65" s="11">
        <v>0.21564160971905846</v>
      </c>
      <c r="U65" s="11">
        <v>0.20723582133143492</v>
      </c>
      <c r="V65" s="11">
        <v>0.18037522007042253</v>
      </c>
      <c r="W65" s="11">
        <v>0.18236417440487471</v>
      </c>
      <c r="X65" s="11">
        <v>0.27443364242573925</v>
      </c>
      <c r="Y65" s="11">
        <v>0.26133836083631667</v>
      </c>
      <c r="Z65" s="11">
        <v>0.27384979087106748</v>
      </c>
      <c r="AA65" s="11">
        <v>0.26397077300755806</v>
      </c>
      <c r="AB65" s="11">
        <v>0.28613782450545616</v>
      </c>
      <c r="AC65" s="11">
        <v>0.3055617767823815</v>
      </c>
      <c r="AD65" s="11">
        <v>0.30438867266138775</v>
      </c>
      <c r="AE65" s="11">
        <v>0.52001073601336034</v>
      </c>
      <c r="AF65" s="11">
        <v>0.28095064318949003</v>
      </c>
      <c r="AG65" s="11">
        <v>0.24116294747031269</v>
      </c>
      <c r="AH65" s="35">
        <v>0.27273561867689994</v>
      </c>
      <c r="AI65" s="35">
        <v>0.26800000000000002</v>
      </c>
      <c r="AJ65" s="35">
        <v>0.26400000000000001</v>
      </c>
      <c r="AK65" s="35">
        <v>0.20299999999999996</v>
      </c>
      <c r="AL65" s="35">
        <v>0.19</v>
      </c>
      <c r="AM65" s="35">
        <v>0.22199999999999998</v>
      </c>
      <c r="AN65" s="35">
        <v>0.24399999999999999</v>
      </c>
      <c r="AO65" s="35">
        <v>0.255</v>
      </c>
      <c r="AP65" s="725"/>
      <c r="AQ65" s="11">
        <v>0.32496206373292869</v>
      </c>
      <c r="AR65" s="11">
        <v>0.41123660951705626</v>
      </c>
      <c r="AS65" s="225">
        <v>-6.5504444890766624</v>
      </c>
      <c r="AT65" s="11"/>
      <c r="AU65" s="725"/>
      <c r="AV65" s="11">
        <v>0.3187914376211714</v>
      </c>
      <c r="AW65" s="11">
        <v>0.38429588251193803</v>
      </c>
      <c r="AX65" s="11">
        <v>0.30580243823960529</v>
      </c>
      <c r="AY65" s="11">
        <v>0.22168758122055363</v>
      </c>
      <c r="AZ65" s="11">
        <v>0.21533668885084253</v>
      </c>
      <c r="BA65" s="11">
        <v>0.28056734706970476</v>
      </c>
      <c r="BB65" s="11">
        <v>0.3191426451149092</v>
      </c>
      <c r="BC65" s="35">
        <v>0.24833920048810446</v>
      </c>
      <c r="BD65" s="35">
        <v>0.22599999999999998</v>
      </c>
      <c r="BE65" s="305">
        <v>0.20299999999999996</v>
      </c>
      <c r="BF65" s="305">
        <v>0.18</v>
      </c>
      <c r="BG65" s="305">
        <v>0.14600000000000002</v>
      </c>
      <c r="BH65" s="725"/>
      <c r="BJ65" s="722"/>
      <c r="BM65" s="722"/>
    </row>
    <row r="66" spans="1:65" ht="12.75" customHeight="1" x14ac:dyDescent="0.2">
      <c r="A66" s="724"/>
      <c r="B66" s="727" t="s">
        <v>81</v>
      </c>
      <c r="C66" s="225">
        <v>-6.4440994193492473</v>
      </c>
      <c r="D66" s="11"/>
      <c r="E66" s="11"/>
      <c r="F66" s="11">
        <v>0.90135735663109529</v>
      </c>
      <c r="G66" s="11">
        <v>0.92896310185021402</v>
      </c>
      <c r="H66" s="11">
        <v>0.901855422448399</v>
      </c>
      <c r="I66" s="11">
        <v>0.93803313141303002</v>
      </c>
      <c r="J66" s="11">
        <v>0.96579835082458776</v>
      </c>
      <c r="K66" s="11">
        <v>1.0090551607200837</v>
      </c>
      <c r="L66" s="11">
        <v>1.0804489411379183</v>
      </c>
      <c r="M66" s="11">
        <v>1.01207063557112</v>
      </c>
      <c r="N66" s="11">
        <v>0.97548335040188683</v>
      </c>
      <c r="O66" s="11">
        <v>0.88841973124875184</v>
      </c>
      <c r="P66" s="11">
        <v>0.94410007259730833</v>
      </c>
      <c r="Q66" s="11">
        <v>0.93972856093779744</v>
      </c>
      <c r="R66" s="11">
        <v>0.79469707063593276</v>
      </c>
      <c r="S66" s="11">
        <v>0.83561059881986044</v>
      </c>
      <c r="T66" s="11">
        <v>0.78729013751792798</v>
      </c>
      <c r="U66" s="11">
        <v>0.7943522625632039</v>
      </c>
      <c r="V66" s="11">
        <v>0.74548855633802813</v>
      </c>
      <c r="W66" s="11">
        <v>0.75820347235382435</v>
      </c>
      <c r="X66" s="11">
        <v>0.86667864119086646</v>
      </c>
      <c r="Y66" s="11">
        <v>0.83674031393649251</v>
      </c>
      <c r="Z66" s="11">
        <v>0.8517003091471177</v>
      </c>
      <c r="AA66" s="11">
        <v>0.81276941217404752</v>
      </c>
      <c r="AB66" s="11">
        <v>0.8772983207932632</v>
      </c>
      <c r="AC66" s="11">
        <v>0.87515242005723526</v>
      </c>
      <c r="AD66" s="11">
        <v>0.77753321701784994</v>
      </c>
      <c r="AE66" s="11">
        <v>1.0345043540498629</v>
      </c>
      <c r="AF66" s="11">
        <v>0.81906304169327615</v>
      </c>
      <c r="AG66" s="11">
        <v>0.77235406979759047</v>
      </c>
      <c r="AH66" s="35">
        <v>0.8024346804252428</v>
      </c>
      <c r="AI66" s="35">
        <v>0.78700000000000003</v>
      </c>
      <c r="AJ66" s="35">
        <v>0.76700000000000002</v>
      </c>
      <c r="AK66" s="35">
        <v>0.751</v>
      </c>
      <c r="AL66" s="35">
        <v>0.72899999999999998</v>
      </c>
      <c r="AM66" s="35">
        <v>0.72899999999999998</v>
      </c>
      <c r="AN66" s="35">
        <v>0.74299999999999999</v>
      </c>
      <c r="AO66" s="35">
        <v>0.76400000000000001</v>
      </c>
      <c r="AP66" s="725"/>
      <c r="AQ66" s="11">
        <v>0.92284847171038364</v>
      </c>
      <c r="AR66" s="11">
        <v>1.0321498214602274</v>
      </c>
      <c r="AS66" s="225">
        <v>-9.5833564082739908</v>
      </c>
      <c r="AT66" s="11"/>
      <c r="AU66" s="725"/>
      <c r="AV66" s="11">
        <v>0.91717661701465625</v>
      </c>
      <c r="AW66" s="11">
        <v>1.0130101810973962</v>
      </c>
      <c r="AX66" s="11">
        <v>0.93622680633513278</v>
      </c>
      <c r="AY66" s="11">
        <v>0.80198993492320736</v>
      </c>
      <c r="AZ66" s="11">
        <v>0.79087659676720345</v>
      </c>
      <c r="BA66" s="11">
        <v>0.85146434566897977</v>
      </c>
      <c r="BB66" s="11">
        <v>0.83630945479000951</v>
      </c>
      <c r="BC66" s="35">
        <v>0.77479357917849134</v>
      </c>
      <c r="BD66" s="35">
        <v>0.74099999999999999</v>
      </c>
      <c r="BE66" s="305">
        <v>0.72799999999999998</v>
      </c>
      <c r="BF66" s="305">
        <v>0.71599999999999997</v>
      </c>
      <c r="BG66" s="305">
        <v>0.67400000000000004</v>
      </c>
      <c r="BH66" s="725"/>
      <c r="BJ66" s="722"/>
      <c r="BM66" s="722"/>
    </row>
    <row r="67" spans="1:65" ht="12.75" customHeight="1" x14ac:dyDescent="0.2">
      <c r="A67" s="724"/>
      <c r="B67" s="727" t="s">
        <v>187</v>
      </c>
      <c r="C67" s="225">
        <v>6.4440994193492447</v>
      </c>
      <c r="D67" s="11"/>
      <c r="E67" s="11"/>
      <c r="F67" s="11">
        <v>9.8642643368904742E-2</v>
      </c>
      <c r="G67" s="11">
        <v>7.1036898149785976E-2</v>
      </c>
      <c r="H67" s="11">
        <v>9.814457755160097E-2</v>
      </c>
      <c r="I67" s="11">
        <v>6.196686858696996E-2</v>
      </c>
      <c r="J67" s="11">
        <v>3.4201649175412296E-2</v>
      </c>
      <c r="K67" s="11">
        <v>-9.0551607200836971E-3</v>
      </c>
      <c r="L67" s="11">
        <v>-8.0448941137918326E-2</v>
      </c>
      <c r="M67" s="11">
        <v>-1.2070635571119887E-2</v>
      </c>
      <c r="N67" s="11">
        <v>2.4516649598113147E-2</v>
      </c>
      <c r="O67" s="11">
        <v>0.11158026875124818</v>
      </c>
      <c r="P67" s="11">
        <v>5.5899927402691688E-2</v>
      </c>
      <c r="Q67" s="11">
        <v>6.0271439062202517E-2</v>
      </c>
      <c r="R67" s="11">
        <v>0.20530292936406722</v>
      </c>
      <c r="S67" s="11">
        <v>0.16438940118013956</v>
      </c>
      <c r="T67" s="11">
        <v>0.21270986248207205</v>
      </c>
      <c r="U67" s="11">
        <v>0.2056477374367961</v>
      </c>
      <c r="V67" s="11">
        <v>0.25451144366197181</v>
      </c>
      <c r="W67" s="11">
        <v>0.2417965276461756</v>
      </c>
      <c r="X67" s="11">
        <v>0.13332135880913357</v>
      </c>
      <c r="Y67" s="11">
        <v>0.16325968606350752</v>
      </c>
      <c r="Z67" s="11">
        <v>0.14829969085288233</v>
      </c>
      <c r="AA67" s="11">
        <v>0.18723058782595248</v>
      </c>
      <c r="AB67" s="11">
        <v>0.12270167920673676</v>
      </c>
      <c r="AC67" s="11">
        <v>0.12484757994276471</v>
      </c>
      <c r="AD67" s="11">
        <v>0.22246678298215006</v>
      </c>
      <c r="AE67" s="11">
        <v>-3.4504354049862816E-2</v>
      </c>
      <c r="AF67" s="11">
        <v>0.18093695830672385</v>
      </c>
      <c r="AG67" s="11">
        <v>0.22764593020240956</v>
      </c>
      <c r="AH67" s="35">
        <v>0.19756531957475718</v>
      </c>
      <c r="AI67" s="35">
        <v>0.21299999999999997</v>
      </c>
      <c r="AJ67" s="35">
        <v>0.23299999999999998</v>
      </c>
      <c r="AK67" s="35">
        <v>0.249</v>
      </c>
      <c r="AL67" s="35">
        <v>0.27100000000000002</v>
      </c>
      <c r="AM67" s="35">
        <v>0.27100000000000002</v>
      </c>
      <c r="AN67" s="35">
        <v>0.25700000000000001</v>
      </c>
      <c r="AO67" s="35">
        <v>0.23599999999999999</v>
      </c>
      <c r="AP67" s="725"/>
      <c r="AQ67" s="11">
        <v>7.71515282896163E-2</v>
      </c>
      <c r="AR67" s="11">
        <v>-3.2149821460227414E-2</v>
      </c>
      <c r="AS67" s="225">
        <v>9.5833564082739908</v>
      </c>
      <c r="AT67" s="11"/>
      <c r="AU67" s="725"/>
      <c r="AV67" s="11">
        <v>8.2823382985343752E-2</v>
      </c>
      <c r="AW67" s="11">
        <v>-1.3010181097396161E-2</v>
      </c>
      <c r="AX67" s="11">
        <v>6.3773193664867181E-2</v>
      </c>
      <c r="AY67" s="11">
        <v>0.19801006507679261</v>
      </c>
      <c r="AZ67" s="11">
        <v>0.20912340323279655</v>
      </c>
      <c r="BA67" s="11">
        <v>0.14853565433102017</v>
      </c>
      <c r="BB67" s="11">
        <v>0.16369054520999049</v>
      </c>
      <c r="BC67" s="35">
        <v>0.22520642082150871</v>
      </c>
      <c r="BD67" s="35">
        <v>0.25900000000000001</v>
      </c>
      <c r="BE67" s="305">
        <v>0.27200000000000002</v>
      </c>
      <c r="BF67" s="305">
        <v>0.28400000000000003</v>
      </c>
      <c r="BG67" s="305">
        <v>0.32599999999999996</v>
      </c>
      <c r="BH67" s="725"/>
      <c r="BJ67" s="722"/>
    </row>
    <row r="68" spans="1:65" ht="12.75" customHeight="1" x14ac:dyDescent="0.2">
      <c r="A68" s="724"/>
      <c r="B68" s="727"/>
      <c r="C68" s="225"/>
      <c r="D68" s="11"/>
      <c r="E68" s="11"/>
      <c r="F68" s="11"/>
      <c r="G68" s="11"/>
      <c r="H68" s="11"/>
      <c r="I68" s="11"/>
      <c r="J68" s="11"/>
      <c r="K68" s="11"/>
      <c r="L68" s="11"/>
      <c r="M68" s="11"/>
      <c r="N68" s="11"/>
      <c r="O68" s="11"/>
      <c r="P68" s="11"/>
      <c r="Q68" s="11"/>
      <c r="T68" s="11"/>
      <c r="U68" s="11"/>
      <c r="V68" s="11"/>
      <c r="W68" s="11"/>
      <c r="X68" s="11"/>
      <c r="Y68" s="11"/>
      <c r="Z68" s="11"/>
      <c r="AA68" s="11"/>
      <c r="AB68" s="11"/>
      <c r="AC68" s="11"/>
      <c r="AD68" s="11"/>
      <c r="AE68" s="11"/>
      <c r="AF68" s="11"/>
      <c r="AG68" s="11"/>
      <c r="AH68" s="35"/>
      <c r="AI68" s="35"/>
      <c r="AJ68" s="35"/>
      <c r="AK68" s="35"/>
      <c r="AL68" s="35"/>
      <c r="AM68" s="35"/>
      <c r="AN68" s="35"/>
      <c r="AO68" s="35"/>
      <c r="AP68" s="725"/>
      <c r="AQ68" s="725"/>
      <c r="AR68" s="725"/>
      <c r="AS68" s="225"/>
      <c r="AT68" s="11"/>
      <c r="AU68" s="725"/>
      <c r="AV68" s="35"/>
      <c r="AW68" s="35"/>
      <c r="AX68" s="35"/>
      <c r="AY68" s="35"/>
      <c r="AZ68" s="35"/>
      <c r="BA68" s="35"/>
      <c r="BB68" s="35"/>
      <c r="BC68" s="35"/>
      <c r="BD68" s="35"/>
      <c r="BE68" s="305"/>
      <c r="BF68" s="305"/>
      <c r="BG68" s="305"/>
      <c r="BH68" s="725"/>
      <c r="BJ68" s="722"/>
    </row>
    <row r="69" spans="1:65" ht="12.75" customHeight="1" x14ac:dyDescent="0.2">
      <c r="A69" s="12" t="s">
        <v>199</v>
      </c>
      <c r="B69" s="727"/>
      <c r="C69" s="725"/>
      <c r="D69" s="725"/>
      <c r="E69" s="725"/>
      <c r="F69" s="725"/>
      <c r="G69" s="725"/>
      <c r="H69" s="725"/>
      <c r="I69" s="725"/>
      <c r="J69" s="725"/>
      <c r="K69" s="725"/>
      <c r="L69" s="725"/>
      <c r="M69" s="725"/>
      <c r="N69" s="725"/>
      <c r="O69" s="725"/>
      <c r="P69" s="725"/>
      <c r="Q69" s="725"/>
      <c r="R69" s="725"/>
      <c r="S69" s="725"/>
      <c r="T69" s="725"/>
      <c r="U69" s="725"/>
      <c r="V69" s="725"/>
      <c r="W69" s="725"/>
      <c r="X69" s="725"/>
      <c r="Y69" s="725"/>
      <c r="Z69" s="725"/>
      <c r="AA69" s="725"/>
      <c r="AB69" s="725"/>
      <c r="AC69" s="725"/>
      <c r="AD69" s="725"/>
      <c r="AE69" s="725"/>
      <c r="AF69" s="725"/>
      <c r="AG69" s="725"/>
      <c r="AH69" s="725"/>
      <c r="AI69" s="725"/>
      <c r="AJ69" s="725"/>
      <c r="AK69" s="7"/>
      <c r="AL69" s="725"/>
      <c r="AM69" s="7"/>
      <c r="AN69" s="7"/>
      <c r="AO69" s="725"/>
      <c r="AP69" s="725"/>
      <c r="AQ69" s="725"/>
      <c r="AR69" s="725"/>
      <c r="AS69" s="725"/>
      <c r="AT69" s="725"/>
      <c r="AU69" s="725"/>
      <c r="AV69" s="725"/>
      <c r="AW69" s="725"/>
      <c r="AX69" s="725"/>
      <c r="AY69" s="725"/>
      <c r="AZ69" s="725"/>
      <c r="BA69" s="725"/>
      <c r="BB69" s="725"/>
      <c r="BC69" s="725"/>
      <c r="BD69" s="725"/>
      <c r="BE69" s="754"/>
      <c r="BF69" s="305"/>
      <c r="BG69" s="305"/>
      <c r="BH69" s="725"/>
      <c r="BJ69" s="722"/>
    </row>
    <row r="70" spans="1:65" ht="12.75" customHeight="1" x14ac:dyDescent="0.2">
      <c r="C70" s="1479" t="s">
        <v>447</v>
      </c>
      <c r="D70" s="1480"/>
      <c r="E70" s="256"/>
      <c r="F70" s="410"/>
      <c r="G70" s="410"/>
      <c r="H70" s="410"/>
      <c r="I70" s="19"/>
      <c r="J70" s="410"/>
      <c r="K70" s="410"/>
      <c r="L70" s="410"/>
      <c r="M70" s="19"/>
      <c r="N70" s="410"/>
      <c r="O70" s="410"/>
      <c r="P70" s="410"/>
      <c r="Q70" s="19"/>
      <c r="R70" s="17"/>
      <c r="S70" s="18"/>
      <c r="T70" s="410"/>
      <c r="U70" s="19"/>
      <c r="V70" s="17"/>
      <c r="W70" s="18"/>
      <c r="X70" s="410"/>
      <c r="Y70" s="19"/>
      <c r="AA70" s="18"/>
      <c r="AB70" s="2"/>
      <c r="AC70" s="19"/>
      <c r="AD70" s="18"/>
      <c r="AF70" s="410"/>
      <c r="AG70" s="19"/>
      <c r="AH70" s="18"/>
      <c r="AI70" s="18"/>
      <c r="AJ70" s="18"/>
      <c r="AK70" s="18"/>
      <c r="AL70" s="22"/>
      <c r="AM70" s="19"/>
      <c r="AN70" s="19"/>
      <c r="AO70" s="19"/>
      <c r="AP70" s="24"/>
      <c r="AQ70" s="661" t="s">
        <v>340</v>
      </c>
      <c r="AR70" s="647"/>
      <c r="AS70" s="647" t="s">
        <v>432</v>
      </c>
      <c r="AT70" s="648"/>
      <c r="AU70" s="725"/>
      <c r="AV70" s="87"/>
      <c r="AW70" s="87"/>
      <c r="AX70" s="87"/>
      <c r="AY70" s="87"/>
      <c r="AZ70" s="87"/>
      <c r="BA70" s="87"/>
      <c r="BB70" s="87"/>
      <c r="BC70" s="193"/>
      <c r="BD70" s="191"/>
      <c r="BE70" s="87"/>
      <c r="BF70" s="305"/>
      <c r="BG70" s="305"/>
      <c r="BH70" s="162"/>
      <c r="BJ70" s="722"/>
    </row>
    <row r="71" spans="1:65" ht="12.75" customHeight="1" x14ac:dyDescent="0.2">
      <c r="C71" s="1481" t="s">
        <v>39</v>
      </c>
      <c r="D71" s="1501"/>
      <c r="E71" s="667"/>
      <c r="F71" s="21" t="s">
        <v>425</v>
      </c>
      <c r="G71" s="21" t="s">
        <v>426</v>
      </c>
      <c r="H71" s="21" t="s">
        <v>427</v>
      </c>
      <c r="I71" s="14" t="s">
        <v>428</v>
      </c>
      <c r="J71" s="21" t="s">
        <v>363</v>
      </c>
      <c r="K71" s="21" t="s">
        <v>362</v>
      </c>
      <c r="L71" s="21" t="s">
        <v>361</v>
      </c>
      <c r="M71" s="14" t="s">
        <v>359</v>
      </c>
      <c r="N71" s="21" t="s">
        <v>302</v>
      </c>
      <c r="O71" s="21" t="s">
        <v>303</v>
      </c>
      <c r="P71" s="21" t="s">
        <v>304</v>
      </c>
      <c r="Q71" s="14" t="s">
        <v>305</v>
      </c>
      <c r="R71" s="20" t="s">
        <v>231</v>
      </c>
      <c r="S71" s="21" t="s">
        <v>232</v>
      </c>
      <c r="T71" s="21" t="s">
        <v>233</v>
      </c>
      <c r="U71" s="14" t="s">
        <v>230</v>
      </c>
      <c r="V71" s="20" t="s">
        <v>194</v>
      </c>
      <c r="W71" s="21" t="s">
        <v>195</v>
      </c>
      <c r="X71" s="21" t="s">
        <v>196</v>
      </c>
      <c r="Y71" s="14" t="s">
        <v>197</v>
      </c>
      <c r="Z71" s="21" t="s">
        <v>126</v>
      </c>
      <c r="AA71" s="21" t="s">
        <v>125</v>
      </c>
      <c r="AB71" s="21" t="s">
        <v>124</v>
      </c>
      <c r="AC71" s="14" t="s">
        <v>123</v>
      </c>
      <c r="AD71" s="21" t="s">
        <v>86</v>
      </c>
      <c r="AE71" s="21" t="s">
        <v>87</v>
      </c>
      <c r="AF71" s="21" t="s">
        <v>88</v>
      </c>
      <c r="AG71" s="14" t="s">
        <v>30</v>
      </c>
      <c r="AH71" s="21" t="s">
        <v>31</v>
      </c>
      <c r="AI71" s="21" t="s">
        <v>32</v>
      </c>
      <c r="AJ71" s="21" t="s">
        <v>33</v>
      </c>
      <c r="AK71" s="21" t="s">
        <v>34</v>
      </c>
      <c r="AL71" s="23" t="s">
        <v>35</v>
      </c>
      <c r="AM71" s="14" t="s">
        <v>36</v>
      </c>
      <c r="AN71" s="14" t="s">
        <v>37</v>
      </c>
      <c r="AO71" s="14" t="s">
        <v>38</v>
      </c>
      <c r="AP71" s="256"/>
      <c r="AQ71" s="21" t="s">
        <v>426</v>
      </c>
      <c r="AR71" s="21" t="s">
        <v>362</v>
      </c>
      <c r="AS71" s="1494" t="s">
        <v>39</v>
      </c>
      <c r="AT71" s="1482"/>
      <c r="AU71" s="725"/>
      <c r="AV71" s="20" t="s">
        <v>446</v>
      </c>
      <c r="AW71" s="20" t="s">
        <v>365</v>
      </c>
      <c r="AX71" s="20" t="s">
        <v>307</v>
      </c>
      <c r="AY71" s="20" t="s">
        <v>235</v>
      </c>
      <c r="AZ71" s="20" t="s">
        <v>128</v>
      </c>
      <c r="BA71" s="20" t="s">
        <v>127</v>
      </c>
      <c r="BB71" s="20" t="s">
        <v>43</v>
      </c>
      <c r="BC71" s="20" t="s">
        <v>40</v>
      </c>
      <c r="BD71" s="23" t="s">
        <v>41</v>
      </c>
      <c r="BE71" s="23" t="s">
        <v>146</v>
      </c>
      <c r="BF71" s="305"/>
      <c r="BG71" s="305"/>
      <c r="BH71" s="162"/>
      <c r="BJ71" s="722"/>
    </row>
    <row r="72" spans="1:65" ht="12.75" customHeight="1" x14ac:dyDescent="0.2">
      <c r="A72" s="724"/>
      <c r="B72" s="7" t="s">
        <v>341</v>
      </c>
      <c r="C72" s="83">
        <v>259</v>
      </c>
      <c r="D72" s="45">
        <v>1.0971786833855799E-2</v>
      </c>
      <c r="E72" s="88"/>
      <c r="F72" s="399">
        <v>23865</v>
      </c>
      <c r="G72" s="399">
        <v>22098</v>
      </c>
      <c r="H72" s="421">
        <v>23441</v>
      </c>
      <c r="I72" s="703">
        <v>24224</v>
      </c>
      <c r="J72" s="399">
        <v>23606</v>
      </c>
      <c r="K72" s="399">
        <v>21276</v>
      </c>
      <c r="L72" s="421">
        <v>19001</v>
      </c>
      <c r="M72" s="703">
        <v>21312</v>
      </c>
      <c r="N72" s="421">
        <v>22467</v>
      </c>
      <c r="O72" s="421">
        <v>24460</v>
      </c>
      <c r="P72" s="421">
        <v>26063</v>
      </c>
      <c r="Q72" s="703">
        <v>27328</v>
      </c>
      <c r="R72" s="421">
        <v>36033</v>
      </c>
      <c r="S72" s="421">
        <v>31389</v>
      </c>
      <c r="T72" s="421">
        <v>34266</v>
      </c>
      <c r="U72" s="619">
        <v>38087</v>
      </c>
      <c r="V72" s="399">
        <v>46851</v>
      </c>
      <c r="W72" s="399">
        <v>45775</v>
      </c>
      <c r="X72" s="399">
        <v>32880</v>
      </c>
      <c r="Y72" s="619">
        <v>34953</v>
      </c>
      <c r="Z72" s="399">
        <v>38197</v>
      </c>
      <c r="AA72" s="399">
        <v>34040</v>
      </c>
      <c r="AB72" s="399">
        <v>30370</v>
      </c>
      <c r="AC72" s="619">
        <v>29756</v>
      </c>
      <c r="AD72" s="228">
        <v>24593</v>
      </c>
      <c r="AE72" s="429">
        <v>27916</v>
      </c>
      <c r="AF72" s="538">
        <v>32886</v>
      </c>
      <c r="AG72" s="619">
        <v>42504</v>
      </c>
      <c r="AH72" s="739">
        <v>29584</v>
      </c>
      <c r="AI72" s="725"/>
      <c r="AJ72" s="725"/>
      <c r="AK72" s="7"/>
      <c r="AL72" s="725"/>
      <c r="AM72" s="7"/>
      <c r="AN72" s="7"/>
      <c r="AO72" s="725"/>
      <c r="AP72" s="88"/>
      <c r="AQ72" s="536">
        <v>69763</v>
      </c>
      <c r="AR72" s="536">
        <v>61589</v>
      </c>
      <c r="AS72" s="421">
        <v>8433</v>
      </c>
      <c r="AT72" s="45">
        <v>9.8984682199659599E-2</v>
      </c>
      <c r="AU72" s="725"/>
      <c r="AV72" s="565">
        <v>93628</v>
      </c>
      <c r="AW72" s="565">
        <v>85195</v>
      </c>
      <c r="AX72" s="729">
        <v>100318</v>
      </c>
      <c r="AY72" s="729">
        <v>139775</v>
      </c>
      <c r="AZ72" s="729">
        <v>160459</v>
      </c>
      <c r="BA72" s="729">
        <v>132363</v>
      </c>
      <c r="BB72" s="729">
        <v>127899</v>
      </c>
      <c r="BC72" s="221">
        <v>170684</v>
      </c>
      <c r="BD72" s="223">
        <v>177862</v>
      </c>
      <c r="BE72" s="307">
        <v>150224</v>
      </c>
      <c r="BF72" s="305"/>
      <c r="BG72" s="305"/>
      <c r="BH72" s="162"/>
      <c r="BJ72" s="722"/>
    </row>
    <row r="73" spans="1:65" ht="12.75" customHeight="1" x14ac:dyDescent="0.2">
      <c r="A73" s="724"/>
      <c r="B73" s="7" t="s">
        <v>65</v>
      </c>
      <c r="C73" s="83">
        <v>351</v>
      </c>
      <c r="D73" s="45">
        <v>6.1915681778091376E-2</v>
      </c>
      <c r="E73" s="88"/>
      <c r="F73" s="399">
        <v>6020</v>
      </c>
      <c r="G73" s="399">
        <v>3461</v>
      </c>
      <c r="H73" s="421">
        <v>5562</v>
      </c>
      <c r="I73" s="703">
        <v>5812</v>
      </c>
      <c r="J73" s="399">
        <v>5669</v>
      </c>
      <c r="K73" s="399">
        <v>3868</v>
      </c>
      <c r="L73" s="421">
        <v>3124</v>
      </c>
      <c r="M73" s="703">
        <v>3031</v>
      </c>
      <c r="N73" s="421">
        <v>5593</v>
      </c>
      <c r="O73" s="421">
        <v>6233</v>
      </c>
      <c r="P73" s="421">
        <v>6520</v>
      </c>
      <c r="Q73" s="703">
        <v>5567</v>
      </c>
      <c r="R73" s="421">
        <v>10998</v>
      </c>
      <c r="S73" s="421">
        <v>8459</v>
      </c>
      <c r="T73" s="421">
        <v>8442</v>
      </c>
      <c r="U73" s="619">
        <v>11661</v>
      </c>
      <c r="V73" s="399">
        <v>19176</v>
      </c>
      <c r="W73" s="399">
        <v>18914</v>
      </c>
      <c r="X73" s="399">
        <v>8124</v>
      </c>
      <c r="Y73" s="619">
        <v>9445</v>
      </c>
      <c r="Z73" s="399">
        <v>10808</v>
      </c>
      <c r="AA73" s="399">
        <v>10384</v>
      </c>
      <c r="AB73" s="399">
        <v>6254</v>
      </c>
      <c r="AC73" s="619">
        <v>5954</v>
      </c>
      <c r="AD73" s="228">
        <v>5426</v>
      </c>
      <c r="AE73" s="399">
        <v>1798</v>
      </c>
      <c r="AF73" s="619">
        <v>5110</v>
      </c>
      <c r="AG73" s="619">
        <v>8533</v>
      </c>
      <c r="AH73" s="739">
        <v>68274</v>
      </c>
      <c r="AI73" s="725"/>
      <c r="AJ73" s="725"/>
      <c r="AK73" s="7"/>
      <c r="AL73" s="725"/>
      <c r="AM73" s="7"/>
      <c r="AN73" s="7"/>
      <c r="AO73" s="725"/>
      <c r="AP73" s="88"/>
      <c r="AQ73" s="536">
        <v>14835</v>
      </c>
      <c r="AR73" s="536">
        <v>10023</v>
      </c>
      <c r="AS73" s="536">
        <v>5163</v>
      </c>
      <c r="AT73" s="45">
        <v>0.32902115727759368</v>
      </c>
      <c r="AU73" s="725"/>
      <c r="AV73" s="565">
        <v>20855</v>
      </c>
      <c r="AW73" s="565">
        <v>15692</v>
      </c>
      <c r="AX73" s="729">
        <v>23913</v>
      </c>
      <c r="AY73" s="729">
        <v>39560</v>
      </c>
      <c r="AZ73" s="729">
        <v>55659</v>
      </c>
      <c r="BA73" s="729">
        <v>33400</v>
      </c>
      <c r="BB73" s="729">
        <v>20867</v>
      </c>
      <c r="BC73" s="172">
        <v>49804</v>
      </c>
      <c r="BD73" s="728">
        <v>62132</v>
      </c>
      <c r="BE73" s="43">
        <v>49772</v>
      </c>
      <c r="BF73" s="305"/>
      <c r="BG73" s="305"/>
      <c r="BH73" s="162"/>
      <c r="BJ73" s="722"/>
    </row>
    <row r="74" spans="1:65" ht="12.75" customHeight="1" x14ac:dyDescent="0.2">
      <c r="A74" s="724"/>
      <c r="B74" s="7" t="s">
        <v>213</v>
      </c>
      <c r="C74" s="83">
        <v>3</v>
      </c>
      <c r="D74" s="485">
        <v>0</v>
      </c>
      <c r="E74" s="88"/>
      <c r="F74" s="399">
        <v>3</v>
      </c>
      <c r="G74" s="399">
        <v>30</v>
      </c>
      <c r="H74" s="421">
        <v>54</v>
      </c>
      <c r="I74" s="703">
        <v>0</v>
      </c>
      <c r="J74" s="399">
        <v>0</v>
      </c>
      <c r="K74" s="399">
        <v>211</v>
      </c>
      <c r="L74" s="421">
        <v>18</v>
      </c>
      <c r="M74" s="703">
        <v>0</v>
      </c>
      <c r="N74" s="421">
        <v>11</v>
      </c>
      <c r="O74" s="421">
        <v>7</v>
      </c>
      <c r="P74" s="421">
        <v>12</v>
      </c>
      <c r="Q74" s="703">
        <v>438</v>
      </c>
      <c r="R74" s="536">
        <v>36</v>
      </c>
      <c r="S74" s="536">
        <v>0</v>
      </c>
      <c r="T74" s="421">
        <v>3</v>
      </c>
      <c r="U74" s="166">
        <v>0</v>
      </c>
      <c r="V74" s="730">
        <v>0</v>
      </c>
      <c r="W74" s="730">
        <v>50</v>
      </c>
      <c r="X74" s="399">
        <v>250</v>
      </c>
      <c r="Y74" s="166">
        <v>70</v>
      </c>
      <c r="Z74" s="730">
        <v>0</v>
      </c>
      <c r="AA74" s="730">
        <v>0</v>
      </c>
      <c r="AB74" s="730">
        <v>0</v>
      </c>
      <c r="AC74" s="166">
        <v>0</v>
      </c>
      <c r="AD74" s="730">
        <v>0</v>
      </c>
      <c r="AE74" s="730">
        <v>0</v>
      </c>
      <c r="AF74" s="166">
        <v>0</v>
      </c>
      <c r="AG74" s="166">
        <v>0</v>
      </c>
      <c r="AH74" s="730">
        <v>0</v>
      </c>
      <c r="AI74" s="730"/>
      <c r="AJ74" s="730"/>
      <c r="AK74" s="730"/>
      <c r="AL74" s="730"/>
      <c r="AM74" s="730"/>
      <c r="AN74" s="730"/>
      <c r="AO74" s="730"/>
      <c r="AP74" s="616"/>
      <c r="AQ74" s="536">
        <v>84</v>
      </c>
      <c r="AR74" s="536">
        <v>229</v>
      </c>
      <c r="AS74" s="536">
        <v>-142</v>
      </c>
      <c r="AT74" s="485">
        <v>-0.62008733624454149</v>
      </c>
      <c r="AU74" s="730"/>
      <c r="AV74" s="565">
        <v>87</v>
      </c>
      <c r="AW74" s="565">
        <v>229</v>
      </c>
      <c r="AX74" s="729">
        <v>468</v>
      </c>
      <c r="AY74" s="616">
        <v>39</v>
      </c>
      <c r="AZ74" s="616">
        <v>370</v>
      </c>
      <c r="BA74" s="616">
        <v>0</v>
      </c>
      <c r="BB74" s="730">
        <v>0</v>
      </c>
      <c r="BC74" s="616">
        <v>0</v>
      </c>
      <c r="BD74" s="616">
        <v>0</v>
      </c>
      <c r="BE74" s="616">
        <v>0</v>
      </c>
      <c r="BF74" s="305"/>
      <c r="BG74" s="305"/>
      <c r="BH74" s="162"/>
      <c r="BJ74" s="722"/>
    </row>
    <row r="75" spans="1:65" ht="12.75" customHeight="1" x14ac:dyDescent="0.2">
      <c r="A75" s="724"/>
      <c r="B75" s="7" t="s">
        <v>66</v>
      </c>
      <c r="C75" s="83">
        <v>306</v>
      </c>
      <c r="D75" s="485">
        <v>-1.53</v>
      </c>
      <c r="E75" s="88"/>
      <c r="F75" s="421">
        <v>106</v>
      </c>
      <c r="G75" s="399">
        <v>64</v>
      </c>
      <c r="H75" s="421">
        <v>80</v>
      </c>
      <c r="I75" s="703">
        <v>11</v>
      </c>
      <c r="J75" s="421">
        <v>-200</v>
      </c>
      <c r="K75" s="399">
        <v>87</v>
      </c>
      <c r="L75" s="421">
        <v>124</v>
      </c>
      <c r="M75" s="703">
        <v>-345</v>
      </c>
      <c r="N75" s="421">
        <v>-94</v>
      </c>
      <c r="O75" s="421">
        <v>-61</v>
      </c>
      <c r="P75" s="421">
        <v>81</v>
      </c>
      <c r="Q75" s="703">
        <v>-199</v>
      </c>
      <c r="R75" s="421">
        <v>-17</v>
      </c>
      <c r="S75" s="421">
        <v>37</v>
      </c>
      <c r="T75" s="421">
        <v>47</v>
      </c>
      <c r="U75" s="619">
        <v>353</v>
      </c>
      <c r="V75" s="399">
        <v>714</v>
      </c>
      <c r="W75" s="399">
        <v>526</v>
      </c>
      <c r="X75" s="399">
        <v>321</v>
      </c>
      <c r="Y75" s="619">
        <v>104</v>
      </c>
      <c r="Z75" s="399">
        <v>408</v>
      </c>
      <c r="AA75" s="399">
        <v>4280</v>
      </c>
      <c r="AB75" s="399">
        <v>850</v>
      </c>
      <c r="AC75" s="619">
        <v>1696</v>
      </c>
      <c r="AD75" s="228">
        <v>198</v>
      </c>
      <c r="AE75" s="399">
        <v>-649</v>
      </c>
      <c r="AF75" s="619">
        <v>-226</v>
      </c>
      <c r="AG75" s="619">
        <v>548</v>
      </c>
      <c r="AH75" s="739">
        <v>5363</v>
      </c>
      <c r="AI75" s="725"/>
      <c r="AJ75" s="725"/>
      <c r="AK75" s="7"/>
      <c r="AL75" s="725"/>
      <c r="AM75" s="7"/>
      <c r="AN75" s="7"/>
      <c r="AO75" s="725"/>
      <c r="AP75" s="88"/>
      <c r="AQ75" s="536">
        <v>155</v>
      </c>
      <c r="AR75" s="536">
        <v>-134</v>
      </c>
      <c r="AS75" s="536">
        <v>595</v>
      </c>
      <c r="AT75" s="485">
        <v>-1.7814371257485031</v>
      </c>
      <c r="AU75" s="725"/>
      <c r="AV75" s="565">
        <v>261</v>
      </c>
      <c r="AW75" s="565">
        <v>-334</v>
      </c>
      <c r="AX75" s="751">
        <v>-273</v>
      </c>
      <c r="AY75" s="729">
        <v>420</v>
      </c>
      <c r="AZ75" s="729">
        <v>1665</v>
      </c>
      <c r="BA75" s="729">
        <v>7234</v>
      </c>
      <c r="BB75" s="751">
        <v>-129</v>
      </c>
      <c r="BC75" s="172">
        <v>210</v>
      </c>
      <c r="BD75" s="728">
        <v>4992</v>
      </c>
      <c r="BE75" s="43">
        <v>5670</v>
      </c>
      <c r="BF75" s="305"/>
      <c r="BG75" s="305"/>
      <c r="BH75" s="162"/>
      <c r="BJ75" s="722"/>
    </row>
    <row r="76" spans="1:65" ht="12.75" customHeight="1" x14ac:dyDescent="0.2">
      <c r="A76" s="724"/>
      <c r="B76" s="7" t="s">
        <v>67</v>
      </c>
      <c r="C76" s="83">
        <v>238</v>
      </c>
      <c r="D76" s="45">
        <v>0.12592592592592591</v>
      </c>
      <c r="E76" s="88"/>
      <c r="F76" s="399">
        <v>2128</v>
      </c>
      <c r="G76" s="399">
        <v>2296</v>
      </c>
      <c r="H76" s="421">
        <v>2238</v>
      </c>
      <c r="I76" s="703">
        <v>2068</v>
      </c>
      <c r="J76" s="399">
        <v>1890</v>
      </c>
      <c r="K76" s="399">
        <v>1840</v>
      </c>
      <c r="L76" s="421">
        <v>1802</v>
      </c>
      <c r="M76" s="703">
        <v>1939</v>
      </c>
      <c r="N76" s="421">
        <v>2260</v>
      </c>
      <c r="O76" s="421">
        <v>2506</v>
      </c>
      <c r="P76" s="421">
        <v>2765</v>
      </c>
      <c r="Q76" s="703">
        <v>3176</v>
      </c>
      <c r="R76" s="421">
        <v>3237</v>
      </c>
      <c r="S76" s="421">
        <v>3426</v>
      </c>
      <c r="T76" s="421">
        <v>3371</v>
      </c>
      <c r="U76" s="619">
        <v>3392</v>
      </c>
      <c r="V76" s="399">
        <v>3221</v>
      </c>
      <c r="W76" s="399">
        <v>2965</v>
      </c>
      <c r="X76" s="399">
        <v>2556</v>
      </c>
      <c r="Y76" s="619">
        <v>2302</v>
      </c>
      <c r="Z76" s="399">
        <v>2191</v>
      </c>
      <c r="AA76" s="399">
        <v>2171</v>
      </c>
      <c r="AB76" s="399">
        <v>2224</v>
      </c>
      <c r="AC76" s="619">
        <v>2325</v>
      </c>
      <c r="AD76" s="228">
        <v>6358</v>
      </c>
      <c r="AE76" s="399">
        <v>4010</v>
      </c>
      <c r="AF76" s="619">
        <v>5644</v>
      </c>
      <c r="AG76" s="619">
        <v>5891</v>
      </c>
      <c r="AH76" s="739">
        <v>1512</v>
      </c>
      <c r="AI76" s="725"/>
      <c r="AJ76" s="725"/>
      <c r="AK76" s="7"/>
      <c r="AL76" s="725"/>
      <c r="AM76" s="7"/>
      <c r="AN76" s="7"/>
      <c r="AO76" s="725"/>
      <c r="AP76" s="88"/>
      <c r="AQ76" s="536">
        <v>6602</v>
      </c>
      <c r="AR76" s="536">
        <v>5581</v>
      </c>
      <c r="AS76" s="536">
        <v>1259</v>
      </c>
      <c r="AT76" s="45">
        <v>0.1685182706464998</v>
      </c>
      <c r="AU76" s="725"/>
      <c r="AV76" s="565">
        <v>8730</v>
      </c>
      <c r="AW76" s="565">
        <v>7471</v>
      </c>
      <c r="AX76" s="729">
        <v>10707</v>
      </c>
      <c r="AY76" s="729">
        <v>13426</v>
      </c>
      <c r="AZ76" s="729">
        <v>11044</v>
      </c>
      <c r="BA76" s="729">
        <v>8911</v>
      </c>
      <c r="BB76" s="729">
        <v>21903</v>
      </c>
      <c r="BC76" s="172">
        <v>27650</v>
      </c>
      <c r="BD76" s="728">
        <v>26877</v>
      </c>
      <c r="BE76" s="43">
        <v>18354</v>
      </c>
      <c r="BF76" s="305"/>
      <c r="BG76" s="305"/>
      <c r="BH76" s="162"/>
      <c r="BJ76" s="722"/>
    </row>
    <row r="77" spans="1:65" ht="12.75" customHeight="1" x14ac:dyDescent="0.2">
      <c r="A77" s="190"/>
      <c r="B77" s="7" t="s">
        <v>68</v>
      </c>
      <c r="C77" s="83">
        <v>-94</v>
      </c>
      <c r="D77" s="45">
        <v>-8.9438629876308282E-2</v>
      </c>
      <c r="E77" s="534"/>
      <c r="F77" s="407">
        <v>957</v>
      </c>
      <c r="G77" s="407">
        <v>318</v>
      </c>
      <c r="H77" s="1322">
        <v>262</v>
      </c>
      <c r="I77" s="703">
        <v>241</v>
      </c>
      <c r="J77" s="407">
        <v>1051</v>
      </c>
      <c r="K77" s="407">
        <v>437</v>
      </c>
      <c r="L77" s="1322">
        <v>344</v>
      </c>
      <c r="M77" s="703">
        <v>905</v>
      </c>
      <c r="N77" s="421">
        <v>1986</v>
      </c>
      <c r="O77" s="421">
        <v>1906</v>
      </c>
      <c r="P77" s="421">
        <v>373</v>
      </c>
      <c r="Q77" s="703">
        <v>457</v>
      </c>
      <c r="R77" s="421">
        <v>2250</v>
      </c>
      <c r="S77" s="421">
        <v>1260</v>
      </c>
      <c r="T77" s="1322">
        <v>1283</v>
      </c>
      <c r="U77" s="371">
        <v>1290</v>
      </c>
      <c r="V77" s="399">
        <v>2742</v>
      </c>
      <c r="W77" s="399">
        <v>369</v>
      </c>
      <c r="X77" s="407">
        <v>408</v>
      </c>
      <c r="Y77" s="371">
        <v>333</v>
      </c>
      <c r="Z77" s="399">
        <v>3386</v>
      </c>
      <c r="AA77" s="399">
        <v>858</v>
      </c>
      <c r="AB77" s="407">
        <v>440</v>
      </c>
      <c r="AC77" s="371">
        <v>454</v>
      </c>
      <c r="AD77" s="228">
        <v>680</v>
      </c>
      <c r="AE77" s="407">
        <v>457</v>
      </c>
      <c r="AF77" s="371">
        <v>430</v>
      </c>
      <c r="AG77" s="371">
        <v>377</v>
      </c>
      <c r="AH77" s="370">
        <v>60</v>
      </c>
      <c r="AI77" s="15"/>
      <c r="AJ77" s="15"/>
      <c r="AK77" s="15"/>
      <c r="AL77" s="15"/>
      <c r="AM77" s="15"/>
      <c r="AN77" s="15"/>
      <c r="AO77" s="15"/>
      <c r="AP77" s="88"/>
      <c r="AQ77" s="536">
        <v>821</v>
      </c>
      <c r="AR77" s="536">
        <v>1686</v>
      </c>
      <c r="AS77" s="537">
        <v>-959</v>
      </c>
      <c r="AT77" s="153">
        <v>-0.35038363171355497</v>
      </c>
      <c r="AU77" s="724"/>
      <c r="AV77" s="565">
        <v>1778</v>
      </c>
      <c r="AW77" s="565">
        <v>2737</v>
      </c>
      <c r="AX77" s="729">
        <v>4722</v>
      </c>
      <c r="AY77" s="195">
        <v>6083</v>
      </c>
      <c r="AZ77" s="195">
        <v>3852</v>
      </c>
      <c r="BA77" s="195">
        <v>5138</v>
      </c>
      <c r="BB77" s="195">
        <v>1944</v>
      </c>
      <c r="BC77" s="208">
        <v>779</v>
      </c>
      <c r="BD77" s="203">
        <v>756</v>
      </c>
      <c r="BE77" s="158">
        <v>1174</v>
      </c>
      <c r="BF77" s="305"/>
      <c r="BG77" s="305"/>
      <c r="BH77" s="162"/>
      <c r="BJ77" s="722"/>
    </row>
    <row r="78" spans="1:65" ht="12.75" customHeight="1" x14ac:dyDescent="0.2">
      <c r="A78" s="190"/>
      <c r="B78" s="7"/>
      <c r="C78" s="507">
        <v>1063</v>
      </c>
      <c r="D78" s="508">
        <v>3.3202148925537231E-2</v>
      </c>
      <c r="E78" s="24"/>
      <c r="F78" s="330">
        <v>33079</v>
      </c>
      <c r="G78" s="330">
        <v>28267</v>
      </c>
      <c r="H78" s="512">
        <v>31637</v>
      </c>
      <c r="I78" s="510">
        <v>32356</v>
      </c>
      <c r="J78" s="330">
        <v>32016</v>
      </c>
      <c r="K78" s="330">
        <v>27719</v>
      </c>
      <c r="L78" s="512">
        <v>24413</v>
      </c>
      <c r="M78" s="1342">
        <v>26842</v>
      </c>
      <c r="N78" s="512">
        <v>32223</v>
      </c>
      <c r="O78" s="512">
        <v>35051</v>
      </c>
      <c r="P78" s="512">
        <v>35814</v>
      </c>
      <c r="Q78" s="1342">
        <v>36767</v>
      </c>
      <c r="R78" s="512">
        <v>52537</v>
      </c>
      <c r="S78" s="512">
        <v>44571</v>
      </c>
      <c r="T78" s="512">
        <v>47412</v>
      </c>
      <c r="U78" s="510">
        <v>54783</v>
      </c>
      <c r="V78" s="330">
        <v>72704</v>
      </c>
      <c r="W78" s="330">
        <v>68599</v>
      </c>
      <c r="X78" s="330">
        <v>44539</v>
      </c>
      <c r="Y78" s="510">
        <v>47207</v>
      </c>
      <c r="Z78" s="330">
        <v>54990</v>
      </c>
      <c r="AA78" s="330">
        <v>51733</v>
      </c>
      <c r="AB78" s="330">
        <v>40138</v>
      </c>
      <c r="AC78" s="510">
        <v>40185</v>
      </c>
      <c r="AD78" s="329">
        <v>37255</v>
      </c>
      <c r="AE78" s="330">
        <v>33532</v>
      </c>
      <c r="AF78" s="510">
        <v>43844</v>
      </c>
      <c r="AG78" s="510">
        <v>57853</v>
      </c>
      <c r="AH78" s="510">
        <v>104793</v>
      </c>
      <c r="AI78" s="2"/>
      <c r="AJ78" s="2"/>
      <c r="AK78" s="2"/>
      <c r="AL78" s="2"/>
      <c r="AM78" s="2"/>
      <c r="AN78" s="2"/>
      <c r="AO78" s="2"/>
      <c r="AP78" s="24"/>
      <c r="AQ78" s="330">
        <v>92260</v>
      </c>
      <c r="AR78" s="330">
        <v>78974</v>
      </c>
      <c r="AS78" s="549">
        <v>14349</v>
      </c>
      <c r="AT78" s="508">
        <v>0.12928191728984592</v>
      </c>
      <c r="AV78" s="329">
        <v>125339</v>
      </c>
      <c r="AW78" s="329">
        <v>110990</v>
      </c>
      <c r="AX78" s="329">
        <v>139855</v>
      </c>
      <c r="AY78" s="329">
        <v>199303</v>
      </c>
      <c r="AZ78" s="329">
        <v>233049</v>
      </c>
      <c r="BA78" s="329">
        <v>187046</v>
      </c>
      <c r="BB78" s="509">
        <v>172484</v>
      </c>
      <c r="BC78" s="330">
        <v>249127</v>
      </c>
      <c r="BD78" s="509">
        <v>272619</v>
      </c>
      <c r="BE78" s="171">
        <v>225194</v>
      </c>
      <c r="BF78" s="305"/>
      <c r="BG78" s="305"/>
      <c r="BH78" s="162"/>
      <c r="BJ78" s="722"/>
    </row>
    <row r="79" spans="1:65" ht="12.75" customHeight="1" x14ac:dyDescent="0.2">
      <c r="A79" s="7" t="s">
        <v>439</v>
      </c>
      <c r="B79" s="13"/>
      <c r="C79" s="13"/>
      <c r="D79" s="13"/>
      <c r="E79" s="13"/>
      <c r="F79" s="13"/>
      <c r="G79" s="13"/>
      <c r="H79" s="13"/>
      <c r="I79" s="15"/>
      <c r="J79" s="13"/>
      <c r="K79" s="13"/>
      <c r="L79" s="13"/>
      <c r="M79" s="15"/>
      <c r="N79" s="13"/>
      <c r="O79" s="13"/>
      <c r="P79" s="13"/>
      <c r="Q79" s="15"/>
      <c r="R79" s="13"/>
      <c r="S79" s="13"/>
      <c r="T79" s="13"/>
      <c r="U79" s="15"/>
      <c r="V79" s="13"/>
      <c r="W79" s="13"/>
      <c r="X79" s="13"/>
      <c r="Y79" s="15"/>
      <c r="Z79" s="13"/>
      <c r="AA79" s="13"/>
      <c r="AB79" s="13"/>
      <c r="AC79" s="15"/>
      <c r="AD79" s="13"/>
      <c r="AE79" s="13"/>
      <c r="AF79" s="13"/>
      <c r="AG79" s="15"/>
      <c r="AH79" s="15"/>
      <c r="AI79" s="15"/>
      <c r="AJ79" s="15"/>
      <c r="AK79" s="15"/>
      <c r="AL79" s="15"/>
      <c r="AM79" s="15"/>
      <c r="AN79" s="15"/>
      <c r="AO79" s="15"/>
      <c r="AP79" s="722"/>
      <c r="AQ79" s="722"/>
      <c r="AR79" s="722"/>
      <c r="AS79" s="724"/>
      <c r="AT79" s="724"/>
      <c r="BC79" s="2"/>
      <c r="BD79" s="2"/>
      <c r="BG79" s="722"/>
      <c r="BH79" s="722"/>
      <c r="BJ79" s="722"/>
    </row>
    <row r="80" spans="1:65" x14ac:dyDescent="0.2">
      <c r="A80" s="1" t="s">
        <v>29</v>
      </c>
      <c r="B80" s="722"/>
      <c r="C80" s="722"/>
      <c r="D80" s="722"/>
      <c r="F80" s="754"/>
      <c r="G80" s="754"/>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754"/>
      <c r="AI80" s="754"/>
      <c r="AJ80" s="754"/>
      <c r="AK80" s="754"/>
      <c r="AL80" s="754"/>
      <c r="AM80" s="754"/>
      <c r="AN80" s="754"/>
      <c r="AO80" s="754"/>
      <c r="AP80" s="754"/>
      <c r="AQ80" s="754"/>
      <c r="AR80" s="754"/>
      <c r="AS80" s="754"/>
      <c r="AT80" s="754"/>
      <c r="AU80" s="754"/>
      <c r="AY80" s="754"/>
      <c r="AZ80" s="754"/>
      <c r="BA80" s="754"/>
      <c r="BB80" s="754"/>
      <c r="BC80" s="754"/>
      <c r="BD80" s="754"/>
      <c r="BE80" s="754"/>
      <c r="BF80" s="724"/>
      <c r="BG80" s="722"/>
      <c r="BH80" s="722"/>
      <c r="BJ80" s="722"/>
    </row>
    <row r="81" spans="1:62" x14ac:dyDescent="0.2">
      <c r="A81" s="2"/>
      <c r="F81" s="665"/>
      <c r="G81" s="665"/>
      <c r="H81" s="665"/>
      <c r="I81" s="754"/>
      <c r="BC81" s="754"/>
      <c r="BD81" s="754"/>
      <c r="BE81" s="105"/>
      <c r="BF81" s="105"/>
      <c r="BG81" s="722"/>
      <c r="BH81" s="722"/>
      <c r="BJ81" s="722"/>
    </row>
    <row r="82" spans="1:62" x14ac:dyDescent="0.2">
      <c r="A82" s="7" t="s">
        <v>339</v>
      </c>
      <c r="F82" s="665"/>
      <c r="G82" s="665"/>
      <c r="H82" s="665"/>
      <c r="I82" s="665"/>
      <c r="BC82" s="754"/>
      <c r="BD82" s="754"/>
      <c r="BE82" s="105"/>
      <c r="BF82" s="105"/>
      <c r="BG82" s="722"/>
      <c r="BH82" s="722"/>
      <c r="BJ82" s="722"/>
    </row>
    <row r="83" spans="1:62" x14ac:dyDescent="0.2">
      <c r="A83" s="2"/>
      <c r="G83" s="665"/>
      <c r="H83" s="665"/>
      <c r="I83" s="754"/>
      <c r="BC83" s="754"/>
      <c r="BD83" s="754"/>
      <c r="BF83" s="105"/>
    </row>
    <row r="84" spans="1:62" x14ac:dyDescent="0.2">
      <c r="A84" s="7"/>
      <c r="G84" s="665"/>
      <c r="H84" s="665"/>
      <c r="I84" s="1282"/>
      <c r="AS84" s="516"/>
      <c r="BC84" s="2"/>
      <c r="BD84" s="2"/>
      <c r="BF84" s="105"/>
    </row>
    <row r="85" spans="1:62" x14ac:dyDescent="0.2">
      <c r="G85" s="665"/>
      <c r="H85" s="665"/>
      <c r="I85" s="1282"/>
      <c r="J85" s="665"/>
      <c r="K85" s="665"/>
      <c r="L85" s="665"/>
      <c r="M85" s="754"/>
      <c r="Q85" s="754"/>
      <c r="U85" s="754"/>
      <c r="Y85" s="754"/>
      <c r="AC85" s="754"/>
      <c r="AG85" s="754"/>
      <c r="AO85" s="754"/>
      <c r="AP85" s="722"/>
      <c r="AQ85" s="722"/>
      <c r="AR85" s="722"/>
      <c r="BC85" s="2"/>
      <c r="BD85" s="2"/>
      <c r="BF85" s="105"/>
    </row>
    <row r="86" spans="1:62" x14ac:dyDescent="0.2">
      <c r="G86" s="665"/>
      <c r="H86" s="665"/>
      <c r="I86" s="665"/>
      <c r="J86" s="665"/>
      <c r="K86" s="665"/>
      <c r="L86" s="665"/>
      <c r="M86" s="665"/>
      <c r="N86" s="665"/>
      <c r="O86" s="665"/>
      <c r="P86" s="665"/>
      <c r="Q86" s="665"/>
      <c r="U86" s="754"/>
      <c r="Y86" s="754"/>
      <c r="AC86" s="754"/>
      <c r="AG86" s="754"/>
      <c r="AO86" s="754"/>
      <c r="AP86" s="722"/>
      <c r="AQ86" s="722"/>
      <c r="AR86" s="722"/>
      <c r="AV86" s="516"/>
      <c r="AW86" s="516"/>
      <c r="AX86" s="516"/>
      <c r="BC86" s="2"/>
      <c r="BD86" s="2"/>
    </row>
    <row r="87" spans="1:62" x14ac:dyDescent="0.2">
      <c r="G87" s="665"/>
      <c r="H87" s="665"/>
      <c r="I87" s="1282"/>
      <c r="K87" s="665"/>
      <c r="L87" s="665"/>
      <c r="M87" s="754"/>
      <c r="Q87" s="754"/>
      <c r="U87" s="754"/>
      <c r="Y87" s="754"/>
      <c r="AC87" s="754"/>
      <c r="AG87" s="754"/>
      <c r="AO87" s="754"/>
      <c r="AP87" s="722"/>
      <c r="AQ87" s="722"/>
      <c r="AR87" s="722"/>
      <c r="AV87" s="516"/>
      <c r="AW87" s="516"/>
      <c r="AX87" s="516"/>
      <c r="BC87" s="32"/>
      <c r="BD87" s="32"/>
    </row>
    <row r="88" spans="1:62" x14ac:dyDescent="0.2">
      <c r="E88" s="721"/>
      <c r="F88" s="721"/>
      <c r="G88" s="721"/>
      <c r="H88" s="721"/>
      <c r="I88" s="1282"/>
      <c r="K88" s="665"/>
      <c r="L88" s="665"/>
      <c r="M88" s="1282"/>
      <c r="N88" s="1282"/>
      <c r="O88" s="1282"/>
      <c r="P88" s="665"/>
      <c r="Q88" s="754"/>
      <c r="U88" s="754"/>
      <c r="Y88" s="754"/>
      <c r="AC88" s="754"/>
      <c r="AG88" s="754"/>
      <c r="AO88" s="754"/>
      <c r="AP88" s="722"/>
      <c r="AQ88" s="722"/>
      <c r="AR88" s="722"/>
      <c r="BC88" s="35"/>
      <c r="BD88" s="35"/>
    </row>
    <row r="89" spans="1:62" x14ac:dyDescent="0.2">
      <c r="E89" s="721"/>
      <c r="F89" s="721"/>
      <c r="G89" s="721"/>
      <c r="H89" s="721"/>
      <c r="I89" s="1282"/>
      <c r="K89" s="665"/>
      <c r="L89" s="665"/>
      <c r="M89" s="1282"/>
      <c r="N89" s="1282"/>
      <c r="O89" s="1282"/>
      <c r="P89" s="665"/>
      <c r="Q89" s="865"/>
      <c r="U89" s="2"/>
      <c r="Y89" s="2"/>
      <c r="AC89" s="2"/>
      <c r="AG89" s="2"/>
      <c r="AO89" s="148"/>
      <c r="AP89" s="722"/>
      <c r="AQ89" s="722"/>
      <c r="AR89" s="722"/>
      <c r="AV89" s="516"/>
      <c r="AW89" s="516"/>
      <c r="AX89" s="516"/>
      <c r="BC89" s="35"/>
      <c r="BD89" s="35"/>
    </row>
    <row r="90" spans="1:62" x14ac:dyDescent="0.2">
      <c r="E90" s="721"/>
      <c r="F90" s="721"/>
      <c r="G90" s="721"/>
      <c r="H90" s="721"/>
      <c r="I90" s="1282"/>
      <c r="K90" s="665"/>
      <c r="L90" s="665"/>
      <c r="M90" s="1282"/>
      <c r="N90" s="1282"/>
      <c r="O90" s="1282"/>
      <c r="P90" s="665"/>
      <c r="Q90" s="2"/>
      <c r="U90" s="2"/>
      <c r="Y90" s="2"/>
      <c r="AC90" s="2"/>
      <c r="AG90" s="2"/>
      <c r="AO90" s="149"/>
      <c r="AP90" s="722"/>
      <c r="AQ90" s="722"/>
      <c r="AR90" s="722"/>
      <c r="AV90" s="516"/>
      <c r="AW90" s="516"/>
      <c r="AX90" s="516"/>
      <c r="BC90" s="36"/>
      <c r="BD90" s="36"/>
    </row>
    <row r="91" spans="1:62" x14ac:dyDescent="0.2">
      <c r="E91" s="721"/>
      <c r="F91" s="721"/>
      <c r="G91" s="721"/>
      <c r="H91" s="721"/>
      <c r="I91" s="665"/>
      <c r="K91" s="665"/>
      <c r="L91" s="665"/>
      <c r="M91" s="1282"/>
      <c r="N91" s="1282"/>
      <c r="O91" s="1282"/>
      <c r="P91" s="665"/>
      <c r="Q91" s="865"/>
      <c r="U91" s="2"/>
      <c r="Y91" s="2"/>
      <c r="AC91" s="2"/>
      <c r="AG91" s="2"/>
      <c r="AO91" s="149"/>
      <c r="AP91" s="722"/>
      <c r="AQ91" s="722"/>
      <c r="AR91" s="722"/>
      <c r="AV91" s="516"/>
      <c r="AW91" s="516"/>
      <c r="AX91" s="516"/>
      <c r="BC91" s="36"/>
      <c r="BD91" s="36"/>
    </row>
    <row r="92" spans="1:62" x14ac:dyDescent="0.2">
      <c r="E92" s="721"/>
      <c r="F92" s="721"/>
      <c r="G92" s="721"/>
      <c r="H92" s="721"/>
      <c r="I92" s="665"/>
      <c r="J92" s="721"/>
      <c r="K92" s="721"/>
      <c r="L92" s="721"/>
      <c r="M92" s="1282"/>
      <c r="N92" s="1282"/>
      <c r="O92" s="1282"/>
      <c r="P92" s="665"/>
      <c r="Q92" s="665"/>
      <c r="AG92" s="11"/>
      <c r="AH92" s="35"/>
      <c r="AI92" s="35"/>
      <c r="AJ92" s="35"/>
      <c r="AK92" s="35"/>
      <c r="AL92" s="35"/>
      <c r="AM92" s="35"/>
      <c r="AN92" s="35"/>
      <c r="AO92" s="755"/>
      <c r="AP92" s="722"/>
      <c r="AQ92" s="722"/>
      <c r="AR92" s="722"/>
      <c r="AV92" s="516"/>
      <c r="AW92" s="516"/>
      <c r="AX92" s="516"/>
      <c r="BC92" s="722"/>
      <c r="BD92" s="722"/>
    </row>
    <row r="93" spans="1:62" x14ac:dyDescent="0.2">
      <c r="E93" s="721"/>
      <c r="F93" s="721"/>
      <c r="G93" s="721"/>
      <c r="H93" s="721"/>
      <c r="I93" s="665"/>
      <c r="J93" s="721"/>
      <c r="K93" s="721"/>
      <c r="L93" s="721"/>
      <c r="M93" s="1282"/>
      <c r="N93" s="1282"/>
      <c r="O93" s="1282"/>
      <c r="P93" s="665"/>
      <c r="Q93" s="665"/>
      <c r="AG93" s="11"/>
      <c r="AH93" s="35"/>
      <c r="AI93" s="35"/>
      <c r="AJ93" s="35"/>
      <c r="AK93" s="35"/>
      <c r="AL93" s="35"/>
      <c r="AM93" s="35"/>
      <c r="AN93" s="35"/>
      <c r="AO93" s="755"/>
      <c r="AP93" s="722"/>
      <c r="AQ93" s="722"/>
      <c r="AR93" s="722"/>
      <c r="AV93" s="516"/>
      <c r="AW93" s="516"/>
      <c r="AX93" s="516"/>
      <c r="BC93" s="722"/>
      <c r="BD93" s="722"/>
    </row>
    <row r="94" spans="1:62" x14ac:dyDescent="0.2">
      <c r="E94" s="721"/>
      <c r="F94" s="721"/>
      <c r="G94" s="721"/>
      <c r="H94" s="721"/>
      <c r="J94" s="721"/>
      <c r="K94" s="721"/>
      <c r="L94" s="721"/>
      <c r="M94" s="1282"/>
      <c r="N94" s="1282"/>
      <c r="O94" s="1282"/>
      <c r="P94" s="665"/>
      <c r="Q94" s="665"/>
      <c r="AG94" s="35"/>
      <c r="AH94" s="35"/>
      <c r="AI94" s="35"/>
      <c r="AJ94" s="35"/>
      <c r="AK94" s="35"/>
      <c r="AL94" s="35"/>
      <c r="AM94" s="35"/>
      <c r="AN94" s="35"/>
      <c r="AO94" s="35"/>
      <c r="AP94" s="722"/>
      <c r="AQ94" s="722"/>
      <c r="AR94" s="722"/>
      <c r="AV94" s="516"/>
      <c r="AW94" s="516"/>
      <c r="AX94" s="516"/>
      <c r="BC94" s="722"/>
      <c r="BD94" s="722"/>
    </row>
    <row r="95" spans="1:62" x14ac:dyDescent="0.2">
      <c r="E95" s="721"/>
      <c r="F95" s="721"/>
      <c r="G95" s="721"/>
      <c r="H95" s="721"/>
      <c r="J95" s="721"/>
      <c r="K95" s="721"/>
      <c r="L95" s="721"/>
      <c r="M95" s="665"/>
      <c r="Q95" s="665"/>
      <c r="AG95" s="36"/>
      <c r="AH95" s="36"/>
      <c r="AI95" s="36"/>
      <c r="AJ95" s="36"/>
      <c r="AK95" s="36"/>
      <c r="AL95" s="36"/>
      <c r="AM95" s="36"/>
      <c r="AN95" s="36"/>
      <c r="AO95" s="36"/>
      <c r="AP95" s="722"/>
      <c r="AQ95" s="722"/>
      <c r="AR95" s="722"/>
      <c r="AV95" s="516"/>
      <c r="AW95" s="516"/>
      <c r="AX95" s="516"/>
      <c r="BC95" s="722"/>
      <c r="BD95" s="722"/>
    </row>
    <row r="96" spans="1:62" x14ac:dyDescent="0.2">
      <c r="E96" s="721"/>
      <c r="F96" s="721"/>
      <c r="G96" s="721"/>
      <c r="H96" s="721"/>
      <c r="J96" s="721"/>
      <c r="K96" s="721"/>
      <c r="L96" s="721"/>
      <c r="M96" s="665"/>
      <c r="AG96" s="36"/>
      <c r="AH96" s="36"/>
      <c r="AI96" s="36"/>
      <c r="AJ96" s="36"/>
      <c r="AK96" s="36"/>
      <c r="AL96" s="36"/>
      <c r="AM96" s="36"/>
      <c r="AN96" s="36"/>
      <c r="AO96" s="36"/>
      <c r="AP96" s="722"/>
      <c r="AQ96" s="722"/>
      <c r="AR96" s="722"/>
      <c r="BC96" s="722"/>
      <c r="BD96" s="722"/>
    </row>
    <row r="97" spans="5:50" x14ac:dyDescent="0.2">
      <c r="E97" s="721"/>
      <c r="F97" s="721"/>
      <c r="G97" s="721"/>
      <c r="H97" s="721"/>
      <c r="J97" s="721"/>
      <c r="K97" s="721"/>
      <c r="L97" s="721"/>
      <c r="M97" s="665"/>
      <c r="Q97" s="665"/>
      <c r="AG97" s="722"/>
      <c r="AH97" s="722"/>
      <c r="AI97" s="722"/>
      <c r="AJ97" s="722"/>
      <c r="AK97" s="722"/>
      <c r="AL97" s="722"/>
      <c r="AM97" s="722"/>
      <c r="AN97" s="722"/>
      <c r="AO97" s="722"/>
      <c r="AP97" s="722"/>
      <c r="AQ97" s="722"/>
      <c r="AR97" s="722"/>
      <c r="AS97" s="754"/>
      <c r="AT97" s="755"/>
      <c r="AV97" s="516"/>
      <c r="AW97" s="516"/>
      <c r="AX97" s="516"/>
    </row>
    <row r="98" spans="5:50" x14ac:dyDescent="0.2">
      <c r="J98" s="721"/>
      <c r="K98" s="721"/>
      <c r="L98" s="721"/>
      <c r="AG98" s="722"/>
      <c r="AH98" s="722"/>
      <c r="AI98" s="722"/>
      <c r="AJ98" s="722"/>
      <c r="AK98" s="722"/>
      <c r="AL98" s="722"/>
      <c r="AM98" s="722"/>
      <c r="AN98" s="722"/>
      <c r="AO98" s="722"/>
      <c r="AP98" s="722"/>
      <c r="AQ98" s="722"/>
      <c r="AR98" s="722"/>
      <c r="AV98" s="516"/>
      <c r="AW98" s="516"/>
      <c r="AX98" s="516"/>
    </row>
    <row r="99" spans="5:50" x14ac:dyDescent="0.2">
      <c r="J99" s="721"/>
      <c r="K99" s="721"/>
      <c r="L99" s="721"/>
      <c r="AG99" s="722"/>
      <c r="AH99" s="722"/>
      <c r="AI99" s="722"/>
      <c r="AJ99" s="722"/>
      <c r="AK99" s="722"/>
      <c r="AL99" s="722"/>
      <c r="AM99" s="722"/>
      <c r="AN99" s="722"/>
      <c r="AO99" s="722"/>
      <c r="AP99" s="722"/>
      <c r="AQ99" s="722"/>
      <c r="AR99" s="722"/>
      <c r="AV99" s="516"/>
      <c r="AW99" s="516"/>
      <c r="AX99" s="516"/>
    </row>
    <row r="100" spans="5:50" x14ac:dyDescent="0.2">
      <c r="J100" s="721"/>
      <c r="K100" s="721"/>
      <c r="L100" s="721"/>
      <c r="N100" s="721"/>
      <c r="O100" s="721"/>
      <c r="P100" s="721"/>
      <c r="AG100" s="722"/>
      <c r="AH100" s="722"/>
      <c r="AI100" s="722"/>
      <c r="AJ100" s="722"/>
      <c r="AK100" s="722"/>
      <c r="AL100" s="722"/>
      <c r="AM100" s="722"/>
      <c r="AN100" s="722"/>
      <c r="AO100" s="722"/>
      <c r="AP100" s="722"/>
      <c r="AQ100" s="722"/>
      <c r="AR100" s="722"/>
      <c r="AV100" s="516"/>
      <c r="AW100" s="516"/>
      <c r="AX100" s="516"/>
    </row>
    <row r="101" spans="5:50" x14ac:dyDescent="0.2">
      <c r="J101" s="721"/>
      <c r="K101" s="721"/>
      <c r="L101" s="721"/>
      <c r="N101" s="721"/>
      <c r="O101" s="721"/>
      <c r="P101" s="721"/>
      <c r="AG101" s="722"/>
      <c r="AH101" s="722"/>
      <c r="AI101" s="722"/>
      <c r="AJ101" s="722"/>
      <c r="AK101" s="722"/>
      <c r="AL101" s="722"/>
      <c r="AM101" s="722"/>
      <c r="AN101" s="722"/>
      <c r="AO101" s="722"/>
      <c r="AP101" s="722"/>
      <c r="AQ101" s="722"/>
      <c r="AR101" s="722"/>
      <c r="AV101" s="516"/>
      <c r="AW101" s="516"/>
      <c r="AX101" s="516"/>
    </row>
  </sheetData>
  <mergeCells count="10">
    <mergeCell ref="C10:D10"/>
    <mergeCell ref="C11:D11"/>
    <mergeCell ref="AS11:AT11"/>
    <mergeCell ref="C70:D70"/>
    <mergeCell ref="C71:D71"/>
    <mergeCell ref="AS71:AT71"/>
    <mergeCell ref="A33:B33"/>
    <mergeCell ref="C58:D58"/>
    <mergeCell ref="C59:D59"/>
    <mergeCell ref="AS59:AT59"/>
  </mergeCells>
  <conditionalFormatting sqref="A69 AH65:AO68 A77:A78 AY68:BD68 A56:A57 BC45:BF45 A40:A43 A46 AY37:BD37 A36 B36:B51 AY51:BC51 R51:Y51 N37:AO37 AY46:BA46 BC38:BD44 BC65:BD67 P38:AO45 AQ37:AR45 AV38:BB45 F38:H45">
    <cfRule type="cellIs" dxfId="24" priority="11" stopIfTrue="1" operator="equal">
      <formula>0</formula>
    </cfRule>
  </conditionalFormatting>
  <conditionalFormatting sqref="AX68 AX51 AX46 AW37:AX37">
    <cfRule type="cellIs" dxfId="23" priority="10" stopIfTrue="1" operator="equal">
      <formula>0</formula>
    </cfRule>
  </conditionalFormatting>
  <conditionalFormatting sqref="G37:M37">
    <cfRule type="cellIs" dxfId="22" priority="9" stopIfTrue="1" operator="equal">
      <formula>0</formula>
    </cfRule>
  </conditionalFormatting>
  <conditionalFormatting sqref="AW68 AW51 AW46">
    <cfRule type="cellIs" dxfId="21" priority="7" stopIfTrue="1" operator="equal">
      <formula>0</formula>
    </cfRule>
  </conditionalFormatting>
  <conditionalFormatting sqref="F37">
    <cfRule type="cellIs" dxfId="20" priority="5" stopIfTrue="1" operator="equal">
      <formula>0</formula>
    </cfRule>
  </conditionalFormatting>
  <conditionalFormatting sqref="I38:O45">
    <cfRule type="cellIs" dxfId="19" priority="4" stopIfTrue="1" operator="equal">
      <formula>0</formula>
    </cfRule>
  </conditionalFormatting>
  <conditionalFormatting sqref="AV37">
    <cfRule type="cellIs" dxfId="18" priority="2" stopIfTrue="1" operator="equal">
      <formula>0</formula>
    </cfRule>
  </conditionalFormatting>
  <conditionalFormatting sqref="AV68 AV51 AV46">
    <cfRule type="cellIs" dxfId="17" priority="1" stopIfTrue="1" operator="equal">
      <formula>0</formula>
    </cfRule>
  </conditionalFormatting>
  <printOptions horizontalCentered="1"/>
  <pageMargins left="0.3" right="0.3" top="0.4" bottom="0.6" header="0" footer="0.3"/>
  <pageSetup scale="54" orientation="landscape" r:id="rId1"/>
  <headerFooter alignWithMargins="0">
    <oddFooter>&amp;CPage 8</oddFooter>
  </headerFooter>
  <colBreaks count="1" manualBreakCount="1">
    <brk id="57"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01"/>
  <sheetViews>
    <sheetView topLeftCell="A5" zoomScaleNormal="100" zoomScaleSheetLayoutView="80" workbookViewId="0">
      <selection activeCell="A41" sqref="A41:XFD43"/>
    </sheetView>
  </sheetViews>
  <sheetFormatPr defaultRowHeight="12.75" x14ac:dyDescent="0.2"/>
  <cols>
    <col min="1" max="1" width="2.7109375" style="721" customWidth="1"/>
    <col min="2" max="2" width="52" style="721" customWidth="1"/>
    <col min="3" max="3" width="12.28515625" style="721" customWidth="1"/>
    <col min="4" max="4" width="9.7109375" style="721" customWidth="1"/>
    <col min="5" max="5" width="1.5703125" style="722" customWidth="1"/>
    <col min="6" max="6" width="9.7109375" style="722" customWidth="1"/>
    <col min="7" max="7" width="8.140625" style="722" bestFit="1" customWidth="1"/>
    <col min="8" max="8" width="9.28515625" style="722" customWidth="1"/>
    <col min="9" max="9" width="9.42578125" style="722" customWidth="1"/>
    <col min="10" max="12" width="9.28515625" style="722" customWidth="1"/>
    <col min="13" max="13" width="9.42578125" style="722" customWidth="1"/>
    <col min="14" max="14" width="9.28515625" style="722" customWidth="1"/>
    <col min="15" max="16" width="9.28515625" style="722" hidden="1" customWidth="1"/>
    <col min="17" max="18" width="9.42578125" style="722" hidden="1" customWidth="1"/>
    <col min="19" max="20" width="9.28515625" style="722" hidden="1" customWidth="1"/>
    <col min="21" max="22" width="9.42578125" style="722" hidden="1" customWidth="1"/>
    <col min="23" max="30" width="9.28515625" style="722" hidden="1" customWidth="1"/>
    <col min="31" max="32" width="9.7109375" style="722" hidden="1" customWidth="1"/>
    <col min="33" max="41" width="9.7109375" style="721" hidden="1" customWidth="1"/>
    <col min="42" max="42" width="1.5703125" style="721" customWidth="1"/>
    <col min="43" max="44" width="10" style="721" hidden="1" customWidth="1"/>
    <col min="45" max="45" width="10" style="721" customWidth="1"/>
    <col min="46" max="46" width="9.7109375" style="721" customWidth="1"/>
    <col min="47" max="47" width="1.5703125" style="721" customWidth="1"/>
    <col min="48" max="52" width="9.5703125" style="721" customWidth="1"/>
    <col min="53" max="59" width="9.7109375" style="721" hidden="1" customWidth="1"/>
    <col min="60" max="60" width="1.5703125" style="721" customWidth="1"/>
    <col min="61" max="16384" width="9.140625" style="721"/>
  </cols>
  <sheetData>
    <row r="1" spans="1:67" ht="6" customHeight="1" x14ac:dyDescent="0.2"/>
    <row r="5" spans="1:67" ht="5.25" customHeight="1" x14ac:dyDescent="0.2">
      <c r="A5" s="722"/>
      <c r="B5" s="722"/>
      <c r="C5" s="722"/>
      <c r="D5" s="722"/>
      <c r="AG5" s="722"/>
      <c r="AH5" s="722"/>
      <c r="AI5" s="722"/>
    </row>
    <row r="6" spans="1:67" ht="18" customHeight="1" x14ac:dyDescent="0.2">
      <c r="A6" s="132" t="s">
        <v>444</v>
      </c>
      <c r="B6" s="722"/>
      <c r="C6" s="722"/>
      <c r="D6" s="722"/>
      <c r="AG6" s="722"/>
      <c r="AH6" s="722"/>
      <c r="AI6" s="722"/>
      <c r="AV6" s="516"/>
      <c r="AW6" s="516"/>
      <c r="AX6" s="516"/>
    </row>
    <row r="7" spans="1:67" ht="18" customHeight="1" x14ac:dyDescent="0.2">
      <c r="A7" s="164" t="s">
        <v>317</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722"/>
      <c r="AH7" s="722"/>
      <c r="AI7" s="722"/>
      <c r="AV7" s="516"/>
      <c r="AW7" s="516"/>
      <c r="AX7" s="516"/>
    </row>
    <row r="8" spans="1:67" ht="15" x14ac:dyDescent="0.2">
      <c r="A8" s="760" t="s">
        <v>402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722"/>
      <c r="AH8" s="722"/>
      <c r="AI8" s="722"/>
      <c r="AV8" s="516"/>
      <c r="AW8" s="516"/>
      <c r="AX8" s="516"/>
    </row>
    <row r="9" spans="1:67" ht="9.75" customHeight="1" x14ac:dyDescent="0.2">
      <c r="A9" s="2"/>
      <c r="B9" s="2"/>
      <c r="C9" s="2"/>
      <c r="D9" s="2"/>
      <c r="E9" s="2"/>
      <c r="F9" s="424"/>
      <c r="G9" s="424"/>
      <c r="H9" s="424"/>
      <c r="I9" s="2"/>
      <c r="J9" s="424"/>
      <c r="K9" s="424"/>
      <c r="L9" s="424"/>
      <c r="M9" s="2"/>
      <c r="N9" s="424"/>
      <c r="O9" s="424"/>
      <c r="P9" s="424"/>
      <c r="Q9" s="2"/>
      <c r="R9" s="424"/>
      <c r="S9" s="2"/>
      <c r="T9" s="424"/>
      <c r="U9" s="2"/>
      <c r="V9" s="424"/>
      <c r="W9" s="2"/>
      <c r="X9" s="424"/>
      <c r="Y9" s="2"/>
      <c r="Z9" s="424"/>
      <c r="AA9" s="2"/>
      <c r="AB9" s="424"/>
      <c r="AC9" s="2"/>
      <c r="AD9" s="424"/>
      <c r="AE9" s="2"/>
      <c r="AF9" s="2"/>
      <c r="AG9" s="722"/>
      <c r="AH9" s="722"/>
      <c r="AI9" s="722"/>
      <c r="AS9" s="552"/>
      <c r="AT9" s="552"/>
      <c r="BE9" s="722"/>
      <c r="BF9" s="722"/>
      <c r="BG9" s="722"/>
    </row>
    <row r="10" spans="1:67" x14ac:dyDescent="0.2">
      <c r="A10" s="6" t="s">
        <v>1</v>
      </c>
      <c r="B10" s="7"/>
      <c r="C10" s="1479" t="s">
        <v>447</v>
      </c>
      <c r="D10" s="1480"/>
      <c r="E10" s="256"/>
      <c r="F10" s="410"/>
      <c r="G10" s="410"/>
      <c r="H10" s="410"/>
      <c r="I10" s="19"/>
      <c r="J10" s="410"/>
      <c r="K10" s="410"/>
      <c r="L10" s="410"/>
      <c r="M10" s="19"/>
      <c r="N10" s="410"/>
      <c r="O10" s="410"/>
      <c r="P10" s="410"/>
      <c r="Q10" s="19"/>
      <c r="R10" s="17"/>
      <c r="S10" s="18"/>
      <c r="T10" s="410"/>
      <c r="U10" s="19"/>
      <c r="V10" s="17"/>
      <c r="W10" s="18"/>
      <c r="X10" s="410"/>
      <c r="Y10" s="19"/>
      <c r="AA10" s="18"/>
      <c r="AB10" s="2"/>
      <c r="AC10" s="19"/>
      <c r="AD10" s="18"/>
      <c r="AF10" s="410"/>
      <c r="AG10" s="19"/>
      <c r="AH10" s="18"/>
      <c r="AI10" s="18"/>
      <c r="AJ10" s="18"/>
      <c r="AK10" s="18"/>
      <c r="AL10" s="22"/>
      <c r="AM10" s="19"/>
      <c r="AN10" s="19"/>
      <c r="AO10" s="19"/>
      <c r="AP10" s="24"/>
      <c r="AQ10" s="661" t="s">
        <v>340</v>
      </c>
      <c r="AR10" s="647"/>
      <c r="AS10" s="647" t="s">
        <v>432</v>
      </c>
      <c r="AT10" s="648"/>
      <c r="AU10" s="15"/>
      <c r="AV10" s="87"/>
      <c r="AW10" s="87"/>
      <c r="AX10" s="87"/>
      <c r="AY10" s="87"/>
      <c r="AZ10" s="87"/>
      <c r="BA10" s="87"/>
      <c r="BB10" s="87"/>
      <c r="BC10" s="17"/>
      <c r="BD10" s="22"/>
      <c r="BE10" s="87"/>
      <c r="BF10" s="772"/>
      <c r="BG10" s="773"/>
      <c r="BH10" s="25"/>
    </row>
    <row r="11" spans="1:67" ht="13.5" x14ac:dyDescent="0.2">
      <c r="A11" s="6" t="s">
        <v>2</v>
      </c>
      <c r="B11" s="7"/>
      <c r="C11" s="1481" t="s">
        <v>39</v>
      </c>
      <c r="D11" s="1482"/>
      <c r="E11" s="530"/>
      <c r="F11" s="21" t="s">
        <v>425</v>
      </c>
      <c r="G11" s="21" t="s">
        <v>426</v>
      </c>
      <c r="H11" s="21" t="s">
        <v>427</v>
      </c>
      <c r="I11" s="14" t="s">
        <v>428</v>
      </c>
      <c r="J11" s="21" t="s">
        <v>363</v>
      </c>
      <c r="K11" s="21" t="s">
        <v>362</v>
      </c>
      <c r="L11" s="21" t="s">
        <v>361</v>
      </c>
      <c r="M11" s="14" t="s">
        <v>359</v>
      </c>
      <c r="N11" s="21" t="s">
        <v>302</v>
      </c>
      <c r="O11" s="21" t="s">
        <v>303</v>
      </c>
      <c r="P11" s="21" t="s">
        <v>304</v>
      </c>
      <c r="Q11" s="14" t="s">
        <v>305</v>
      </c>
      <c r="R11" s="20" t="s">
        <v>231</v>
      </c>
      <c r="S11" s="21" t="s">
        <v>232</v>
      </c>
      <c r="T11" s="21" t="s">
        <v>233</v>
      </c>
      <c r="U11" s="14" t="s">
        <v>230</v>
      </c>
      <c r="V11" s="20" t="s">
        <v>194</v>
      </c>
      <c r="W11" s="21" t="s">
        <v>195</v>
      </c>
      <c r="X11" s="21" t="s">
        <v>196</v>
      </c>
      <c r="Y11" s="14" t="s">
        <v>197</v>
      </c>
      <c r="Z11" s="21" t="s">
        <v>126</v>
      </c>
      <c r="AA11" s="21" t="s">
        <v>125</v>
      </c>
      <c r="AB11" s="21" t="s">
        <v>124</v>
      </c>
      <c r="AC11" s="14" t="s">
        <v>123</v>
      </c>
      <c r="AD11" s="21" t="s">
        <v>86</v>
      </c>
      <c r="AE11" s="21" t="s">
        <v>87</v>
      </c>
      <c r="AF11" s="21" t="s">
        <v>88</v>
      </c>
      <c r="AG11" s="14" t="s">
        <v>30</v>
      </c>
      <c r="AH11" s="21" t="s">
        <v>31</v>
      </c>
      <c r="AI11" s="21" t="s">
        <v>32</v>
      </c>
      <c r="AJ11" s="21" t="s">
        <v>33</v>
      </c>
      <c r="AK11" s="21" t="s">
        <v>34</v>
      </c>
      <c r="AL11" s="23" t="s">
        <v>35</v>
      </c>
      <c r="AM11" s="14" t="s">
        <v>36</v>
      </c>
      <c r="AN11" s="14" t="s">
        <v>37</v>
      </c>
      <c r="AO11" s="14" t="s">
        <v>38</v>
      </c>
      <c r="AP11" s="256"/>
      <c r="AQ11" s="21" t="s">
        <v>426</v>
      </c>
      <c r="AR11" s="21" t="s">
        <v>362</v>
      </c>
      <c r="AS11" s="1494" t="s">
        <v>39</v>
      </c>
      <c r="AT11" s="1482"/>
      <c r="AU11" s="769"/>
      <c r="AV11" s="20" t="s">
        <v>446</v>
      </c>
      <c r="AW11" s="20" t="s">
        <v>365</v>
      </c>
      <c r="AX11" s="20" t="s">
        <v>307</v>
      </c>
      <c r="AY11" s="20" t="s">
        <v>235</v>
      </c>
      <c r="AZ11" s="20" t="s">
        <v>128</v>
      </c>
      <c r="BA11" s="20" t="s">
        <v>127</v>
      </c>
      <c r="BB11" s="20" t="s">
        <v>43</v>
      </c>
      <c r="BC11" s="20" t="s">
        <v>40</v>
      </c>
      <c r="BD11" s="23" t="s">
        <v>41</v>
      </c>
      <c r="BE11" s="23" t="s">
        <v>146</v>
      </c>
      <c r="BF11" s="23" t="s">
        <v>147</v>
      </c>
      <c r="BG11" s="20" t="s">
        <v>148</v>
      </c>
      <c r="BH11" s="25"/>
      <c r="BI11" s="722"/>
      <c r="BJ11" s="722"/>
      <c r="BM11" s="722"/>
      <c r="BN11" s="722"/>
      <c r="BO11" s="722"/>
    </row>
    <row r="12" spans="1:67" x14ac:dyDescent="0.2">
      <c r="A12" s="6"/>
      <c r="B12" s="7"/>
      <c r="C12" s="771"/>
      <c r="D12" s="770"/>
      <c r="E12" s="530"/>
      <c r="F12" s="633" t="s">
        <v>254</v>
      </c>
      <c r="G12" s="633" t="s">
        <v>254</v>
      </c>
      <c r="H12" s="633" t="s">
        <v>254</v>
      </c>
      <c r="I12" s="634" t="s">
        <v>254</v>
      </c>
      <c r="J12" s="633" t="s">
        <v>254</v>
      </c>
      <c r="K12" s="633" t="s">
        <v>254</v>
      </c>
      <c r="L12" s="633" t="s">
        <v>254</v>
      </c>
      <c r="M12" s="634" t="s">
        <v>254</v>
      </c>
      <c r="N12" s="633" t="s">
        <v>254</v>
      </c>
      <c r="O12" s="633" t="s">
        <v>254</v>
      </c>
      <c r="P12" s="633" t="s">
        <v>254</v>
      </c>
      <c r="Q12" s="634" t="s">
        <v>254</v>
      </c>
      <c r="R12" s="632" t="s">
        <v>254</v>
      </c>
      <c r="S12" s="633" t="s">
        <v>254</v>
      </c>
      <c r="T12" s="633" t="s">
        <v>254</v>
      </c>
      <c r="U12" s="634" t="s">
        <v>254</v>
      </c>
      <c r="V12" s="632" t="s">
        <v>254</v>
      </c>
      <c r="W12" s="633" t="s">
        <v>254</v>
      </c>
      <c r="X12" s="633" t="s">
        <v>254</v>
      </c>
      <c r="Y12" s="634" t="s">
        <v>254</v>
      </c>
      <c r="Z12" s="632" t="s">
        <v>255</v>
      </c>
      <c r="AA12" s="633" t="s">
        <v>255</v>
      </c>
      <c r="AB12" s="633" t="s">
        <v>255</v>
      </c>
      <c r="AC12" s="634" t="s">
        <v>255</v>
      </c>
      <c r="AD12" s="15"/>
      <c r="AE12" s="15"/>
      <c r="AF12" s="15"/>
      <c r="AG12" s="230"/>
      <c r="AH12" s="15"/>
      <c r="AI12" s="15"/>
      <c r="AJ12" s="15"/>
      <c r="AK12" s="15"/>
      <c r="AL12" s="256"/>
      <c r="AM12" s="230"/>
      <c r="AN12" s="230"/>
      <c r="AO12" s="230"/>
      <c r="AP12" s="256"/>
      <c r="AQ12" s="632" t="s">
        <v>254</v>
      </c>
      <c r="AR12" s="633" t="s">
        <v>254</v>
      </c>
      <c r="AS12" s="649"/>
      <c r="AT12" s="650"/>
      <c r="AU12" s="769"/>
      <c r="AV12" s="632" t="s">
        <v>254</v>
      </c>
      <c r="AW12" s="632" t="s">
        <v>254</v>
      </c>
      <c r="AX12" s="632" t="s">
        <v>254</v>
      </c>
      <c r="AY12" s="632" t="s">
        <v>254</v>
      </c>
      <c r="AZ12" s="632" t="s">
        <v>254</v>
      </c>
      <c r="BA12" s="632" t="s">
        <v>255</v>
      </c>
      <c r="BB12" s="632" t="s">
        <v>255</v>
      </c>
      <c r="BC12" s="632" t="s">
        <v>255</v>
      </c>
      <c r="BD12" s="635" t="s">
        <v>255</v>
      </c>
      <c r="BE12" s="256"/>
      <c r="BF12" s="256"/>
      <c r="BG12" s="229"/>
      <c r="BH12" s="25"/>
      <c r="BI12" s="722"/>
      <c r="BJ12" s="722"/>
      <c r="BM12" s="722"/>
      <c r="BN12" s="722"/>
      <c r="BO12" s="722"/>
    </row>
    <row r="13" spans="1:67" ht="12.75" customHeight="1" x14ac:dyDescent="0.2">
      <c r="A13" s="615" t="s">
        <v>64</v>
      </c>
      <c r="B13" s="8"/>
      <c r="C13" s="162"/>
      <c r="D13" s="164"/>
      <c r="E13" s="88"/>
      <c r="F13" s="725"/>
      <c r="G13" s="725"/>
      <c r="H13" s="725"/>
      <c r="I13" s="164"/>
      <c r="J13" s="725"/>
      <c r="K13" s="725"/>
      <c r="L13" s="725"/>
      <c r="M13" s="164"/>
      <c r="N13" s="725"/>
      <c r="O13" s="725"/>
      <c r="P13" s="725"/>
      <c r="Q13" s="164"/>
      <c r="R13" s="193"/>
      <c r="S13" s="192"/>
      <c r="T13" s="192"/>
      <c r="U13" s="163"/>
      <c r="V13" s="725"/>
      <c r="W13" s="725"/>
      <c r="X13" s="725"/>
      <c r="Y13" s="164"/>
      <c r="Z13" s="725"/>
      <c r="AA13" s="725"/>
      <c r="AB13" s="725"/>
      <c r="AC13" s="164"/>
      <c r="AD13" s="725"/>
      <c r="AE13" s="725"/>
      <c r="AF13" s="725"/>
      <c r="AG13" s="164"/>
      <c r="AH13" s="193"/>
      <c r="AI13" s="725"/>
      <c r="AJ13" s="725"/>
      <c r="AL13" s="22"/>
      <c r="AM13" s="26"/>
      <c r="AN13" s="26"/>
      <c r="AO13" s="19"/>
      <c r="AP13" s="88"/>
      <c r="AQ13" s="725"/>
      <c r="AR13" s="725"/>
      <c r="AS13" s="725"/>
      <c r="AT13" s="164"/>
      <c r="AU13" s="724"/>
      <c r="AV13" s="88"/>
      <c r="AW13" s="88"/>
      <c r="AX13" s="88"/>
      <c r="AY13" s="88"/>
      <c r="AZ13" s="88"/>
      <c r="BA13" s="88"/>
      <c r="BB13" s="88"/>
      <c r="BC13" s="162"/>
      <c r="BD13" s="88"/>
      <c r="BE13" s="310"/>
      <c r="BF13" s="310"/>
      <c r="BG13" s="698"/>
      <c r="BH13" s="25"/>
      <c r="BI13" s="722"/>
      <c r="BJ13" s="722"/>
      <c r="BM13" s="722"/>
    </row>
    <row r="14" spans="1:67" ht="12.75" customHeight="1" x14ac:dyDescent="0.2">
      <c r="A14" s="7"/>
      <c r="B14" s="731" t="s">
        <v>269</v>
      </c>
      <c r="C14" s="686">
        <v>2452</v>
      </c>
      <c r="D14" s="742">
        <v>7.3810957254665868E-2</v>
      </c>
      <c r="E14" s="741"/>
      <c r="F14" s="750">
        <v>35672</v>
      </c>
      <c r="G14" s="750">
        <v>29965</v>
      </c>
      <c r="H14" s="750">
        <v>29786</v>
      </c>
      <c r="I14" s="703">
        <v>30128</v>
      </c>
      <c r="J14" s="750">
        <v>33220</v>
      </c>
      <c r="K14" s="750">
        <v>27018</v>
      </c>
      <c r="L14" s="750">
        <v>25830</v>
      </c>
      <c r="M14" s="703">
        <v>26978</v>
      </c>
      <c r="N14" s="750">
        <v>26706</v>
      </c>
      <c r="O14" s="750">
        <v>24792</v>
      </c>
      <c r="P14" s="750">
        <v>20672</v>
      </c>
      <c r="Q14" s="703">
        <v>19587</v>
      </c>
      <c r="R14" s="595">
        <v>1987</v>
      </c>
      <c r="S14" s="777"/>
      <c r="T14" s="777"/>
      <c r="U14" s="778"/>
      <c r="V14" s="777"/>
      <c r="W14" s="777"/>
      <c r="X14" s="777"/>
      <c r="Y14" s="778"/>
      <c r="Z14" s="750">
        <v>0</v>
      </c>
      <c r="AA14" s="748"/>
      <c r="AB14" s="748"/>
      <c r="AC14" s="213"/>
      <c r="AD14" s="748"/>
      <c r="AE14" s="748"/>
      <c r="AF14" s="748"/>
      <c r="AG14" s="213"/>
      <c r="AH14" s="173"/>
      <c r="AI14" s="165"/>
      <c r="AJ14" s="165"/>
      <c r="AK14" s="730"/>
      <c r="AL14" s="616"/>
      <c r="AM14" s="166"/>
      <c r="AN14" s="166"/>
      <c r="AO14" s="166"/>
      <c r="AP14" s="88"/>
      <c r="AQ14" s="738">
        <v>89879</v>
      </c>
      <c r="AR14" s="730">
        <v>79826</v>
      </c>
      <c r="AS14" s="754">
        <v>12505</v>
      </c>
      <c r="AT14" s="485">
        <v>0.11061868619853865</v>
      </c>
      <c r="AU14" s="724"/>
      <c r="AV14" s="565">
        <v>125551</v>
      </c>
      <c r="AW14" s="565">
        <v>113046</v>
      </c>
      <c r="AX14" s="744">
        <v>91757</v>
      </c>
      <c r="AY14" s="744">
        <v>1987</v>
      </c>
      <c r="AZ14" s="789"/>
      <c r="BA14" s="789"/>
      <c r="BB14" s="789"/>
      <c r="BC14" s="789"/>
      <c r="BD14" s="744"/>
      <c r="BE14" s="311"/>
      <c r="BF14" s="311"/>
      <c r="BG14" s="311"/>
      <c r="BH14" s="725"/>
      <c r="BJ14" s="722"/>
      <c r="BM14" s="722"/>
    </row>
    <row r="15" spans="1:67" ht="12.75" customHeight="1" x14ac:dyDescent="0.2">
      <c r="A15" s="8"/>
      <c r="B15" s="7"/>
      <c r="C15" s="167">
        <v>2452</v>
      </c>
      <c r="D15" s="168">
        <v>7.3810957254665868E-2</v>
      </c>
      <c r="E15" s="741"/>
      <c r="F15" s="406">
        <v>35672</v>
      </c>
      <c r="G15" s="406">
        <v>29965</v>
      </c>
      <c r="H15" s="406">
        <v>29786</v>
      </c>
      <c r="I15" s="218">
        <v>30128</v>
      </c>
      <c r="J15" s="406">
        <v>33220</v>
      </c>
      <c r="K15" s="406">
        <v>27018</v>
      </c>
      <c r="L15" s="406">
        <v>25830</v>
      </c>
      <c r="M15" s="218">
        <v>26978</v>
      </c>
      <c r="N15" s="406">
        <v>26706</v>
      </c>
      <c r="O15" s="406">
        <v>24792</v>
      </c>
      <c r="P15" s="406">
        <v>20672</v>
      </c>
      <c r="Q15" s="218">
        <v>19587</v>
      </c>
      <c r="R15" s="774">
        <v>1987</v>
      </c>
      <c r="S15" s="779"/>
      <c r="T15" s="779"/>
      <c r="U15" s="780"/>
      <c r="V15" s="781"/>
      <c r="W15" s="782"/>
      <c r="X15" s="782"/>
      <c r="Y15" s="782"/>
      <c r="Z15" s="406">
        <v>54990</v>
      </c>
      <c r="AA15" s="406">
        <v>51733</v>
      </c>
      <c r="AB15" s="406">
        <v>40138</v>
      </c>
      <c r="AC15" s="218">
        <v>40185</v>
      </c>
      <c r="AD15" s="406">
        <v>37255</v>
      </c>
      <c r="AE15" s="406">
        <v>33532</v>
      </c>
      <c r="AF15" s="406">
        <v>43844</v>
      </c>
      <c r="AG15" s="218">
        <v>57853</v>
      </c>
      <c r="AH15" s="176">
        <v>54463</v>
      </c>
      <c r="AI15" s="217">
        <v>61166</v>
      </c>
      <c r="AJ15" s="217">
        <v>57415</v>
      </c>
      <c r="AK15" s="217">
        <v>76083</v>
      </c>
      <c r="AL15" s="169">
        <v>75876</v>
      </c>
      <c r="AM15" s="218">
        <v>68831</v>
      </c>
      <c r="AN15" s="218">
        <v>55626</v>
      </c>
      <c r="AO15" s="218">
        <v>72286</v>
      </c>
      <c r="AP15" s="88"/>
      <c r="AQ15" s="406">
        <v>89879</v>
      </c>
      <c r="AR15" s="818">
        <v>79826</v>
      </c>
      <c r="AS15" s="406">
        <v>12505</v>
      </c>
      <c r="AT15" s="168">
        <v>0.11061868619853865</v>
      </c>
      <c r="AU15" s="724"/>
      <c r="AV15" s="199">
        <v>125551</v>
      </c>
      <c r="AW15" s="199">
        <v>113046</v>
      </c>
      <c r="AX15" s="199">
        <v>91757</v>
      </c>
      <c r="AY15" s="199">
        <v>1987</v>
      </c>
      <c r="AZ15" s="790"/>
      <c r="BA15" s="790"/>
      <c r="BB15" s="790"/>
      <c r="BC15" s="790"/>
      <c r="BD15" s="199">
        <v>272619</v>
      </c>
      <c r="BE15" s="312">
        <v>225194</v>
      </c>
      <c r="BF15" s="312">
        <v>178176</v>
      </c>
      <c r="BG15" s="312">
        <v>175983</v>
      </c>
      <c r="BH15" s="725"/>
      <c r="BJ15" s="722"/>
      <c r="BM15" s="722"/>
    </row>
    <row r="16" spans="1:67" ht="12.75" customHeight="1" x14ac:dyDescent="0.2">
      <c r="A16" s="615" t="s">
        <v>5</v>
      </c>
      <c r="B16" s="7"/>
      <c r="C16" s="686"/>
      <c r="D16" s="742"/>
      <c r="E16" s="741"/>
      <c r="F16" s="748"/>
      <c r="G16" s="748"/>
      <c r="H16" s="748"/>
      <c r="I16" s="213"/>
      <c r="J16" s="748"/>
      <c r="K16" s="748"/>
      <c r="L16" s="748"/>
      <c r="M16" s="213"/>
      <c r="N16" s="748"/>
      <c r="O16" s="748"/>
      <c r="P16" s="748"/>
      <c r="Q16" s="213"/>
      <c r="R16" s="595"/>
      <c r="S16" s="783"/>
      <c r="T16" s="783"/>
      <c r="U16" s="784"/>
      <c r="V16" s="783"/>
      <c r="W16" s="783"/>
      <c r="X16" s="783"/>
      <c r="Y16" s="784"/>
      <c r="Z16" s="748"/>
      <c r="AA16" s="748"/>
      <c r="AB16" s="748"/>
      <c r="AC16" s="213"/>
      <c r="AD16" s="748"/>
      <c r="AE16" s="748"/>
      <c r="AF16" s="748"/>
      <c r="AG16" s="213"/>
      <c r="AH16" s="172"/>
      <c r="AI16" s="209"/>
      <c r="AJ16" s="209"/>
      <c r="AK16" s="209"/>
      <c r="AL16" s="728"/>
      <c r="AM16" s="213"/>
      <c r="AN16" s="213"/>
      <c r="AO16" s="213"/>
      <c r="AP16" s="88"/>
      <c r="AQ16" s="738"/>
      <c r="AR16" s="730"/>
      <c r="AS16" s="754"/>
      <c r="AT16" s="742"/>
      <c r="AU16" s="724"/>
      <c r="AV16" s="200"/>
      <c r="AW16" s="200"/>
      <c r="AX16" s="200"/>
      <c r="AY16" s="200"/>
      <c r="AZ16" s="791"/>
      <c r="BA16" s="791"/>
      <c r="BB16" s="791"/>
      <c r="BC16" s="789"/>
      <c r="BD16" s="744"/>
      <c r="BE16" s="311"/>
      <c r="BF16" s="311"/>
      <c r="BG16" s="311"/>
      <c r="BH16" s="725"/>
      <c r="BJ16" s="722"/>
      <c r="BM16" s="722"/>
    </row>
    <row r="17" spans="1:65" ht="12.75" customHeight="1" x14ac:dyDescent="0.2">
      <c r="A17" s="615"/>
      <c r="B17" s="7" t="s">
        <v>333</v>
      </c>
      <c r="C17" s="686">
        <v>1788</v>
      </c>
      <c r="D17" s="742">
        <v>0.16241257153238259</v>
      </c>
      <c r="E17" s="741"/>
      <c r="F17" s="748">
        <v>12797</v>
      </c>
      <c r="G17" s="748">
        <v>10473</v>
      </c>
      <c r="H17" s="748">
        <v>10397</v>
      </c>
      <c r="I17" s="213">
        <v>10506</v>
      </c>
      <c r="J17" s="748">
        <v>11009</v>
      </c>
      <c r="K17" s="748">
        <v>9317</v>
      </c>
      <c r="L17" s="748">
        <v>8787</v>
      </c>
      <c r="M17" s="213">
        <v>9406</v>
      </c>
      <c r="N17" s="748">
        <v>9197</v>
      </c>
      <c r="O17" s="748">
        <v>9305</v>
      </c>
      <c r="P17" s="748">
        <v>7682</v>
      </c>
      <c r="Q17" s="213">
        <v>7353</v>
      </c>
      <c r="R17" s="595">
        <v>683</v>
      </c>
      <c r="S17" s="783"/>
      <c r="T17" s="783"/>
      <c r="U17" s="784"/>
      <c r="V17" s="783"/>
      <c r="W17" s="783"/>
      <c r="X17" s="783"/>
      <c r="Y17" s="833"/>
      <c r="Z17" s="748"/>
      <c r="AA17" s="748"/>
      <c r="AB17" s="748"/>
      <c r="AC17" s="213"/>
      <c r="AD17" s="748"/>
      <c r="AE17" s="748"/>
      <c r="AF17" s="748"/>
      <c r="AG17" s="213"/>
      <c r="AH17" s="172"/>
      <c r="AI17" s="209"/>
      <c r="AJ17" s="209"/>
      <c r="AK17" s="209"/>
      <c r="AL17" s="728"/>
      <c r="AM17" s="213"/>
      <c r="AN17" s="213"/>
      <c r="AO17" s="213"/>
      <c r="AP17" s="88"/>
      <c r="AQ17" s="738">
        <v>31376</v>
      </c>
      <c r="AR17" s="730">
        <v>27510</v>
      </c>
      <c r="AS17" s="754">
        <v>5654</v>
      </c>
      <c r="AT17" s="742">
        <v>0.14678470365274279</v>
      </c>
      <c r="AU17" s="724"/>
      <c r="AV17" s="565">
        <v>44173</v>
      </c>
      <c r="AW17" s="565">
        <v>38519</v>
      </c>
      <c r="AX17" s="744">
        <v>33537</v>
      </c>
      <c r="AY17" s="744">
        <v>683</v>
      </c>
      <c r="AZ17" s="791"/>
      <c r="BA17" s="791"/>
      <c r="BB17" s="791"/>
      <c r="BC17" s="789"/>
      <c r="BD17" s="744"/>
      <c r="BE17" s="311"/>
      <c r="BF17" s="311"/>
      <c r="BG17" s="311"/>
      <c r="BH17" s="725"/>
      <c r="BJ17" s="722"/>
      <c r="BM17" s="722"/>
    </row>
    <row r="18" spans="1:65" ht="12.75" customHeight="1" x14ac:dyDescent="0.2">
      <c r="A18" s="615"/>
      <c r="B18" s="7" t="s">
        <v>334</v>
      </c>
      <c r="C18" s="404">
        <v>-31</v>
      </c>
      <c r="D18" s="147">
        <v>-7.8880407124681931E-2</v>
      </c>
      <c r="E18" s="741"/>
      <c r="F18" s="408">
        <v>362</v>
      </c>
      <c r="G18" s="408">
        <v>289</v>
      </c>
      <c r="H18" s="408">
        <v>274</v>
      </c>
      <c r="I18" s="216">
        <v>309</v>
      </c>
      <c r="J18" s="408">
        <v>393</v>
      </c>
      <c r="K18" s="408">
        <v>301</v>
      </c>
      <c r="L18" s="408">
        <v>345</v>
      </c>
      <c r="M18" s="216">
        <v>581</v>
      </c>
      <c r="N18" s="408">
        <v>73</v>
      </c>
      <c r="O18" s="408">
        <v>374</v>
      </c>
      <c r="P18" s="408">
        <v>409</v>
      </c>
      <c r="Q18" s="216">
        <v>387</v>
      </c>
      <c r="R18" s="838">
        <v>284</v>
      </c>
      <c r="S18" s="839"/>
      <c r="T18" s="839"/>
      <c r="U18" s="840"/>
      <c r="V18" s="839"/>
      <c r="W18" s="839"/>
      <c r="X18" s="839"/>
      <c r="Y18" s="833"/>
      <c r="Z18" s="748"/>
      <c r="AA18" s="748"/>
      <c r="AB18" s="748"/>
      <c r="AC18" s="213"/>
      <c r="AD18" s="748"/>
      <c r="AE18" s="748"/>
      <c r="AF18" s="748"/>
      <c r="AG18" s="213"/>
      <c r="AH18" s="172"/>
      <c r="AI18" s="209"/>
      <c r="AJ18" s="209"/>
      <c r="AK18" s="209"/>
      <c r="AL18" s="728"/>
      <c r="AM18" s="213"/>
      <c r="AN18" s="213"/>
      <c r="AO18" s="213"/>
      <c r="AP18" s="88"/>
      <c r="AQ18" s="226">
        <v>872</v>
      </c>
      <c r="AR18" s="343">
        <v>1227</v>
      </c>
      <c r="AS18" s="156">
        <v>-386</v>
      </c>
      <c r="AT18" s="147">
        <v>-0.2382716049382716</v>
      </c>
      <c r="AU18" s="724"/>
      <c r="AV18" s="1396">
        <v>1234</v>
      </c>
      <c r="AW18" s="1396">
        <v>1620</v>
      </c>
      <c r="AX18" s="204">
        <v>1243</v>
      </c>
      <c r="AY18" s="204">
        <v>284</v>
      </c>
      <c r="AZ18" s="841"/>
      <c r="BA18" s="841"/>
      <c r="BB18" s="841"/>
      <c r="BC18" s="796"/>
      <c r="BD18" s="744"/>
      <c r="BE18" s="311"/>
      <c r="BF18" s="311"/>
      <c r="BG18" s="311"/>
      <c r="BH18" s="725"/>
      <c r="BJ18" s="722"/>
      <c r="BM18" s="722"/>
    </row>
    <row r="19" spans="1:65" ht="12.75" customHeight="1" x14ac:dyDescent="0.2">
      <c r="A19" s="8"/>
      <c r="B19" s="724" t="s">
        <v>218</v>
      </c>
      <c r="C19" s="686">
        <v>1757</v>
      </c>
      <c r="D19" s="742">
        <v>0.15409577267146116</v>
      </c>
      <c r="E19" s="741"/>
      <c r="F19" s="748">
        <v>13159</v>
      </c>
      <c r="G19" s="748">
        <v>10762</v>
      </c>
      <c r="H19" s="748">
        <v>10671</v>
      </c>
      <c r="I19" s="213">
        <v>10815</v>
      </c>
      <c r="J19" s="748">
        <v>11402</v>
      </c>
      <c r="K19" s="748">
        <v>9618</v>
      </c>
      <c r="L19" s="748">
        <v>9132</v>
      </c>
      <c r="M19" s="213">
        <v>9987</v>
      </c>
      <c r="N19" s="748">
        <v>9270</v>
      </c>
      <c r="O19" s="748">
        <v>9679</v>
      </c>
      <c r="P19" s="748">
        <v>8091</v>
      </c>
      <c r="Q19" s="213">
        <v>7740</v>
      </c>
      <c r="R19" s="595">
        <v>967</v>
      </c>
      <c r="S19" s="777"/>
      <c r="T19" s="777"/>
      <c r="U19" s="785"/>
      <c r="V19" s="777"/>
      <c r="W19" s="777"/>
      <c r="X19" s="777"/>
      <c r="Y19" s="777"/>
      <c r="Z19" s="748">
        <v>26203</v>
      </c>
      <c r="AA19" s="748">
        <v>24376</v>
      </c>
      <c r="AB19" s="748">
        <v>19368</v>
      </c>
      <c r="AC19" s="213">
        <v>18643</v>
      </c>
      <c r="AD19" s="748">
        <v>13122</v>
      </c>
      <c r="AE19" s="748">
        <v>14195</v>
      </c>
      <c r="AF19" s="748">
        <v>20116</v>
      </c>
      <c r="AG19" s="213">
        <v>26950</v>
      </c>
      <c r="AH19" s="172">
        <v>24166</v>
      </c>
      <c r="AI19" s="209">
        <v>28443</v>
      </c>
      <c r="AJ19" s="209">
        <v>25351</v>
      </c>
      <c r="AK19" s="209">
        <v>37680</v>
      </c>
      <c r="AL19" s="728">
        <v>36567</v>
      </c>
      <c r="AM19" s="213">
        <v>31848</v>
      </c>
      <c r="AN19" s="213">
        <v>24885</v>
      </c>
      <c r="AO19" s="213">
        <v>33368</v>
      </c>
      <c r="AP19" s="88"/>
      <c r="AQ19" s="738">
        <v>32248</v>
      </c>
      <c r="AR19" s="738">
        <v>28737</v>
      </c>
      <c r="AS19" s="754">
        <v>5268</v>
      </c>
      <c r="AT19" s="742">
        <v>0.13124392735245025</v>
      </c>
      <c r="AU19" s="724"/>
      <c r="AV19" s="744">
        <v>45407</v>
      </c>
      <c r="AW19" s="744">
        <v>40139</v>
      </c>
      <c r="AX19" s="744">
        <v>34780</v>
      </c>
      <c r="AY19" s="744">
        <v>967</v>
      </c>
      <c r="AZ19" s="789"/>
      <c r="BA19" s="789"/>
      <c r="BB19" s="789"/>
      <c r="BC19" s="789"/>
      <c r="BD19" s="744">
        <v>126668</v>
      </c>
      <c r="BE19" s="311">
        <v>105283</v>
      </c>
      <c r="BF19" s="311">
        <v>84396</v>
      </c>
      <c r="BG19" s="311">
        <v>82758</v>
      </c>
      <c r="BH19" s="725"/>
      <c r="BJ19" s="722"/>
      <c r="BM19" s="722"/>
    </row>
    <row r="20" spans="1:65" ht="12.75" customHeight="1" x14ac:dyDescent="0.2">
      <c r="A20" s="8"/>
      <c r="B20" s="731" t="s">
        <v>69</v>
      </c>
      <c r="C20" s="686">
        <v>66</v>
      </c>
      <c r="D20" s="742">
        <v>1.4304291287386216E-2</v>
      </c>
      <c r="E20" s="741"/>
      <c r="F20" s="748">
        <v>4680</v>
      </c>
      <c r="G20" s="748">
        <v>4725</v>
      </c>
      <c r="H20" s="748">
        <v>4567</v>
      </c>
      <c r="I20" s="213">
        <v>4601</v>
      </c>
      <c r="J20" s="748">
        <v>4614</v>
      </c>
      <c r="K20" s="748">
        <v>3477</v>
      </c>
      <c r="L20" s="748">
        <v>3559</v>
      </c>
      <c r="M20" s="213">
        <v>3006</v>
      </c>
      <c r="N20" s="748">
        <v>2306</v>
      </c>
      <c r="O20" s="748">
        <v>2596</v>
      </c>
      <c r="P20" s="748">
        <v>2281</v>
      </c>
      <c r="Q20" s="213">
        <v>2552</v>
      </c>
      <c r="R20" s="595">
        <v>178</v>
      </c>
      <c r="S20" s="777"/>
      <c r="T20" s="777"/>
      <c r="U20" s="785"/>
      <c r="V20" s="777"/>
      <c r="W20" s="777"/>
      <c r="X20" s="777"/>
      <c r="Y20" s="777"/>
      <c r="Z20" s="748">
        <v>5573</v>
      </c>
      <c r="AA20" s="748">
        <v>4015</v>
      </c>
      <c r="AB20" s="748">
        <v>4360</v>
      </c>
      <c r="AC20" s="213">
        <v>4246</v>
      </c>
      <c r="AD20" s="748">
        <v>4505</v>
      </c>
      <c r="AE20" s="748">
        <v>3057</v>
      </c>
      <c r="AF20" s="748">
        <v>3477</v>
      </c>
      <c r="AG20" s="213">
        <v>3781</v>
      </c>
      <c r="AH20" s="172">
        <v>4683</v>
      </c>
      <c r="AI20" s="209">
        <v>3272</v>
      </c>
      <c r="AJ20" s="209">
        <v>3510</v>
      </c>
      <c r="AK20" s="209">
        <v>4049</v>
      </c>
      <c r="AL20" s="728">
        <v>4303</v>
      </c>
      <c r="AM20" s="213">
        <v>3039</v>
      </c>
      <c r="AN20" s="213">
        <v>2854</v>
      </c>
      <c r="AO20" s="213">
        <v>3430</v>
      </c>
      <c r="AP20" s="88"/>
      <c r="AQ20" s="738">
        <v>13893</v>
      </c>
      <c r="AR20" s="730">
        <v>10042</v>
      </c>
      <c r="AS20" s="754">
        <v>3917</v>
      </c>
      <c r="AT20" s="742">
        <v>0.26726255458515286</v>
      </c>
      <c r="AU20" s="724"/>
      <c r="AV20" s="565">
        <v>18573</v>
      </c>
      <c r="AW20" s="565">
        <v>14656</v>
      </c>
      <c r="AX20" s="744">
        <v>9735</v>
      </c>
      <c r="AY20" s="744">
        <v>178</v>
      </c>
      <c r="AZ20" s="789"/>
      <c r="BA20" s="789"/>
      <c r="BB20" s="789"/>
      <c r="BC20" s="789"/>
      <c r="BD20" s="744">
        <v>13626</v>
      </c>
      <c r="BE20" s="311">
        <v>13053</v>
      </c>
      <c r="BF20" s="311">
        <v>11158</v>
      </c>
      <c r="BG20" s="311">
        <v>10157</v>
      </c>
      <c r="BH20" s="725"/>
      <c r="BJ20" s="722"/>
      <c r="BM20" s="722"/>
    </row>
    <row r="21" spans="1:65" ht="12.75" customHeight="1" x14ac:dyDescent="0.2">
      <c r="A21" s="8"/>
      <c r="B21" s="731" t="s">
        <v>70</v>
      </c>
      <c r="C21" s="686">
        <v>-6</v>
      </c>
      <c r="D21" s="742">
        <v>-5.3908355795148251E-3</v>
      </c>
      <c r="E21" s="741"/>
      <c r="F21" s="748">
        <v>1107</v>
      </c>
      <c r="G21" s="748">
        <v>1024</v>
      </c>
      <c r="H21" s="748">
        <v>1098</v>
      </c>
      <c r="I21" s="213">
        <v>976</v>
      </c>
      <c r="J21" s="748">
        <v>1113</v>
      </c>
      <c r="K21" s="748">
        <v>949</v>
      </c>
      <c r="L21" s="748">
        <v>813</v>
      </c>
      <c r="M21" s="213">
        <v>1007</v>
      </c>
      <c r="N21" s="748">
        <v>1284</v>
      </c>
      <c r="O21" s="748">
        <v>1292</v>
      </c>
      <c r="P21" s="748">
        <v>958</v>
      </c>
      <c r="Q21" s="213">
        <v>823</v>
      </c>
      <c r="R21" s="595">
        <v>87</v>
      </c>
      <c r="S21" s="777"/>
      <c r="T21" s="777"/>
      <c r="U21" s="785"/>
      <c r="V21" s="777"/>
      <c r="W21" s="777"/>
      <c r="X21" s="777"/>
      <c r="Y21" s="777"/>
      <c r="Z21" s="748">
        <v>2320</v>
      </c>
      <c r="AA21" s="748">
        <v>1910</v>
      </c>
      <c r="AB21" s="748">
        <v>2120</v>
      </c>
      <c r="AC21" s="213">
        <v>2156</v>
      </c>
      <c r="AD21" s="748">
        <v>1697</v>
      </c>
      <c r="AE21" s="748">
        <v>1856</v>
      </c>
      <c r="AF21" s="748">
        <v>1606</v>
      </c>
      <c r="AG21" s="213">
        <v>1849</v>
      </c>
      <c r="AH21" s="172">
        <v>1694</v>
      </c>
      <c r="AI21" s="209">
        <v>2331</v>
      </c>
      <c r="AJ21" s="209">
        <v>2158</v>
      </c>
      <c r="AK21" s="209">
        <v>2399</v>
      </c>
      <c r="AL21" s="728">
        <v>2477</v>
      </c>
      <c r="AM21" s="213">
        <v>2338</v>
      </c>
      <c r="AN21" s="213">
        <v>2276</v>
      </c>
      <c r="AO21" s="213">
        <v>3066</v>
      </c>
      <c r="AP21" s="88"/>
      <c r="AQ21" s="738">
        <v>3098</v>
      </c>
      <c r="AR21" s="730">
        <v>2769</v>
      </c>
      <c r="AS21" s="754">
        <v>323</v>
      </c>
      <c r="AT21" s="742">
        <v>8.3204533745492013E-2</v>
      </c>
      <c r="AU21" s="724"/>
      <c r="AV21" s="565">
        <v>4205</v>
      </c>
      <c r="AW21" s="565">
        <v>3882</v>
      </c>
      <c r="AX21" s="744">
        <v>4357</v>
      </c>
      <c r="AY21" s="744">
        <v>87</v>
      </c>
      <c r="AZ21" s="789"/>
      <c r="BA21" s="789"/>
      <c r="BB21" s="789"/>
      <c r="BC21" s="789"/>
      <c r="BD21" s="744">
        <v>10157</v>
      </c>
      <c r="BE21" s="311">
        <v>9013</v>
      </c>
      <c r="BF21" s="311">
        <v>8802</v>
      </c>
      <c r="BG21" s="311">
        <v>1308</v>
      </c>
      <c r="BH21" s="725"/>
      <c r="BJ21" s="722"/>
      <c r="BM21" s="722"/>
    </row>
    <row r="22" spans="1:65" ht="12.75" customHeight="1" x14ac:dyDescent="0.2">
      <c r="A22" s="8"/>
      <c r="B22" s="731" t="s">
        <v>71</v>
      </c>
      <c r="C22" s="686">
        <v>502</v>
      </c>
      <c r="D22" s="742">
        <v>0.4</v>
      </c>
      <c r="E22" s="741"/>
      <c r="F22" s="748">
        <v>1757</v>
      </c>
      <c r="G22" s="748">
        <v>1324</v>
      </c>
      <c r="H22" s="748">
        <v>1321</v>
      </c>
      <c r="I22" s="213">
        <v>1336</v>
      </c>
      <c r="J22" s="748">
        <v>1255</v>
      </c>
      <c r="K22" s="748">
        <v>878</v>
      </c>
      <c r="L22" s="748">
        <v>830</v>
      </c>
      <c r="M22" s="213">
        <v>837</v>
      </c>
      <c r="N22" s="748">
        <v>591</v>
      </c>
      <c r="O22" s="748">
        <v>550</v>
      </c>
      <c r="P22" s="748">
        <v>749</v>
      </c>
      <c r="Q22" s="213">
        <v>848</v>
      </c>
      <c r="R22" s="595">
        <v>42</v>
      </c>
      <c r="S22" s="777"/>
      <c r="T22" s="777"/>
      <c r="U22" s="785"/>
      <c r="V22" s="777"/>
      <c r="W22" s="777"/>
      <c r="X22" s="777"/>
      <c r="Y22" s="777"/>
      <c r="Z22" s="748">
        <v>2016</v>
      </c>
      <c r="AA22" s="748">
        <v>2074</v>
      </c>
      <c r="AB22" s="748">
        <v>2075</v>
      </c>
      <c r="AC22" s="213">
        <v>1951</v>
      </c>
      <c r="AD22" s="748">
        <v>1822</v>
      </c>
      <c r="AE22" s="748">
        <v>1632</v>
      </c>
      <c r="AF22" s="748">
        <v>1702</v>
      </c>
      <c r="AG22" s="213">
        <v>1632</v>
      </c>
      <c r="AH22" s="172">
        <v>1630</v>
      </c>
      <c r="AI22" s="209">
        <v>1605</v>
      </c>
      <c r="AJ22" s="209">
        <v>1605</v>
      </c>
      <c r="AK22" s="209">
        <v>1535</v>
      </c>
      <c r="AL22" s="728">
        <v>1555</v>
      </c>
      <c r="AM22" s="213">
        <v>1528</v>
      </c>
      <c r="AN22" s="213">
        <v>1534</v>
      </c>
      <c r="AO22" s="213">
        <v>1536</v>
      </c>
      <c r="AP22" s="88"/>
      <c r="AQ22" s="738">
        <v>3981</v>
      </c>
      <c r="AR22" s="730">
        <v>2545</v>
      </c>
      <c r="AS22" s="754">
        <v>1938</v>
      </c>
      <c r="AT22" s="742">
        <v>0.51</v>
      </c>
      <c r="AU22" s="724"/>
      <c r="AV22" s="565">
        <v>5738</v>
      </c>
      <c r="AW22" s="565">
        <v>3800</v>
      </c>
      <c r="AX22" s="744">
        <v>2738</v>
      </c>
      <c r="AY22" s="744">
        <v>42</v>
      </c>
      <c r="AZ22" s="789"/>
      <c r="BA22" s="789"/>
      <c r="BB22" s="789"/>
      <c r="BC22" s="789"/>
      <c r="BD22" s="744">
        <v>6153</v>
      </c>
      <c r="BE22" s="311">
        <v>5464</v>
      </c>
      <c r="BF22" s="311">
        <v>4653</v>
      </c>
      <c r="BG22" s="311">
        <v>4742</v>
      </c>
      <c r="BH22" s="725"/>
      <c r="BJ22" s="722"/>
      <c r="BM22" s="722"/>
    </row>
    <row r="23" spans="1:65" ht="12.75" customHeight="1" x14ac:dyDescent="0.2">
      <c r="A23" s="8"/>
      <c r="B23" s="731" t="s">
        <v>72</v>
      </c>
      <c r="C23" s="686">
        <v>228</v>
      </c>
      <c r="D23" s="742">
        <v>0.13333333333333333</v>
      </c>
      <c r="E23" s="741"/>
      <c r="F23" s="748">
        <v>1938</v>
      </c>
      <c r="G23" s="748">
        <v>1772</v>
      </c>
      <c r="H23" s="748">
        <v>1850</v>
      </c>
      <c r="I23" s="213">
        <v>1680</v>
      </c>
      <c r="J23" s="748">
        <v>1710</v>
      </c>
      <c r="K23" s="748">
        <v>1796</v>
      </c>
      <c r="L23" s="748">
        <v>1706</v>
      </c>
      <c r="M23" s="213">
        <v>1470</v>
      </c>
      <c r="N23" s="748">
        <v>1659</v>
      </c>
      <c r="O23" s="748">
        <v>1426</v>
      </c>
      <c r="P23" s="748">
        <v>1229</v>
      </c>
      <c r="Q23" s="213">
        <v>1455</v>
      </c>
      <c r="R23" s="595">
        <v>117</v>
      </c>
      <c r="S23" s="777"/>
      <c r="T23" s="777"/>
      <c r="U23" s="785"/>
      <c r="V23" s="777"/>
      <c r="W23" s="777"/>
      <c r="X23" s="777"/>
      <c r="Y23" s="777"/>
      <c r="Z23" s="748">
        <v>1426</v>
      </c>
      <c r="AA23" s="748">
        <v>1660</v>
      </c>
      <c r="AB23" s="748">
        <v>1494</v>
      </c>
      <c r="AC23" s="213">
        <v>1536</v>
      </c>
      <c r="AD23" s="748">
        <v>1630</v>
      </c>
      <c r="AE23" s="748">
        <v>1590</v>
      </c>
      <c r="AF23" s="748">
        <v>1556</v>
      </c>
      <c r="AG23" s="213">
        <v>1639</v>
      </c>
      <c r="AH23" s="172">
        <v>1596</v>
      </c>
      <c r="AI23" s="209">
        <v>1544</v>
      </c>
      <c r="AJ23" s="209">
        <v>1573</v>
      </c>
      <c r="AK23" s="209">
        <v>1670</v>
      </c>
      <c r="AL23" s="728">
        <v>1639</v>
      </c>
      <c r="AM23" s="213">
        <v>1526</v>
      </c>
      <c r="AN23" s="213">
        <v>1571</v>
      </c>
      <c r="AO23" s="213">
        <v>1602</v>
      </c>
      <c r="AP23" s="88"/>
      <c r="AQ23" s="738">
        <v>5302</v>
      </c>
      <c r="AR23" s="730">
        <v>4972</v>
      </c>
      <c r="AS23" s="754">
        <v>558</v>
      </c>
      <c r="AT23" s="742">
        <v>8.3507931756958989E-2</v>
      </c>
      <c r="AU23" s="724"/>
      <c r="AV23" s="565">
        <v>7240</v>
      </c>
      <c r="AW23" s="565">
        <v>6682</v>
      </c>
      <c r="AX23" s="744">
        <v>5769</v>
      </c>
      <c r="AY23" s="744">
        <v>117</v>
      </c>
      <c r="AZ23" s="789"/>
      <c r="BA23" s="789"/>
      <c r="BB23" s="789"/>
      <c r="BC23" s="789"/>
      <c r="BD23" s="744">
        <v>6338</v>
      </c>
      <c r="BE23" s="311">
        <v>6066</v>
      </c>
      <c r="BF23" s="311">
        <v>5819</v>
      </c>
      <c r="BG23" s="311">
        <v>5491</v>
      </c>
      <c r="BH23" s="725"/>
      <c r="BJ23" s="722"/>
      <c r="BM23" s="722"/>
    </row>
    <row r="24" spans="1:65" ht="12.75" customHeight="1" x14ac:dyDescent="0.2">
      <c r="A24" s="8"/>
      <c r="B24" s="731" t="s">
        <v>67</v>
      </c>
      <c r="C24" s="686">
        <v>-38</v>
      </c>
      <c r="D24" s="742">
        <v>-0.43181818181818182</v>
      </c>
      <c r="E24" s="741"/>
      <c r="F24" s="748">
        <v>50</v>
      </c>
      <c r="G24" s="748">
        <v>91</v>
      </c>
      <c r="H24" s="748">
        <v>143</v>
      </c>
      <c r="I24" s="213">
        <v>123</v>
      </c>
      <c r="J24" s="748">
        <v>88</v>
      </c>
      <c r="K24" s="748">
        <v>89</v>
      </c>
      <c r="L24" s="748">
        <v>78</v>
      </c>
      <c r="M24" s="213">
        <v>96</v>
      </c>
      <c r="N24" s="748">
        <v>12</v>
      </c>
      <c r="O24" s="748">
        <v>42</v>
      </c>
      <c r="P24" s="748">
        <v>9</v>
      </c>
      <c r="Q24" s="213">
        <v>37</v>
      </c>
      <c r="R24" s="595">
        <v>1</v>
      </c>
      <c r="S24" s="777"/>
      <c r="T24" s="777"/>
      <c r="U24" s="785"/>
      <c r="V24" s="777"/>
      <c r="W24" s="777"/>
      <c r="X24" s="777"/>
      <c r="Y24" s="777"/>
      <c r="Z24" s="748">
        <v>44</v>
      </c>
      <c r="AA24" s="748">
        <v>51</v>
      </c>
      <c r="AB24" s="748">
        <v>104</v>
      </c>
      <c r="AC24" s="213">
        <v>243</v>
      </c>
      <c r="AD24" s="748">
        <v>671</v>
      </c>
      <c r="AE24" s="748">
        <v>1758</v>
      </c>
      <c r="AF24" s="748">
        <v>2459</v>
      </c>
      <c r="AG24" s="213">
        <v>2915</v>
      </c>
      <c r="AH24" s="172">
        <v>4124</v>
      </c>
      <c r="AI24" s="209">
        <v>5305</v>
      </c>
      <c r="AJ24" s="209">
        <v>5435</v>
      </c>
      <c r="AK24" s="209">
        <v>5060</v>
      </c>
      <c r="AL24" s="728">
        <v>4659</v>
      </c>
      <c r="AM24" s="213">
        <v>4412</v>
      </c>
      <c r="AN24" s="213">
        <v>4434</v>
      </c>
      <c r="AO24" s="213">
        <v>4246</v>
      </c>
      <c r="AP24" s="88"/>
      <c r="AQ24" s="738">
        <v>357</v>
      </c>
      <c r="AR24" s="730">
        <v>263</v>
      </c>
      <c r="AS24" s="754">
        <v>56</v>
      </c>
      <c r="AT24" s="742">
        <v>0.15954415954415954</v>
      </c>
      <c r="AU24" s="724"/>
      <c r="AV24" s="565">
        <v>407</v>
      </c>
      <c r="AW24" s="565">
        <v>351</v>
      </c>
      <c r="AX24" s="744">
        <v>100</v>
      </c>
      <c r="AY24" s="744">
        <v>1</v>
      </c>
      <c r="AZ24" s="789"/>
      <c r="BA24" s="789"/>
      <c r="BB24" s="789"/>
      <c r="BC24" s="789"/>
      <c r="BD24" s="744">
        <v>17751</v>
      </c>
      <c r="BE24" s="311">
        <v>7194</v>
      </c>
      <c r="BF24" s="311">
        <v>3711</v>
      </c>
      <c r="BG24" s="311">
        <v>0</v>
      </c>
      <c r="BH24" s="725"/>
      <c r="BJ24" s="722"/>
      <c r="BM24" s="722"/>
    </row>
    <row r="25" spans="1:65" ht="12.75" customHeight="1" x14ac:dyDescent="0.2">
      <c r="A25" s="8"/>
      <c r="B25" s="731" t="s">
        <v>95</v>
      </c>
      <c r="C25" s="686">
        <v>695</v>
      </c>
      <c r="D25" s="742">
        <v>0.24584365051291121</v>
      </c>
      <c r="E25" s="741"/>
      <c r="F25" s="748">
        <v>3522</v>
      </c>
      <c r="G25" s="748">
        <v>3072</v>
      </c>
      <c r="H25" s="748">
        <v>3158</v>
      </c>
      <c r="I25" s="213">
        <v>2856</v>
      </c>
      <c r="J25" s="748">
        <v>2827</v>
      </c>
      <c r="K25" s="748">
        <v>3071</v>
      </c>
      <c r="L25" s="748">
        <v>2746</v>
      </c>
      <c r="M25" s="213">
        <v>2718</v>
      </c>
      <c r="N25" s="748">
        <v>2479</v>
      </c>
      <c r="O25" s="748">
        <v>2872</v>
      </c>
      <c r="P25" s="748">
        <v>2484</v>
      </c>
      <c r="Q25" s="213">
        <v>2628</v>
      </c>
      <c r="R25" s="595">
        <v>244</v>
      </c>
      <c r="S25" s="777"/>
      <c r="T25" s="777"/>
      <c r="U25" s="785"/>
      <c r="V25" s="777"/>
      <c r="W25" s="777"/>
      <c r="X25" s="777"/>
      <c r="Y25" s="777"/>
      <c r="Z25" s="748">
        <v>6030</v>
      </c>
      <c r="AA25" s="748">
        <v>4108</v>
      </c>
      <c r="AB25" s="748">
        <v>2461</v>
      </c>
      <c r="AC25" s="213">
        <v>3886</v>
      </c>
      <c r="AD25" s="748">
        <v>2268</v>
      </c>
      <c r="AE25" s="748">
        <v>7826</v>
      </c>
      <c r="AF25" s="748">
        <v>3206</v>
      </c>
      <c r="AG25" s="213">
        <v>3942</v>
      </c>
      <c r="AH25" s="172">
        <v>3477</v>
      </c>
      <c r="AI25" s="209">
        <v>3587</v>
      </c>
      <c r="AJ25" s="209">
        <v>2594</v>
      </c>
      <c r="AK25" s="209">
        <v>2953</v>
      </c>
      <c r="AL25" s="728">
        <v>2341</v>
      </c>
      <c r="AM25" s="213">
        <v>3444</v>
      </c>
      <c r="AN25" s="213">
        <v>1855</v>
      </c>
      <c r="AO25" s="213">
        <v>6038</v>
      </c>
      <c r="AP25" s="88"/>
      <c r="AQ25" s="738">
        <v>9086</v>
      </c>
      <c r="AR25" s="730">
        <v>8535</v>
      </c>
      <c r="AS25" s="754">
        <v>1246</v>
      </c>
      <c r="AT25" s="742">
        <v>0.10966379158598838</v>
      </c>
      <c r="AU25" s="724"/>
      <c r="AV25" s="565">
        <v>12608</v>
      </c>
      <c r="AW25" s="565">
        <v>11362</v>
      </c>
      <c r="AX25" s="744">
        <v>10463</v>
      </c>
      <c r="AY25" s="744">
        <v>244</v>
      </c>
      <c r="AZ25" s="789"/>
      <c r="BA25" s="789"/>
      <c r="BB25" s="789"/>
      <c r="BC25" s="789"/>
      <c r="BD25" s="744">
        <v>13678</v>
      </c>
      <c r="BE25" s="311">
        <v>12162</v>
      </c>
      <c r="BF25" s="311">
        <v>5080</v>
      </c>
      <c r="BG25" s="311">
        <v>9626</v>
      </c>
      <c r="BH25" s="725"/>
      <c r="BJ25" s="722"/>
      <c r="BK25" s="722"/>
      <c r="BL25" s="722"/>
      <c r="BM25" s="722"/>
    </row>
    <row r="26" spans="1:65" ht="12.75" customHeight="1" x14ac:dyDescent="0.2">
      <c r="A26" s="8"/>
      <c r="B26" s="731" t="s">
        <v>74</v>
      </c>
      <c r="C26" s="686">
        <v>-439</v>
      </c>
      <c r="D26" s="742">
        <v>-0.17940335104209235</v>
      </c>
      <c r="E26" s="741"/>
      <c r="F26" s="748">
        <v>2008</v>
      </c>
      <c r="G26" s="748">
        <v>1864</v>
      </c>
      <c r="H26" s="748">
        <v>2420</v>
      </c>
      <c r="I26" s="213">
        <v>2404</v>
      </c>
      <c r="J26" s="748">
        <v>2447</v>
      </c>
      <c r="K26" s="748">
        <v>2117</v>
      </c>
      <c r="L26" s="748">
        <v>1907</v>
      </c>
      <c r="M26" s="213">
        <v>2036</v>
      </c>
      <c r="N26" s="748">
        <v>1742</v>
      </c>
      <c r="O26" s="748">
        <v>1812</v>
      </c>
      <c r="P26" s="748">
        <v>1688</v>
      </c>
      <c r="Q26" s="213">
        <v>1477</v>
      </c>
      <c r="R26" s="595">
        <v>13</v>
      </c>
      <c r="S26" s="777"/>
      <c r="T26" s="777"/>
      <c r="U26" s="785"/>
      <c r="V26" s="777"/>
      <c r="W26" s="777"/>
      <c r="X26" s="777"/>
      <c r="Y26" s="777"/>
      <c r="Z26" s="748">
        <v>649</v>
      </c>
      <c r="AA26" s="748">
        <v>637</v>
      </c>
      <c r="AB26" s="748">
        <v>618</v>
      </c>
      <c r="AC26" s="213">
        <v>602</v>
      </c>
      <c r="AD26" s="748">
        <v>655</v>
      </c>
      <c r="AE26" s="748">
        <v>463</v>
      </c>
      <c r="AF26" s="748">
        <v>411</v>
      </c>
      <c r="AG26" s="213">
        <v>409</v>
      </c>
      <c r="AH26" s="172">
        <v>436</v>
      </c>
      <c r="AI26" s="209">
        <v>495</v>
      </c>
      <c r="AJ26" s="209">
        <v>472</v>
      </c>
      <c r="AK26" s="209">
        <v>430</v>
      </c>
      <c r="AL26" s="728">
        <v>438</v>
      </c>
      <c r="AM26" s="213">
        <v>380</v>
      </c>
      <c r="AN26" s="213">
        <v>420</v>
      </c>
      <c r="AO26" s="213">
        <v>410</v>
      </c>
      <c r="AP26" s="88"/>
      <c r="AQ26" s="738">
        <v>6688</v>
      </c>
      <c r="AR26" s="730">
        <v>6060</v>
      </c>
      <c r="AS26" s="754">
        <v>189</v>
      </c>
      <c r="AT26" s="742">
        <v>2.2216997766545198E-2</v>
      </c>
      <c r="AU26" s="724"/>
      <c r="AV26" s="565">
        <v>8696</v>
      </c>
      <c r="AW26" s="565">
        <v>8507</v>
      </c>
      <c r="AX26" s="744">
        <v>6719</v>
      </c>
      <c r="AY26" s="744">
        <v>13</v>
      </c>
      <c r="AZ26" s="789"/>
      <c r="BA26" s="789"/>
      <c r="BB26" s="789"/>
      <c r="BC26" s="789"/>
      <c r="BD26" s="744">
        <v>1648</v>
      </c>
      <c r="BE26" s="311">
        <v>1439</v>
      </c>
      <c r="BF26" s="311">
        <v>1087</v>
      </c>
      <c r="BG26" s="311">
        <v>1295</v>
      </c>
      <c r="BH26" s="725"/>
      <c r="BJ26" s="722"/>
      <c r="BK26" s="722"/>
      <c r="BL26" s="722"/>
      <c r="BM26" s="722"/>
    </row>
    <row r="27" spans="1:65" ht="12.75" customHeight="1" x14ac:dyDescent="0.2">
      <c r="A27" s="7"/>
      <c r="B27" s="731" t="s">
        <v>75</v>
      </c>
      <c r="C27" s="686">
        <v>-487</v>
      </c>
      <c r="D27" s="742">
        <v>-0.38589540412044376</v>
      </c>
      <c r="E27" s="1415"/>
      <c r="F27" s="730">
        <v>775</v>
      </c>
      <c r="G27" s="730">
        <v>1318</v>
      </c>
      <c r="H27" s="730">
        <v>1030</v>
      </c>
      <c r="I27" s="166">
        <v>1372</v>
      </c>
      <c r="J27" s="730">
        <v>1262</v>
      </c>
      <c r="K27" s="730">
        <v>1291</v>
      </c>
      <c r="L27" s="730">
        <v>1371</v>
      </c>
      <c r="M27" s="166">
        <v>969</v>
      </c>
      <c r="N27" s="730">
        <v>943</v>
      </c>
      <c r="O27" s="730">
        <v>2003</v>
      </c>
      <c r="P27" s="730">
        <v>0</v>
      </c>
      <c r="Q27" s="166">
        <v>0</v>
      </c>
      <c r="R27" s="750">
        <v>0</v>
      </c>
      <c r="S27" s="777"/>
      <c r="T27" s="777"/>
      <c r="U27" s="785"/>
      <c r="V27" s="777"/>
      <c r="W27" s="777"/>
      <c r="X27" s="777"/>
      <c r="Y27" s="777"/>
      <c r="Z27" s="748">
        <v>2574</v>
      </c>
      <c r="AA27" s="748">
        <v>3216</v>
      </c>
      <c r="AB27" s="748">
        <v>2613</v>
      </c>
      <c r="AC27" s="213">
        <v>1905</v>
      </c>
      <c r="AD27" s="748">
        <v>2597</v>
      </c>
      <c r="AE27" s="748">
        <v>2312</v>
      </c>
      <c r="AF27" s="748">
        <v>1378</v>
      </c>
      <c r="AG27" s="213">
        <v>1566</v>
      </c>
      <c r="AH27" s="172">
        <v>1897</v>
      </c>
      <c r="AI27" s="209">
        <v>1550</v>
      </c>
      <c r="AJ27" s="209">
        <v>1341</v>
      </c>
      <c r="AK27" s="209">
        <v>1372</v>
      </c>
      <c r="AL27" s="728">
        <v>1370</v>
      </c>
      <c r="AM27" s="213">
        <v>1663</v>
      </c>
      <c r="AN27" s="213">
        <v>1517</v>
      </c>
      <c r="AO27" s="213">
        <v>1521</v>
      </c>
      <c r="AP27" s="88"/>
      <c r="AQ27" s="738">
        <v>3720</v>
      </c>
      <c r="AR27" s="730">
        <v>3631</v>
      </c>
      <c r="AS27" s="754">
        <v>-398</v>
      </c>
      <c r="AT27" s="742">
        <v>-8.1340690782750871E-2</v>
      </c>
      <c r="AU27" s="724"/>
      <c r="AV27" s="565">
        <v>4495</v>
      </c>
      <c r="AW27" s="565">
        <v>4893</v>
      </c>
      <c r="AX27" s="270">
        <v>2946</v>
      </c>
      <c r="AY27" s="825">
        <v>0</v>
      </c>
      <c r="AZ27" s="789"/>
      <c r="BA27" s="789"/>
      <c r="BB27" s="789"/>
      <c r="BC27" s="789"/>
      <c r="BD27" s="744">
        <v>6071</v>
      </c>
      <c r="BE27" s="311">
        <v>4302</v>
      </c>
      <c r="BF27" s="311">
        <v>2798</v>
      </c>
      <c r="BG27" s="311">
        <v>3261</v>
      </c>
      <c r="BH27" s="725"/>
      <c r="BJ27" s="722"/>
      <c r="BK27" s="722"/>
      <c r="BL27" s="722"/>
      <c r="BM27" s="722"/>
    </row>
    <row r="28" spans="1:65" ht="12.75" customHeight="1" x14ac:dyDescent="0.2">
      <c r="A28" s="7"/>
      <c r="B28" s="7" t="s">
        <v>169</v>
      </c>
      <c r="C28" s="686">
        <v>0</v>
      </c>
      <c r="D28" s="742">
        <v>0</v>
      </c>
      <c r="E28" s="741"/>
      <c r="F28" s="730">
        <v>0</v>
      </c>
      <c r="G28" s="730">
        <v>0</v>
      </c>
      <c r="H28" s="730">
        <v>0</v>
      </c>
      <c r="I28" s="166">
        <v>783</v>
      </c>
      <c r="J28" s="730">
        <v>0</v>
      </c>
      <c r="K28" s="730">
        <v>0</v>
      </c>
      <c r="L28" s="730">
        <v>0</v>
      </c>
      <c r="M28" s="166">
        <v>0</v>
      </c>
      <c r="N28" s="730">
        <v>884</v>
      </c>
      <c r="O28" s="730">
        <v>1034</v>
      </c>
      <c r="P28" s="730">
        <v>0</v>
      </c>
      <c r="Q28" s="166">
        <v>0</v>
      </c>
      <c r="R28" s="750">
        <v>0</v>
      </c>
      <c r="S28" s="777"/>
      <c r="T28" s="777"/>
      <c r="U28" s="785"/>
      <c r="V28" s="777"/>
      <c r="W28" s="777"/>
      <c r="X28" s="777"/>
      <c r="Y28" s="777"/>
      <c r="Z28" s="730">
        <v>0</v>
      </c>
      <c r="AA28" s="730">
        <v>0</v>
      </c>
      <c r="AB28" s="730">
        <v>0</v>
      </c>
      <c r="AC28" s="166">
        <v>0</v>
      </c>
      <c r="AD28" s="730">
        <v>0</v>
      </c>
      <c r="AE28" s="730">
        <v>5347</v>
      </c>
      <c r="AF28" s="730">
        <v>0</v>
      </c>
      <c r="AG28" s="742">
        <v>0</v>
      </c>
      <c r="AH28" s="173">
        <v>54200</v>
      </c>
      <c r="AI28" s="730">
        <v>0</v>
      </c>
      <c r="AJ28" s="730">
        <v>0</v>
      </c>
      <c r="AK28" s="166">
        <v>0</v>
      </c>
      <c r="AL28" s="616">
        <v>0</v>
      </c>
      <c r="AM28" s="166">
        <v>0</v>
      </c>
      <c r="AN28" s="166">
        <v>0</v>
      </c>
      <c r="AO28" s="166">
        <v>0</v>
      </c>
      <c r="AP28" s="88"/>
      <c r="AQ28" s="730">
        <v>783</v>
      </c>
      <c r="AR28" s="730">
        <v>0</v>
      </c>
      <c r="AS28" s="754">
        <v>783</v>
      </c>
      <c r="AT28" s="742" t="s">
        <v>42</v>
      </c>
      <c r="AU28" s="724"/>
      <c r="AV28" s="565">
        <v>783</v>
      </c>
      <c r="AW28" s="565">
        <v>0</v>
      </c>
      <c r="AX28" s="617">
        <v>1918</v>
      </c>
      <c r="AY28" s="617">
        <v>0</v>
      </c>
      <c r="AZ28" s="791"/>
      <c r="BA28" s="791"/>
      <c r="BB28" s="789"/>
      <c r="BC28" s="791"/>
      <c r="BD28" s="617">
        <v>0</v>
      </c>
      <c r="BE28" s="311">
        <v>0</v>
      </c>
      <c r="BF28" s="311">
        <v>0</v>
      </c>
      <c r="BG28" s="311">
        <v>0</v>
      </c>
      <c r="BH28" s="725"/>
      <c r="BJ28" s="211"/>
      <c r="BK28" s="211"/>
      <c r="BL28" s="722"/>
      <c r="BM28" s="722"/>
    </row>
    <row r="29" spans="1:65" ht="12.75" customHeight="1" x14ac:dyDescent="0.2">
      <c r="A29" s="7"/>
      <c r="B29" s="731" t="s">
        <v>190</v>
      </c>
      <c r="C29" s="686">
        <v>0</v>
      </c>
      <c r="D29" s="742">
        <v>0</v>
      </c>
      <c r="E29" s="741"/>
      <c r="F29" s="730">
        <v>0</v>
      </c>
      <c r="G29" s="730">
        <v>0</v>
      </c>
      <c r="H29" s="730">
        <v>0</v>
      </c>
      <c r="I29" s="166">
        <v>0</v>
      </c>
      <c r="J29" s="730">
        <v>0</v>
      </c>
      <c r="K29" s="730">
        <v>0</v>
      </c>
      <c r="L29" s="730">
        <v>0</v>
      </c>
      <c r="M29" s="166">
        <v>0</v>
      </c>
      <c r="N29" s="730">
        <v>0</v>
      </c>
      <c r="O29" s="730">
        <v>431</v>
      </c>
      <c r="P29" s="730">
        <v>900</v>
      </c>
      <c r="Q29" s="166">
        <v>0</v>
      </c>
      <c r="R29" s="595">
        <v>4077</v>
      </c>
      <c r="S29" s="777"/>
      <c r="T29" s="777"/>
      <c r="U29" s="785"/>
      <c r="V29" s="777"/>
      <c r="W29" s="777"/>
      <c r="X29" s="777"/>
      <c r="Y29" s="777"/>
      <c r="Z29" s="748"/>
      <c r="AA29" s="748"/>
      <c r="AB29" s="748"/>
      <c r="AC29" s="213"/>
      <c r="AD29" s="748"/>
      <c r="AE29" s="748"/>
      <c r="AF29" s="748"/>
      <c r="AG29" s="213"/>
      <c r="AH29" s="172"/>
      <c r="AI29" s="209"/>
      <c r="AJ29" s="209"/>
      <c r="AK29" s="209"/>
      <c r="AL29" s="728"/>
      <c r="AM29" s="213"/>
      <c r="AN29" s="213"/>
      <c r="AO29" s="213"/>
      <c r="AP29" s="88"/>
      <c r="AQ29" s="730">
        <v>0</v>
      </c>
      <c r="AR29" s="730">
        <v>0</v>
      </c>
      <c r="AS29" s="754">
        <v>0</v>
      </c>
      <c r="AT29" s="742">
        <v>0</v>
      </c>
      <c r="AU29" s="724"/>
      <c r="AV29" s="565">
        <v>0</v>
      </c>
      <c r="AW29" s="565">
        <v>0</v>
      </c>
      <c r="AX29" s="744">
        <v>1331</v>
      </c>
      <c r="AY29" s="744">
        <v>4077</v>
      </c>
      <c r="AZ29" s="789"/>
      <c r="BA29" s="789"/>
      <c r="BB29" s="789"/>
      <c r="BC29" s="789"/>
      <c r="BD29" s="744"/>
      <c r="BE29" s="311"/>
      <c r="BF29" s="311"/>
      <c r="BG29" s="311"/>
      <c r="BH29" s="725"/>
      <c r="BJ29" s="722"/>
      <c r="BK29" s="722"/>
      <c r="BL29" s="722"/>
      <c r="BM29" s="722"/>
    </row>
    <row r="30" spans="1:65" ht="12.75" hidden="1" customHeight="1" x14ac:dyDescent="0.2">
      <c r="A30" s="7"/>
      <c r="B30" s="7"/>
      <c r="C30" s="686"/>
      <c r="D30" s="742"/>
      <c r="E30" s="741"/>
      <c r="F30" s="730"/>
      <c r="G30" s="730"/>
      <c r="H30" s="730"/>
      <c r="I30" s="166"/>
      <c r="J30" s="730"/>
      <c r="K30" s="730"/>
      <c r="L30" s="730"/>
      <c r="M30" s="166"/>
      <c r="N30" s="730"/>
      <c r="O30" s="730"/>
      <c r="P30" s="730"/>
      <c r="Q30" s="166"/>
      <c r="R30" s="750"/>
      <c r="S30" s="777"/>
      <c r="T30" s="777"/>
      <c r="U30" s="785"/>
      <c r="V30" s="777"/>
      <c r="W30" s="777"/>
      <c r="X30" s="777"/>
      <c r="Y30" s="777"/>
      <c r="Z30" s="730"/>
      <c r="AA30" s="730"/>
      <c r="AB30" s="730"/>
      <c r="AC30" s="166"/>
      <c r="AD30" s="730"/>
      <c r="AE30" s="730"/>
      <c r="AF30" s="730"/>
      <c r="AG30" s="742"/>
      <c r="AH30" s="173"/>
      <c r="AI30" s="730"/>
      <c r="AJ30" s="730"/>
      <c r="AK30" s="166"/>
      <c r="AL30" s="616"/>
      <c r="AM30" s="166"/>
      <c r="AN30" s="166"/>
      <c r="AO30" s="166"/>
      <c r="AP30" s="88"/>
      <c r="AQ30" s="730"/>
      <c r="AR30" s="730"/>
      <c r="AS30" s="754"/>
      <c r="AT30" s="742"/>
      <c r="AU30" s="724"/>
      <c r="AV30" s="565"/>
      <c r="AW30" s="565"/>
      <c r="AX30" s="617"/>
      <c r="AY30" s="617"/>
      <c r="AZ30" s="791"/>
      <c r="BA30" s="791"/>
      <c r="BB30" s="789"/>
      <c r="BC30" s="791"/>
      <c r="BD30" s="617"/>
      <c r="BE30" s="311"/>
      <c r="BF30" s="311"/>
      <c r="BG30" s="311"/>
      <c r="BH30" s="725"/>
      <c r="BJ30" s="211"/>
      <c r="BK30" s="211"/>
      <c r="BL30" s="722"/>
      <c r="BM30" s="722"/>
    </row>
    <row r="31" spans="1:65" ht="12.75" hidden="1" customHeight="1" x14ac:dyDescent="0.2">
      <c r="A31" s="7"/>
      <c r="B31" s="731"/>
      <c r="C31" s="686"/>
      <c r="D31" s="742" t="e">
        <v>#DIV/0!</v>
      </c>
      <c r="E31" s="741"/>
      <c r="F31" s="730"/>
      <c r="G31" s="730"/>
      <c r="H31" s="730"/>
      <c r="I31" s="166"/>
      <c r="J31" s="730"/>
      <c r="K31" s="730"/>
      <c r="L31" s="730"/>
      <c r="M31" s="166"/>
      <c r="N31" s="730"/>
      <c r="O31" s="730"/>
      <c r="P31" s="730"/>
      <c r="Q31" s="166"/>
      <c r="R31" s="750"/>
      <c r="S31" s="777"/>
      <c r="T31" s="777"/>
      <c r="U31" s="785"/>
      <c r="V31" s="777"/>
      <c r="W31" s="777"/>
      <c r="X31" s="777"/>
      <c r="Y31" s="777"/>
      <c r="Z31" s="748"/>
      <c r="AA31" s="748"/>
      <c r="AB31" s="748"/>
      <c r="AC31" s="213"/>
      <c r="AD31" s="748"/>
      <c r="AE31" s="748"/>
      <c r="AF31" s="748"/>
      <c r="AG31" s="213"/>
      <c r="AH31" s="172"/>
      <c r="AI31" s="209"/>
      <c r="AJ31" s="209"/>
      <c r="AK31" s="209"/>
      <c r="AL31" s="728"/>
      <c r="AM31" s="213"/>
      <c r="AN31" s="213"/>
      <c r="AO31" s="213"/>
      <c r="AP31" s="88"/>
      <c r="AQ31" s="730"/>
      <c r="AR31" s="730"/>
      <c r="AS31" s="754"/>
      <c r="AT31" s="742" t="e">
        <v>#DIV/0!</v>
      </c>
      <c r="AU31" s="724"/>
      <c r="AV31" s="744"/>
      <c r="AW31" s="744"/>
      <c r="AX31" s="744"/>
      <c r="AY31" s="744"/>
      <c r="AZ31" s="789"/>
      <c r="BA31" s="789"/>
      <c r="BB31" s="789"/>
      <c r="BC31" s="789"/>
      <c r="BD31" s="744"/>
      <c r="BE31" s="311"/>
      <c r="BF31" s="311"/>
      <c r="BG31" s="311"/>
      <c r="BH31" s="725"/>
      <c r="BJ31" s="722"/>
      <c r="BK31" s="722"/>
      <c r="BL31" s="722"/>
      <c r="BM31" s="722"/>
    </row>
    <row r="32" spans="1:65" ht="12.75" customHeight="1" x14ac:dyDescent="0.2">
      <c r="A32" s="8"/>
      <c r="C32" s="167">
        <v>2278</v>
      </c>
      <c r="D32" s="168">
        <v>8.5260872819821837E-2</v>
      </c>
      <c r="E32" s="741"/>
      <c r="F32" s="406">
        <v>28996</v>
      </c>
      <c r="G32" s="406">
        <v>25952</v>
      </c>
      <c r="H32" s="406">
        <v>26258</v>
      </c>
      <c r="I32" s="218">
        <v>26946</v>
      </c>
      <c r="J32" s="406">
        <v>26718</v>
      </c>
      <c r="K32" s="406">
        <v>23286</v>
      </c>
      <c r="L32" s="406">
        <v>22142</v>
      </c>
      <c r="M32" s="218">
        <v>22126</v>
      </c>
      <c r="N32" s="406">
        <v>21170</v>
      </c>
      <c r="O32" s="406">
        <v>23737</v>
      </c>
      <c r="P32" s="406">
        <v>18389</v>
      </c>
      <c r="Q32" s="218">
        <v>17560</v>
      </c>
      <c r="R32" s="774">
        <v>5726</v>
      </c>
      <c r="S32" s="779"/>
      <c r="T32" s="779"/>
      <c r="U32" s="780"/>
      <c r="V32" s="779"/>
      <c r="W32" s="779"/>
      <c r="X32" s="779"/>
      <c r="Y32" s="780"/>
      <c r="Z32" s="406">
        <v>46835</v>
      </c>
      <c r="AA32" s="406">
        <v>42047</v>
      </c>
      <c r="AB32" s="406">
        <v>35213</v>
      </c>
      <c r="AC32" s="218">
        <v>35168</v>
      </c>
      <c r="AD32" s="406">
        <v>28967</v>
      </c>
      <c r="AE32" s="406">
        <v>40216</v>
      </c>
      <c r="AF32" s="406">
        <v>35911</v>
      </c>
      <c r="AG32" s="218">
        <v>44683</v>
      </c>
      <c r="AH32" s="176">
        <v>98603</v>
      </c>
      <c r="AI32" s="217">
        <v>48132</v>
      </c>
      <c r="AJ32" s="217">
        <v>44039</v>
      </c>
      <c r="AK32" s="217">
        <v>57148</v>
      </c>
      <c r="AL32" s="169">
        <v>55349</v>
      </c>
      <c r="AM32" s="218">
        <v>50178</v>
      </c>
      <c r="AN32" s="218">
        <v>41346</v>
      </c>
      <c r="AO32" s="218">
        <v>55217</v>
      </c>
      <c r="AP32" s="88"/>
      <c r="AQ32" s="406">
        <v>79156</v>
      </c>
      <c r="AR32" s="818">
        <v>67554</v>
      </c>
      <c r="AS32" s="336">
        <v>13880</v>
      </c>
      <c r="AT32" s="168">
        <v>0.14723353699932112</v>
      </c>
      <c r="AU32" s="88"/>
      <c r="AV32" s="218">
        <v>108152</v>
      </c>
      <c r="AW32" s="218">
        <v>94272</v>
      </c>
      <c r="AX32" s="218">
        <v>80856</v>
      </c>
      <c r="AY32" s="218">
        <v>5726</v>
      </c>
      <c r="AZ32" s="780"/>
      <c r="BA32" s="792"/>
      <c r="BB32" s="790"/>
      <c r="BC32" s="790"/>
      <c r="BD32" s="199">
        <v>202090</v>
      </c>
      <c r="BE32" s="312">
        <v>163976</v>
      </c>
      <c r="BF32" s="312">
        <v>127504</v>
      </c>
      <c r="BG32" s="312">
        <v>118638</v>
      </c>
      <c r="BH32" s="725"/>
      <c r="BJ32" s="722"/>
      <c r="BK32" s="722"/>
      <c r="BL32" s="722"/>
      <c r="BM32" s="722"/>
    </row>
    <row r="33" spans="1:65" s="95" customFormat="1" ht="13.5" thickBot="1" x14ac:dyDescent="0.25">
      <c r="A33" s="1485" t="s">
        <v>221</v>
      </c>
      <c r="B33" s="1486"/>
      <c r="C33" s="686">
        <v>174</v>
      </c>
      <c r="D33" s="147">
        <v>2.6760996616425715E-2</v>
      </c>
      <c r="E33" s="741"/>
      <c r="F33" s="209">
        <v>6676</v>
      </c>
      <c r="G33" s="209">
        <v>4013</v>
      </c>
      <c r="H33" s="209">
        <v>3528</v>
      </c>
      <c r="I33" s="222">
        <v>3182</v>
      </c>
      <c r="J33" s="209">
        <v>6502</v>
      </c>
      <c r="K33" s="209">
        <v>3732</v>
      </c>
      <c r="L33" s="209">
        <v>3688</v>
      </c>
      <c r="M33" s="222">
        <v>4852</v>
      </c>
      <c r="N33" s="209">
        <v>5536</v>
      </c>
      <c r="O33" s="421">
        <v>1055</v>
      </c>
      <c r="P33" s="421">
        <v>2283</v>
      </c>
      <c r="Q33" s="1340">
        <v>2027</v>
      </c>
      <c r="R33" s="1319">
        <v>-3739</v>
      </c>
      <c r="S33" s="786"/>
      <c r="T33" s="786"/>
      <c r="U33" s="780"/>
      <c r="V33" s="786"/>
      <c r="W33" s="786"/>
      <c r="X33" s="786"/>
      <c r="Y33" s="780"/>
      <c r="Z33" s="209">
        <v>8155</v>
      </c>
      <c r="AA33" s="341">
        <v>9686</v>
      </c>
      <c r="AB33" s="209">
        <v>4925</v>
      </c>
      <c r="AC33" s="222">
        <v>5017</v>
      </c>
      <c r="AD33" s="341">
        <v>8288</v>
      </c>
      <c r="AE33" s="341">
        <v>-6684</v>
      </c>
      <c r="AF33" s="341">
        <v>7933</v>
      </c>
      <c r="AG33" s="222">
        <v>13170</v>
      </c>
      <c r="AH33" s="223">
        <v>-44140</v>
      </c>
      <c r="AI33" s="218">
        <v>13034</v>
      </c>
      <c r="AJ33" s="218">
        <v>13376</v>
      </c>
      <c r="AK33" s="217">
        <v>18935</v>
      </c>
      <c r="AL33" s="217">
        <v>20527</v>
      </c>
      <c r="AM33" s="217">
        <v>18653</v>
      </c>
      <c r="AN33" s="217">
        <v>14280</v>
      </c>
      <c r="AO33" s="217">
        <v>17069</v>
      </c>
      <c r="AP33" s="88"/>
      <c r="AQ33" s="176">
        <v>10723</v>
      </c>
      <c r="AR33" s="754">
        <v>12272</v>
      </c>
      <c r="AS33" s="328">
        <v>-1375</v>
      </c>
      <c r="AT33" s="168">
        <v>-7.3239586662405459E-2</v>
      </c>
      <c r="AU33" s="88"/>
      <c r="AV33" s="169">
        <v>17399</v>
      </c>
      <c r="AW33" s="169">
        <v>18774</v>
      </c>
      <c r="AX33" s="169">
        <v>10901</v>
      </c>
      <c r="AY33" s="1317">
        <v>-3739</v>
      </c>
      <c r="AZ33" s="793"/>
      <c r="BA33" s="790"/>
      <c r="BB33" s="794"/>
      <c r="BC33" s="795"/>
      <c r="BD33" s="233">
        <v>70529</v>
      </c>
      <c r="BE33" s="307">
        <v>61218</v>
      </c>
      <c r="BF33" s="307">
        <v>50672</v>
      </c>
      <c r="BG33" s="313">
        <v>57345</v>
      </c>
      <c r="BH33" s="725"/>
      <c r="BJ33" s="207"/>
      <c r="BK33" s="207"/>
      <c r="BL33" s="207"/>
      <c r="BM33" s="207"/>
    </row>
    <row r="34" spans="1:65" s="95" customFormat="1" ht="15" customHeight="1" thickTop="1" x14ac:dyDescent="0.2">
      <c r="A34" s="890"/>
      <c r="B34" s="740" t="s">
        <v>380</v>
      </c>
      <c r="C34" s="167">
        <v>-1315</v>
      </c>
      <c r="D34" s="147">
        <v>-0.55743959304790169</v>
      </c>
      <c r="E34" s="741"/>
      <c r="F34" s="232">
        <v>1044</v>
      </c>
      <c r="G34" s="232">
        <v>936</v>
      </c>
      <c r="H34" s="232">
        <v>1105</v>
      </c>
      <c r="I34" s="930">
        <v>1115</v>
      </c>
      <c r="J34" s="232">
        <v>2359</v>
      </c>
      <c r="K34" s="232">
        <v>2175</v>
      </c>
      <c r="L34" s="232">
        <v>1880</v>
      </c>
      <c r="M34" s="930">
        <v>1633</v>
      </c>
      <c r="N34" s="328">
        <v>1769</v>
      </c>
      <c r="O34" s="1327">
        <v>1743</v>
      </c>
      <c r="P34" s="1327">
        <v>2014</v>
      </c>
      <c r="Q34" s="930">
        <v>1210</v>
      </c>
      <c r="R34" s="1327">
        <v>0</v>
      </c>
      <c r="S34" s="932"/>
      <c r="T34" s="932"/>
      <c r="U34" s="933"/>
      <c r="V34" s="921"/>
      <c r="W34" s="922"/>
      <c r="X34" s="922"/>
      <c r="Y34" s="922"/>
      <c r="Z34" s="232"/>
      <c r="AA34" s="232"/>
      <c r="AB34" s="232"/>
      <c r="AC34" s="233"/>
      <c r="AD34" s="885"/>
      <c r="AE34" s="885"/>
      <c r="AF34" s="885"/>
      <c r="AG34" s="886"/>
      <c r="AH34" s="911"/>
      <c r="AI34" s="474"/>
      <c r="AJ34" s="474"/>
      <c r="AK34" s="473"/>
      <c r="AL34" s="473"/>
      <c r="AM34" s="473"/>
      <c r="AN34" s="473"/>
      <c r="AO34" s="473"/>
      <c r="AP34" s="482"/>
      <c r="AQ34" s="738">
        <v>3156</v>
      </c>
      <c r="AR34" s="232">
        <v>5688</v>
      </c>
      <c r="AS34" s="328">
        <v>-3847</v>
      </c>
      <c r="AT34" s="168">
        <v>-0.4780663601342115</v>
      </c>
      <c r="AU34" s="482"/>
      <c r="AV34" s="924">
        <v>4200</v>
      </c>
      <c r="AW34" s="924">
        <v>8047</v>
      </c>
      <c r="AX34" s="924">
        <v>6736</v>
      </c>
      <c r="AY34" s="930">
        <v>0</v>
      </c>
      <c r="AZ34" s="792"/>
      <c r="BA34" s="790"/>
      <c r="BB34" s="931"/>
      <c r="BC34" s="912"/>
      <c r="BD34" s="886"/>
      <c r="BE34" s="887"/>
      <c r="BF34" s="887"/>
      <c r="BG34" s="9"/>
      <c r="BH34" s="725"/>
      <c r="BJ34" s="207"/>
      <c r="BK34" s="207"/>
      <c r="BL34" s="207"/>
      <c r="BM34" s="207"/>
    </row>
    <row r="35" spans="1:65" s="95" customFormat="1" ht="13.5" thickBot="1" x14ac:dyDescent="0.25">
      <c r="A35" s="141" t="s">
        <v>77</v>
      </c>
      <c r="B35" s="615"/>
      <c r="C35" s="915">
        <v>1489</v>
      </c>
      <c r="D35" s="775">
        <v>0.35940139995172582</v>
      </c>
      <c r="E35" s="741"/>
      <c r="F35" s="249">
        <v>5632</v>
      </c>
      <c r="G35" s="249">
        <v>3077</v>
      </c>
      <c r="H35" s="249">
        <v>2423</v>
      </c>
      <c r="I35" s="413">
        <v>2067</v>
      </c>
      <c r="J35" s="249">
        <v>4143</v>
      </c>
      <c r="K35" s="249">
        <v>1557</v>
      </c>
      <c r="L35" s="249">
        <v>1808</v>
      </c>
      <c r="M35" s="413">
        <v>3219</v>
      </c>
      <c r="N35" s="411">
        <v>3767</v>
      </c>
      <c r="O35" s="1354">
        <v>-688</v>
      </c>
      <c r="P35" s="1354">
        <v>269</v>
      </c>
      <c r="Q35" s="1355">
        <v>817</v>
      </c>
      <c r="R35" s="1356">
        <v>-3739</v>
      </c>
      <c r="S35" s="916"/>
      <c r="T35" s="916"/>
      <c r="U35" s="917"/>
      <c r="V35" s="787"/>
      <c r="W35" s="787"/>
      <c r="X35" s="787"/>
      <c r="Y35" s="788"/>
      <c r="Z35" s="249">
        <v>-1070</v>
      </c>
      <c r="AA35" s="249">
        <v>-87</v>
      </c>
      <c r="AB35" s="249">
        <v>-3294</v>
      </c>
      <c r="AC35" s="250">
        <v>-3548</v>
      </c>
      <c r="AD35" s="475" t="s">
        <v>186</v>
      </c>
      <c r="AE35" s="475" t="s">
        <v>186</v>
      </c>
      <c r="AF35" s="475" t="s">
        <v>186</v>
      </c>
      <c r="AG35" s="476" t="s">
        <v>186</v>
      </c>
      <c r="AH35" s="497" t="s">
        <v>186</v>
      </c>
      <c r="AI35" s="474"/>
      <c r="AJ35" s="474"/>
      <c r="AK35" s="473"/>
      <c r="AL35" s="473"/>
      <c r="AM35" s="473"/>
      <c r="AN35" s="473"/>
      <c r="AO35" s="473"/>
      <c r="AP35" s="482"/>
      <c r="AQ35" s="249">
        <v>7567</v>
      </c>
      <c r="AR35" s="249">
        <v>6584</v>
      </c>
      <c r="AS35" s="331">
        <v>2472</v>
      </c>
      <c r="AT35" s="1427">
        <v>0.23044653677635873</v>
      </c>
      <c r="AU35" s="482"/>
      <c r="AV35" s="413">
        <v>13199</v>
      </c>
      <c r="AW35" s="413">
        <v>10727</v>
      </c>
      <c r="AX35" s="413">
        <v>4165</v>
      </c>
      <c r="AY35" s="1355">
        <v>-3739</v>
      </c>
      <c r="AZ35" s="917"/>
      <c r="BA35" s="918"/>
      <c r="BB35" s="919"/>
      <c r="BC35" s="797"/>
      <c r="BD35" s="476" t="s">
        <v>186</v>
      </c>
      <c r="BE35" s="498" t="s">
        <v>186</v>
      </c>
      <c r="BF35" s="498" t="s">
        <v>186</v>
      </c>
      <c r="BG35" s="9"/>
      <c r="BH35" s="725"/>
      <c r="BJ35" s="207"/>
      <c r="BK35" s="207"/>
      <c r="BL35" s="207"/>
      <c r="BM35" s="207"/>
    </row>
    <row r="36" spans="1:65" ht="12.75" customHeight="1" thickTop="1" x14ac:dyDescent="0.2">
      <c r="A36" s="726"/>
      <c r="B36" s="726"/>
      <c r="C36" s="754"/>
      <c r="D36" s="755"/>
      <c r="E36" s="725"/>
      <c r="F36" s="725"/>
      <c r="G36" s="725"/>
      <c r="H36" s="725"/>
      <c r="I36" s="725"/>
      <c r="J36" s="755"/>
      <c r="K36" s="755"/>
      <c r="L36" s="755"/>
      <c r="M36" s="725"/>
      <c r="N36" s="755"/>
      <c r="O36" s="755"/>
      <c r="P36" s="755"/>
      <c r="Q36" s="725"/>
      <c r="R36" s="755"/>
      <c r="S36" s="755"/>
      <c r="T36" s="755"/>
      <c r="U36" s="725"/>
      <c r="V36" s="755"/>
      <c r="W36" s="755"/>
      <c r="X36" s="755"/>
      <c r="Y36" s="725"/>
      <c r="Z36" s="755"/>
      <c r="AA36" s="755"/>
      <c r="AB36" s="755"/>
      <c r="AC36" s="725"/>
      <c r="AD36" s="755"/>
      <c r="AE36" s="755"/>
      <c r="AF36" s="755"/>
      <c r="AG36" s="725"/>
      <c r="AH36" s="724"/>
      <c r="AI36" s="724"/>
      <c r="AJ36" s="724"/>
      <c r="AK36" s="209"/>
      <c r="AL36" s="209"/>
      <c r="AM36" s="209"/>
      <c r="AN36" s="209"/>
      <c r="AO36" s="209"/>
      <c r="AP36" s="725"/>
      <c r="AQ36" s="725"/>
      <c r="AR36" s="725"/>
      <c r="AS36" s="754"/>
      <c r="AT36" s="755"/>
      <c r="AU36" s="725"/>
      <c r="AV36" s="725"/>
      <c r="AW36" s="725"/>
      <c r="AX36" s="725"/>
      <c r="AY36" s="725"/>
      <c r="AZ36" s="725"/>
      <c r="BA36" s="725"/>
      <c r="BB36" s="725"/>
      <c r="BC36" s="754"/>
      <c r="BD36" s="754"/>
      <c r="BE36" s="9"/>
      <c r="BF36" s="9"/>
      <c r="BG36" s="9"/>
      <c r="BH36" s="725"/>
      <c r="BJ36" s="722"/>
      <c r="BM36" s="722"/>
    </row>
    <row r="37" spans="1:65" ht="13.5" customHeight="1" x14ac:dyDescent="0.2">
      <c r="A37" s="144" t="s">
        <v>419</v>
      </c>
      <c r="B37" s="726"/>
      <c r="C37" s="225">
        <v>3.9000000000000035</v>
      </c>
      <c r="D37" s="755"/>
      <c r="E37" s="35"/>
      <c r="F37" s="35">
        <v>0.64600000000000002</v>
      </c>
      <c r="G37" s="35">
        <v>0.69099999999999995</v>
      </c>
      <c r="H37" s="35">
        <v>0.68500000000000005</v>
      </c>
      <c r="I37" s="35">
        <v>0.66600000000000004</v>
      </c>
      <c r="J37" s="35">
        <v>0.60699999999999998</v>
      </c>
      <c r="K37" s="35">
        <v>0.63600000000000001</v>
      </c>
      <c r="L37" s="35">
        <v>0.625</v>
      </c>
      <c r="M37" s="35">
        <v>0.56200000000000006</v>
      </c>
      <c r="N37" s="35">
        <v>0.57899999999999996</v>
      </c>
      <c r="O37" s="35">
        <v>0.628</v>
      </c>
      <c r="P37" s="35">
        <v>0.61899999999999999</v>
      </c>
      <c r="Q37" s="35">
        <v>0.623</v>
      </c>
      <c r="R37" s="35">
        <v>0.55500000000000005</v>
      </c>
      <c r="S37" s="777"/>
      <c r="T37" s="777"/>
      <c r="U37" s="777"/>
      <c r="V37" s="777"/>
      <c r="W37" s="777"/>
      <c r="X37" s="777"/>
      <c r="Y37" s="777"/>
      <c r="Z37" s="35">
        <v>0.11445717403164211</v>
      </c>
      <c r="AA37" s="35">
        <v>0.11710126998240968</v>
      </c>
      <c r="AB37" s="35">
        <v>0.15167671533210425</v>
      </c>
      <c r="AC37" s="35">
        <v>0.1384596242378997</v>
      </c>
      <c r="AD37" s="35">
        <v>0.14532277546638034</v>
      </c>
      <c r="AE37" s="35">
        <v>0.18445067398306095</v>
      </c>
      <c r="AF37" s="35">
        <v>0.19284280631329259</v>
      </c>
      <c r="AG37" s="35">
        <v>0.157</v>
      </c>
      <c r="AH37" s="35">
        <v>0.16300000000000001</v>
      </c>
      <c r="AI37" s="35">
        <v>0.153</v>
      </c>
      <c r="AJ37" s="35">
        <v>0.16</v>
      </c>
      <c r="AK37" s="35">
        <v>0.12</v>
      </c>
      <c r="AL37" s="35">
        <v>0.11600000000000001</v>
      </c>
      <c r="AM37" s="35">
        <v>0.121</v>
      </c>
      <c r="AN37" s="35">
        <v>0.14299999999999999</v>
      </c>
      <c r="AO37" s="35">
        <v>0.104</v>
      </c>
      <c r="AP37" s="725"/>
      <c r="AQ37" s="35">
        <v>0.68100000000000005</v>
      </c>
      <c r="AR37" s="35">
        <v>0.60599999999999998</v>
      </c>
      <c r="AS37" s="225">
        <v>6.5000000000000053</v>
      </c>
      <c r="AT37" s="755"/>
      <c r="AU37" s="725"/>
      <c r="AV37" s="35">
        <v>0.67100000000000004</v>
      </c>
      <c r="AW37" s="35">
        <v>0.60599999999999998</v>
      </c>
      <c r="AX37" s="35">
        <v>0.61099999999999999</v>
      </c>
      <c r="AY37" s="35">
        <v>0.55500000000000005</v>
      </c>
      <c r="AZ37" s="800"/>
      <c r="BA37" s="800"/>
      <c r="BB37" s="800"/>
      <c r="BC37" s="800"/>
      <c r="BD37" s="35">
        <v>0.11899999999999999</v>
      </c>
      <c r="BE37" s="314">
        <v>9.9000000000000005E-2</v>
      </c>
      <c r="BF37" s="314">
        <v>7.6999999999999999E-2</v>
      </c>
      <c r="BG37" s="314">
        <v>7.9000000000000001E-2</v>
      </c>
      <c r="BH37" s="725"/>
      <c r="BJ37" s="722"/>
      <c r="BM37" s="722"/>
    </row>
    <row r="38" spans="1:65" ht="13.5" customHeight="1" x14ac:dyDescent="0.2">
      <c r="A38" s="7" t="s">
        <v>335</v>
      </c>
      <c r="B38" s="726"/>
      <c r="C38" s="225">
        <v>2.734400010045368</v>
      </c>
      <c r="D38" s="755"/>
      <c r="E38" s="35"/>
      <c r="F38" s="35">
        <v>0.35874074904687148</v>
      </c>
      <c r="G38" s="35">
        <v>0.34950775905222758</v>
      </c>
      <c r="H38" s="35">
        <v>0.34905660377358488</v>
      </c>
      <c r="I38" s="35">
        <v>0.34871216144450345</v>
      </c>
      <c r="J38" s="35">
        <v>0.3313967489464178</v>
      </c>
      <c r="K38" s="35">
        <v>0.34484417795543709</v>
      </c>
      <c r="L38" s="35">
        <v>0.34018583042973288</v>
      </c>
      <c r="M38" s="35">
        <v>0.34865445918896881</v>
      </c>
      <c r="N38" s="35">
        <v>0.34437954017823708</v>
      </c>
      <c r="O38" s="35">
        <v>0.37532268473701191</v>
      </c>
      <c r="P38" s="35">
        <v>0.37161377708978327</v>
      </c>
      <c r="Q38" s="35">
        <v>0.37540205238168173</v>
      </c>
      <c r="R38" s="35">
        <v>0.34373427277302465</v>
      </c>
      <c r="S38" s="777"/>
      <c r="T38" s="777"/>
      <c r="U38" s="777"/>
      <c r="V38" s="777"/>
      <c r="W38" s="777"/>
      <c r="X38" s="777"/>
      <c r="Y38" s="777"/>
      <c r="Z38" s="35"/>
      <c r="AA38" s="35"/>
      <c r="AB38" s="35"/>
      <c r="AC38" s="35"/>
      <c r="AD38" s="35"/>
      <c r="AE38" s="35"/>
      <c r="AF38" s="35"/>
      <c r="AG38" s="35"/>
      <c r="AH38" s="35"/>
      <c r="AI38" s="35"/>
      <c r="AJ38" s="35"/>
      <c r="AK38" s="35"/>
      <c r="AL38" s="35"/>
      <c r="AM38" s="35"/>
      <c r="AN38" s="35"/>
      <c r="AO38" s="35"/>
      <c r="AP38" s="725"/>
      <c r="AQ38" s="35">
        <v>0.34909155642586143</v>
      </c>
      <c r="AR38" s="35">
        <v>0.34462455841455164</v>
      </c>
      <c r="AS38" s="225">
        <v>1.1095720673817755</v>
      </c>
      <c r="AT38" s="755"/>
      <c r="AU38" s="725"/>
      <c r="AV38" s="35">
        <v>0.35183311960876457</v>
      </c>
      <c r="AW38" s="35">
        <v>0.34073739893494681</v>
      </c>
      <c r="AX38" s="35">
        <v>0.36549800015257694</v>
      </c>
      <c r="AY38" s="35">
        <v>0.34373427277302465</v>
      </c>
      <c r="AZ38" s="800"/>
      <c r="BA38" s="800"/>
      <c r="BB38" s="800"/>
      <c r="BC38" s="800"/>
      <c r="BD38" s="35"/>
      <c r="BE38" s="314"/>
      <c r="BF38" s="314"/>
      <c r="BG38" s="314"/>
      <c r="BH38" s="725"/>
      <c r="BJ38" s="722"/>
      <c r="BM38" s="722"/>
    </row>
    <row r="39" spans="1:65" ht="13.5" customHeight="1" x14ac:dyDescent="0.2">
      <c r="A39" s="7" t="s">
        <v>336</v>
      </c>
      <c r="B39" s="726"/>
      <c r="C39" s="225">
        <v>-0.16822075073190096</v>
      </c>
      <c r="D39" s="755"/>
      <c r="E39" s="35"/>
      <c r="F39" s="35">
        <v>1.0148015250056066E-2</v>
      </c>
      <c r="G39" s="35">
        <v>9.6445853495745037E-3</v>
      </c>
      <c r="H39" s="35">
        <v>9.1989525280333044E-3</v>
      </c>
      <c r="I39" s="35">
        <v>1.0256240042485395E-2</v>
      </c>
      <c r="J39" s="35">
        <v>1.1830222757375075E-2</v>
      </c>
      <c r="K39" s="35">
        <v>1.1140721000814272E-2</v>
      </c>
      <c r="L39" s="35">
        <v>1.3356562137049941E-2</v>
      </c>
      <c r="M39" s="35">
        <v>2.1536066424494033E-2</v>
      </c>
      <c r="N39" s="35">
        <v>2.7334681345016101E-3</v>
      </c>
      <c r="O39" s="35">
        <v>1.5085511455308164E-2</v>
      </c>
      <c r="P39" s="35">
        <v>1.9785216718266253E-2</v>
      </c>
      <c r="Q39" s="35">
        <v>1.9758002756930616E-2</v>
      </c>
      <c r="R39" s="35">
        <v>0.14292903875188726</v>
      </c>
      <c r="S39" s="777"/>
      <c r="T39" s="777"/>
      <c r="U39" s="777"/>
      <c r="V39" s="777"/>
      <c r="W39" s="777"/>
      <c r="X39" s="777"/>
      <c r="Y39" s="777"/>
      <c r="Z39" s="35"/>
      <c r="AA39" s="35"/>
      <c r="AB39" s="35"/>
      <c r="AC39" s="35"/>
      <c r="AD39" s="35"/>
      <c r="AE39" s="35"/>
      <c r="AF39" s="35"/>
      <c r="AG39" s="35"/>
      <c r="AH39" s="35"/>
      <c r="AI39" s="35"/>
      <c r="AJ39" s="35"/>
      <c r="AK39" s="35"/>
      <c r="AL39" s="35"/>
      <c r="AM39" s="35"/>
      <c r="AN39" s="35"/>
      <c r="AO39" s="35"/>
      <c r="AP39" s="725"/>
      <c r="AQ39" s="35">
        <v>9.701932598271009E-3</v>
      </c>
      <c r="AR39" s="35">
        <v>1.5370931776614135E-2</v>
      </c>
      <c r="AS39" s="225">
        <v>-0.45017743517903697</v>
      </c>
      <c r="AT39" s="755"/>
      <c r="AU39" s="725"/>
      <c r="AV39" s="35">
        <v>9.8286751997196352E-3</v>
      </c>
      <c r="AW39" s="35">
        <v>1.4330449551510005E-2</v>
      </c>
      <c r="AX39" s="35">
        <v>1.3546650391795721E-2</v>
      </c>
      <c r="AY39" s="35">
        <v>0.14292903875188726</v>
      </c>
      <c r="AZ39" s="800"/>
      <c r="BA39" s="800"/>
      <c r="BB39" s="800"/>
      <c r="BC39" s="800"/>
      <c r="BD39" s="35"/>
      <c r="BE39" s="314"/>
      <c r="BF39" s="314"/>
      <c r="BG39" s="314"/>
      <c r="BH39" s="725"/>
      <c r="BJ39" s="722"/>
      <c r="BM39" s="722"/>
    </row>
    <row r="40" spans="1:65" ht="12.75" customHeight="1" x14ac:dyDescent="0.2">
      <c r="A40" s="727" t="s">
        <v>79</v>
      </c>
      <c r="B40" s="726"/>
      <c r="C40" s="225">
        <v>2.5661792593134667</v>
      </c>
      <c r="D40" s="755"/>
      <c r="E40" s="35"/>
      <c r="F40" s="35">
        <v>0.36888876429692757</v>
      </c>
      <c r="G40" s="35">
        <v>0.3591523444018021</v>
      </c>
      <c r="H40" s="35">
        <v>0.35825555630161821</v>
      </c>
      <c r="I40" s="35">
        <v>0.35896840148698883</v>
      </c>
      <c r="J40" s="35">
        <v>0.3432269717037929</v>
      </c>
      <c r="K40" s="35">
        <v>0.35598489895625141</v>
      </c>
      <c r="L40" s="35">
        <v>0.35354239256678283</v>
      </c>
      <c r="M40" s="35">
        <v>0.37019052561346283</v>
      </c>
      <c r="N40" s="35">
        <v>0.34711300831273872</v>
      </c>
      <c r="O40" s="35">
        <v>0.39040819619232009</v>
      </c>
      <c r="P40" s="35">
        <v>0.39139899380804954</v>
      </c>
      <c r="Q40" s="35">
        <v>0.39516005513861235</v>
      </c>
      <c r="R40" s="35">
        <v>0.48666331152491193</v>
      </c>
      <c r="S40" s="777"/>
      <c r="T40" s="777"/>
      <c r="U40" s="777"/>
      <c r="V40" s="777"/>
      <c r="W40" s="777"/>
      <c r="X40" s="777"/>
      <c r="Y40" s="777"/>
      <c r="Z40" s="35">
        <v>0.47650481905801056</v>
      </c>
      <c r="AA40" s="35">
        <v>0.47118860301934934</v>
      </c>
      <c r="AB40" s="35">
        <v>0.48253525337585329</v>
      </c>
      <c r="AC40" s="35">
        <v>0.46392932686325744</v>
      </c>
      <c r="AD40" s="35">
        <v>0.35222117836532008</v>
      </c>
      <c r="AE40" s="35">
        <v>0.423326971251342</v>
      </c>
      <c r="AF40" s="35">
        <v>0.45880850287382541</v>
      </c>
      <c r="AG40" s="35">
        <v>0.46583582528131645</v>
      </c>
      <c r="AH40" s="35">
        <v>0.44400000000000001</v>
      </c>
      <c r="AI40" s="35">
        <v>0.46500000000000002</v>
      </c>
      <c r="AJ40" s="35">
        <v>0.442</v>
      </c>
      <c r="AK40" s="35">
        <v>0.495</v>
      </c>
      <c r="AL40" s="35">
        <v>0.48199999999999998</v>
      </c>
      <c r="AM40" s="35">
        <v>0.46300000000000002</v>
      </c>
      <c r="AN40" s="35">
        <v>0.44700000000000001</v>
      </c>
      <c r="AO40" s="35">
        <v>0.46200000000000002</v>
      </c>
      <c r="AP40" s="725"/>
      <c r="AQ40" s="35">
        <v>0.35879348902413244</v>
      </c>
      <c r="AR40" s="35">
        <v>0.35999549019116578</v>
      </c>
      <c r="AS40" s="225">
        <v>0.65939463220273664</v>
      </c>
      <c r="AT40" s="755"/>
      <c r="AU40" s="725"/>
      <c r="AV40" s="35">
        <v>0.3616617948084842</v>
      </c>
      <c r="AW40" s="35">
        <v>0.35506784848645684</v>
      </c>
      <c r="AX40" s="35">
        <v>0.37904465054437264</v>
      </c>
      <c r="AY40" s="35">
        <v>0.48666331152491193</v>
      </c>
      <c r="AZ40" s="800"/>
      <c r="BA40" s="800"/>
      <c r="BB40" s="800"/>
      <c r="BC40" s="800"/>
      <c r="BD40" s="35">
        <v>0.46500000000000002</v>
      </c>
      <c r="BE40" s="305">
        <v>0.46800000000000003</v>
      </c>
      <c r="BF40" s="305">
        <v>0.47399999999999998</v>
      </c>
      <c r="BG40" s="305">
        <v>0.47</v>
      </c>
      <c r="BH40" s="725"/>
      <c r="BJ40" s="722"/>
      <c r="BM40" s="722"/>
    </row>
    <row r="41" spans="1:65" ht="13.5" customHeight="1" x14ac:dyDescent="0.2">
      <c r="A41" s="727" t="s">
        <v>217</v>
      </c>
      <c r="B41" s="726"/>
      <c r="C41" s="225">
        <v>1.7964894275882326</v>
      </c>
      <c r="D41" s="755"/>
      <c r="E41" s="35"/>
      <c r="F41" s="35">
        <v>0.50008409957389555</v>
      </c>
      <c r="G41" s="35">
        <v>0.51683630902719835</v>
      </c>
      <c r="H41" s="35">
        <v>0.51158262270865507</v>
      </c>
      <c r="I41" s="35">
        <v>0.51168348380244288</v>
      </c>
      <c r="J41" s="35">
        <v>0.48211920529801322</v>
      </c>
      <c r="K41" s="35">
        <v>0.48467688207861426</v>
      </c>
      <c r="L41" s="35">
        <v>0.49132791327913278</v>
      </c>
      <c r="M41" s="35">
        <v>0.48161464897323747</v>
      </c>
      <c r="N41" s="35">
        <v>0.43346064554781699</v>
      </c>
      <c r="O41" s="35">
        <v>0.49511939335269439</v>
      </c>
      <c r="P41" s="35">
        <v>0.50174148606811142</v>
      </c>
      <c r="Q41" s="35">
        <v>0.525450553938837</v>
      </c>
      <c r="R41" s="35">
        <v>0.5762455963764469</v>
      </c>
      <c r="S41" s="777"/>
      <c r="T41" s="777"/>
      <c r="U41" s="777"/>
      <c r="V41" s="777"/>
      <c r="W41" s="777"/>
      <c r="X41" s="777"/>
      <c r="Y41" s="777"/>
      <c r="Z41" s="35">
        <v>0.57785051827605016</v>
      </c>
      <c r="AA41" s="35">
        <v>0.54879863916648952</v>
      </c>
      <c r="AB41" s="35">
        <v>0.59116049628780709</v>
      </c>
      <c r="AC41" s="35">
        <v>0.56959064327485376</v>
      </c>
      <c r="AD41" s="35">
        <v>0.47314454435646219</v>
      </c>
      <c r="AE41" s="35">
        <v>0.5144936180365024</v>
      </c>
      <c r="AF41" s="35">
        <v>0.53811239850378612</v>
      </c>
      <c r="AG41" s="35">
        <v>0.53119112232727772</v>
      </c>
      <c r="AH41" s="35">
        <v>0.53</v>
      </c>
      <c r="AI41" s="35">
        <v>0.51900000000000002</v>
      </c>
      <c r="AJ41" s="35">
        <v>0.503</v>
      </c>
      <c r="AK41" s="35">
        <v>0.54800000000000004</v>
      </c>
      <c r="AL41" s="35">
        <v>0.53900000000000003</v>
      </c>
      <c r="AM41" s="35">
        <v>0.50700000000000001</v>
      </c>
      <c r="AN41" s="35">
        <v>0.499</v>
      </c>
      <c r="AO41" s="35">
        <v>0.50900000000000001</v>
      </c>
      <c r="AP41" s="725"/>
      <c r="AQ41" s="35">
        <v>0.51336797249635624</v>
      </c>
      <c r="AR41" s="35">
        <v>0.48579410217222457</v>
      </c>
      <c r="AS41" s="225">
        <v>2.4879523777198709</v>
      </c>
      <c r="AT41" s="755"/>
      <c r="AU41" s="725"/>
      <c r="AV41" s="35">
        <v>0.50959371092225469</v>
      </c>
      <c r="AW41" s="35">
        <v>0.48471418714505599</v>
      </c>
      <c r="AX41" s="35">
        <v>0.48514009830312671</v>
      </c>
      <c r="AY41" s="35">
        <v>0.5762455963764469</v>
      </c>
      <c r="AZ41" s="800"/>
      <c r="BA41" s="800"/>
      <c r="BB41" s="800"/>
      <c r="BC41" s="800"/>
      <c r="BD41" s="35">
        <v>0.51500000000000001</v>
      </c>
      <c r="BE41" s="305">
        <v>0.52500000000000002</v>
      </c>
      <c r="BF41" s="305">
        <v>0.53600000000000003</v>
      </c>
      <c r="BG41" s="305">
        <v>0.52800000000000002</v>
      </c>
      <c r="BH41" s="725"/>
      <c r="BJ41" s="722"/>
      <c r="BM41" s="722"/>
    </row>
    <row r="42" spans="1:65" ht="12.75" customHeight="1" x14ac:dyDescent="0.2">
      <c r="A42" s="726" t="s">
        <v>80</v>
      </c>
      <c r="B42" s="726"/>
      <c r="C42" s="225">
        <v>-0.9389012798257268</v>
      </c>
      <c r="D42" s="755"/>
      <c r="E42" s="35"/>
      <c r="F42" s="35">
        <v>0.31276631531733573</v>
      </c>
      <c r="G42" s="35">
        <v>0.34924078091106292</v>
      </c>
      <c r="H42" s="35">
        <v>0.3699724702880548</v>
      </c>
      <c r="I42" s="35">
        <v>0.3567113648433351</v>
      </c>
      <c r="J42" s="35">
        <v>0.322155328115593</v>
      </c>
      <c r="K42" s="35">
        <v>0.37719298245614036</v>
      </c>
      <c r="L42" s="35">
        <v>0.3658923732094464</v>
      </c>
      <c r="M42" s="35">
        <v>0.33853510267625475</v>
      </c>
      <c r="N42" s="35">
        <v>0.32614393769190442</v>
      </c>
      <c r="O42" s="35">
        <v>0.4206195546950629</v>
      </c>
      <c r="P42" s="35">
        <v>0.38781927244582043</v>
      </c>
      <c r="Q42" s="35">
        <v>0.37106243937305355</v>
      </c>
      <c r="R42" s="35">
        <v>2.3054856567689983</v>
      </c>
      <c r="S42" s="777"/>
      <c r="T42" s="777"/>
      <c r="U42" s="777"/>
      <c r="V42" s="777"/>
      <c r="W42" s="777"/>
      <c r="X42" s="777"/>
      <c r="Y42" s="777"/>
      <c r="Z42" s="35">
        <v>0.27384979087106748</v>
      </c>
      <c r="AA42" s="35">
        <v>0.26397077300755806</v>
      </c>
      <c r="AB42" s="35">
        <v>0.28613782450545616</v>
      </c>
      <c r="AC42" s="35">
        <v>0.3045617767823815</v>
      </c>
      <c r="AD42" s="35">
        <v>0.30438867266138775</v>
      </c>
      <c r="AE42" s="35">
        <v>0.68483836335440773</v>
      </c>
      <c r="AF42" s="35">
        <v>0.28095064318949003</v>
      </c>
      <c r="AG42" s="35">
        <v>0.24116294747031269</v>
      </c>
      <c r="AH42" s="35">
        <v>1.28</v>
      </c>
      <c r="AI42" s="35">
        <v>0.26800000000000002</v>
      </c>
      <c r="AJ42" s="35">
        <v>0.26400000000000001</v>
      </c>
      <c r="AK42" s="35">
        <v>0.20299999999999996</v>
      </c>
      <c r="AL42" s="35">
        <v>0.19</v>
      </c>
      <c r="AM42" s="35">
        <v>0.22199999999999998</v>
      </c>
      <c r="AN42" s="35">
        <v>0.24399999999999999</v>
      </c>
      <c r="AO42" s="35">
        <v>0.255</v>
      </c>
      <c r="AP42" s="725"/>
      <c r="AQ42" s="35">
        <v>0.35861547191223758</v>
      </c>
      <c r="AR42" s="35">
        <v>0.36047152556811063</v>
      </c>
      <c r="AS42" s="225">
        <v>-0.36231800229365452</v>
      </c>
      <c r="AT42" s="755"/>
      <c r="AU42" s="725"/>
      <c r="AV42" s="35">
        <v>0.34558864525173039</v>
      </c>
      <c r="AW42" s="35">
        <v>0.34921182527466693</v>
      </c>
      <c r="AX42" s="35">
        <v>0.3751539392089977</v>
      </c>
      <c r="AY42" s="35">
        <v>2.3054856567689983</v>
      </c>
      <c r="AZ42" s="800"/>
      <c r="BA42" s="800"/>
      <c r="BB42" s="800"/>
      <c r="BC42" s="800"/>
      <c r="BD42" s="35">
        <v>0.22599999999999998</v>
      </c>
      <c r="BE42" s="305">
        <v>0.20299999999999996</v>
      </c>
      <c r="BF42" s="305">
        <v>0.18</v>
      </c>
      <c r="BG42" s="305">
        <v>0.14600000000000002</v>
      </c>
      <c r="BH42" s="725"/>
      <c r="BJ42" s="722"/>
      <c r="BM42" s="722"/>
    </row>
    <row r="43" spans="1:65" ht="12.75" customHeight="1" x14ac:dyDescent="0.2">
      <c r="A43" s="726" t="s">
        <v>81</v>
      </c>
      <c r="B43" s="726"/>
      <c r="C43" s="225">
        <v>0.85758814776250025</v>
      </c>
      <c r="D43" s="755"/>
      <c r="E43" s="35"/>
      <c r="F43" s="35">
        <v>0.81285041489123122</v>
      </c>
      <c r="G43" s="35">
        <v>0.86607708993826127</v>
      </c>
      <c r="H43" s="35">
        <v>0.88155509299670987</v>
      </c>
      <c r="I43" s="35">
        <v>0.89438396176314394</v>
      </c>
      <c r="J43" s="35">
        <v>0.80427453341360622</v>
      </c>
      <c r="K43" s="35">
        <v>0.86186986453475456</v>
      </c>
      <c r="L43" s="35">
        <v>0.85722028648857918</v>
      </c>
      <c r="M43" s="35">
        <v>0.82014975164949222</v>
      </c>
      <c r="N43" s="35">
        <v>0.79270575900546691</v>
      </c>
      <c r="O43" s="35">
        <v>0.95744595030655055</v>
      </c>
      <c r="P43" s="35">
        <v>0.8895607585139319</v>
      </c>
      <c r="Q43" s="35">
        <v>0.89651299331189049</v>
      </c>
      <c r="R43" s="35">
        <v>2.8817312531454453</v>
      </c>
      <c r="S43" s="777"/>
      <c r="T43" s="777"/>
      <c r="U43" s="777"/>
      <c r="V43" s="777"/>
      <c r="W43" s="777"/>
      <c r="X43" s="777"/>
      <c r="Y43" s="777"/>
      <c r="Z43" s="35">
        <v>0.8517003091471177</v>
      </c>
      <c r="AA43" s="35">
        <v>0.81276941217404752</v>
      </c>
      <c r="AB43" s="35">
        <v>0.8772983207932632</v>
      </c>
      <c r="AC43" s="35">
        <v>0.87515242005723526</v>
      </c>
      <c r="AD43" s="35">
        <v>0.77753321701784994</v>
      </c>
      <c r="AE43" s="35">
        <v>1.1993319813909102</v>
      </c>
      <c r="AF43" s="35">
        <v>0.81906304169327615</v>
      </c>
      <c r="AG43" s="35">
        <v>0.77235406979759047</v>
      </c>
      <c r="AH43" s="35">
        <v>1.81</v>
      </c>
      <c r="AI43" s="35">
        <v>0.78700000000000003</v>
      </c>
      <c r="AJ43" s="35">
        <v>0.76700000000000002</v>
      </c>
      <c r="AK43" s="35">
        <v>0.751</v>
      </c>
      <c r="AL43" s="35">
        <v>0.72899999999999998</v>
      </c>
      <c r="AM43" s="35">
        <v>0.72899999999999998</v>
      </c>
      <c r="AN43" s="35">
        <v>0.74299999999999999</v>
      </c>
      <c r="AO43" s="35">
        <v>0.76400000000000001</v>
      </c>
      <c r="AP43" s="725"/>
      <c r="AQ43" s="35">
        <v>0.88069515682194954</v>
      </c>
      <c r="AR43" s="35">
        <v>0.8462656277403352</v>
      </c>
      <c r="AS43" s="225">
        <v>2.7492853220534741</v>
      </c>
      <c r="AT43" s="755"/>
      <c r="AU43" s="725"/>
      <c r="AV43" s="35">
        <v>0.86141886564025771</v>
      </c>
      <c r="AW43" s="35">
        <v>0.83392601241972297</v>
      </c>
      <c r="AX43" s="35">
        <v>0.88119707488257026</v>
      </c>
      <c r="AY43" s="35">
        <v>2.8817312531454453</v>
      </c>
      <c r="AZ43" s="800"/>
      <c r="BA43" s="800"/>
      <c r="BB43" s="800"/>
      <c r="BC43" s="800"/>
      <c r="BD43" s="35">
        <v>0.74099999999999999</v>
      </c>
      <c r="BE43" s="305">
        <v>0.72799999999999998</v>
      </c>
      <c r="BF43" s="305">
        <v>0.71599999999999997</v>
      </c>
      <c r="BG43" s="305">
        <v>0.67400000000000004</v>
      </c>
      <c r="BH43" s="725"/>
      <c r="BJ43" s="722"/>
      <c r="BM43" s="722"/>
    </row>
    <row r="44" spans="1:65" ht="12.75" customHeight="1" x14ac:dyDescent="0.2">
      <c r="A44" s="727" t="s">
        <v>187</v>
      </c>
      <c r="B44" s="726"/>
      <c r="C44" s="225">
        <v>-0.8575881477624947</v>
      </c>
      <c r="D44" s="755"/>
      <c r="E44" s="35"/>
      <c r="F44" s="35">
        <v>0.18714958510876878</v>
      </c>
      <c r="G44" s="35">
        <v>0.1339229100617387</v>
      </c>
      <c r="H44" s="35">
        <v>0.11844490700329013</v>
      </c>
      <c r="I44" s="35">
        <v>0.10561603823685609</v>
      </c>
      <c r="J44" s="35">
        <v>0.19572546658639373</v>
      </c>
      <c r="K44" s="35">
        <v>0.13813013546524538</v>
      </c>
      <c r="L44" s="35">
        <v>0.14277971351142082</v>
      </c>
      <c r="M44" s="35">
        <v>0.17985024835050781</v>
      </c>
      <c r="N44" s="35">
        <v>0.20729424099453306</v>
      </c>
      <c r="O44" s="35">
        <v>4.2554049693449503E-2</v>
      </c>
      <c r="P44" s="35">
        <v>0.11043924148606811</v>
      </c>
      <c r="Q44" s="35">
        <v>0.10348700668810946</v>
      </c>
      <c r="R44" s="35">
        <v>-1.8817312531454453</v>
      </c>
      <c r="S44" s="777"/>
      <c r="T44" s="777"/>
      <c r="U44" s="777"/>
      <c r="V44" s="777"/>
      <c r="W44" s="777"/>
      <c r="X44" s="777"/>
      <c r="Y44" s="777"/>
      <c r="Z44" s="35">
        <v>0.14829969085288233</v>
      </c>
      <c r="AA44" s="35">
        <v>0.18723058782595248</v>
      </c>
      <c r="AB44" s="35">
        <v>0.12270167920673676</v>
      </c>
      <c r="AC44" s="35">
        <v>0.12484757994276471</v>
      </c>
      <c r="AD44" s="35">
        <v>0.22246678298215006</v>
      </c>
      <c r="AE44" s="35">
        <v>-0.19933198139091018</v>
      </c>
      <c r="AF44" s="35">
        <v>0.18093695830672385</v>
      </c>
      <c r="AG44" s="35">
        <v>0.22764593020240956</v>
      </c>
      <c r="AH44" s="35">
        <v>-0.81</v>
      </c>
      <c r="AI44" s="35">
        <v>0.21299999999999997</v>
      </c>
      <c r="AJ44" s="35">
        <v>0.23299999999999998</v>
      </c>
      <c r="AK44" s="35">
        <v>0.249</v>
      </c>
      <c r="AL44" s="35">
        <v>0.27100000000000002</v>
      </c>
      <c r="AM44" s="35">
        <v>0.27100000000000002</v>
      </c>
      <c r="AN44" s="35">
        <v>0.25700000000000001</v>
      </c>
      <c r="AO44" s="35">
        <v>0.23599999999999999</v>
      </c>
      <c r="AP44" s="725"/>
      <c r="AQ44" s="35">
        <v>0.11930484317805048</v>
      </c>
      <c r="AR44" s="35">
        <v>0.15373437225966477</v>
      </c>
      <c r="AS44" s="225">
        <v>-2.7492853220534794</v>
      </c>
      <c r="AT44" s="755"/>
      <c r="AU44" s="725"/>
      <c r="AV44" s="35">
        <v>0.13858113435974226</v>
      </c>
      <c r="AW44" s="35">
        <v>0.16607398758027705</v>
      </c>
      <c r="AX44" s="35">
        <v>0.11880292511742974</v>
      </c>
      <c r="AY44" s="35">
        <v>-1.8817312531454453</v>
      </c>
      <c r="AZ44" s="800"/>
      <c r="BA44" s="800"/>
      <c r="BB44" s="800"/>
      <c r="BC44" s="800"/>
      <c r="BD44" s="35">
        <v>0.25900000000000001</v>
      </c>
      <c r="BE44" s="305">
        <v>0.27200000000000002</v>
      </c>
      <c r="BF44" s="305">
        <v>0.28400000000000003</v>
      </c>
      <c r="BG44" s="305">
        <v>0.32599999999999996</v>
      </c>
      <c r="BH44" s="725"/>
      <c r="BJ44" s="722"/>
      <c r="BM44" s="722"/>
    </row>
    <row r="45" spans="1:65" ht="12.75" customHeight="1" x14ac:dyDescent="0.2">
      <c r="A45" s="727" t="s">
        <v>82</v>
      </c>
      <c r="B45" s="726"/>
      <c r="C45" s="225">
        <v>3.316890569897732</v>
      </c>
      <c r="D45" s="755"/>
      <c r="E45" s="35"/>
      <c r="F45" s="35">
        <v>0.15788293339313747</v>
      </c>
      <c r="G45" s="35">
        <v>0.10268646754546971</v>
      </c>
      <c r="H45" s="35">
        <v>8.1346941516148533E-2</v>
      </c>
      <c r="I45" s="35">
        <v>6.8607275624004246E-2</v>
      </c>
      <c r="J45" s="35">
        <v>0.12471402769416015</v>
      </c>
      <c r="K45" s="35">
        <v>5.7628247834776818E-2</v>
      </c>
      <c r="L45" s="35">
        <v>6.9996128532713905E-2</v>
      </c>
      <c r="M45" s="35">
        <v>0.11931944547409</v>
      </c>
      <c r="N45" s="35">
        <v>0.14105444469407624</v>
      </c>
      <c r="O45" s="35">
        <v>-2.7750887383026782E-2</v>
      </c>
      <c r="P45" s="35">
        <v>1.3012770897832817E-2</v>
      </c>
      <c r="Q45" s="35">
        <v>4.171133915352019E-2</v>
      </c>
      <c r="R45" s="35">
        <v>-1.8817312531454453</v>
      </c>
      <c r="S45" s="777"/>
      <c r="T45" s="777"/>
      <c r="U45" s="777"/>
      <c r="V45" s="777"/>
      <c r="W45" s="777"/>
      <c r="X45" s="777"/>
      <c r="Y45" s="777"/>
      <c r="Z45" s="35">
        <v>-1.9458083287870524E-2</v>
      </c>
      <c r="AA45" s="35">
        <v>-1.6817118667001719E-3</v>
      </c>
      <c r="AB45" s="35">
        <v>-8.2066869300911852E-2</v>
      </c>
      <c r="AC45" s="755" t="s">
        <v>186</v>
      </c>
      <c r="AD45" s="755" t="s">
        <v>186</v>
      </c>
      <c r="AE45" s="755" t="s">
        <v>186</v>
      </c>
      <c r="AF45" s="755" t="s">
        <v>186</v>
      </c>
      <c r="AG45" s="755" t="s">
        <v>186</v>
      </c>
      <c r="AH45" s="755" t="s">
        <v>186</v>
      </c>
      <c r="AI45" s="755" t="s">
        <v>186</v>
      </c>
      <c r="AJ45" s="755" t="s">
        <v>186</v>
      </c>
      <c r="AK45" s="755"/>
      <c r="AL45" s="755"/>
      <c r="AM45" s="755"/>
      <c r="AN45" s="755"/>
      <c r="AO45" s="755"/>
      <c r="AP45" s="240"/>
      <c r="AQ45" s="35">
        <v>8.4190967856785232E-2</v>
      </c>
      <c r="AR45" s="35">
        <v>8.2479392679076988E-2</v>
      </c>
      <c r="AS45" s="225">
        <v>1.0238017643414032</v>
      </c>
      <c r="AT45" s="755"/>
      <c r="AU45" s="240"/>
      <c r="AV45" s="35">
        <v>0.10512859316134479</v>
      </c>
      <c r="AW45" s="35">
        <v>9.4890575517930759E-2</v>
      </c>
      <c r="AX45" s="35">
        <v>4.5391632246041175E-2</v>
      </c>
      <c r="AY45" s="35">
        <v>-1.8817312531454453</v>
      </c>
      <c r="AZ45" s="800"/>
      <c r="BA45" s="798"/>
      <c r="BB45" s="798"/>
      <c r="BC45" s="798"/>
      <c r="BD45" s="755" t="s">
        <v>186</v>
      </c>
      <c r="BE45" s="755" t="s">
        <v>186</v>
      </c>
      <c r="BF45" s="503" t="s">
        <v>186</v>
      </c>
      <c r="BG45" s="305"/>
      <c r="BH45" s="725"/>
      <c r="BJ45" s="722"/>
      <c r="BM45" s="722"/>
    </row>
    <row r="46" spans="1:65" ht="12.75" customHeight="1" x14ac:dyDescent="0.2">
      <c r="A46" s="726"/>
      <c r="B46" s="726"/>
      <c r="C46" s="754"/>
      <c r="D46" s="755"/>
      <c r="E46" s="755"/>
      <c r="F46" s="755"/>
      <c r="G46" s="755"/>
      <c r="H46" s="755"/>
      <c r="I46" s="755"/>
      <c r="J46" s="755"/>
      <c r="K46" s="755"/>
      <c r="L46" s="755"/>
      <c r="M46" s="755"/>
      <c r="N46" s="755"/>
      <c r="O46" s="755"/>
      <c r="P46" s="755"/>
      <c r="Q46" s="755"/>
      <c r="R46" s="755"/>
      <c r="S46" s="798"/>
      <c r="T46" s="798"/>
      <c r="U46" s="798"/>
      <c r="V46" s="798"/>
      <c r="W46" s="798"/>
      <c r="X46" s="798"/>
      <c r="Y46" s="798"/>
      <c r="Z46" s="755"/>
      <c r="AA46" s="755"/>
      <c r="AB46" s="755"/>
      <c r="AC46" s="755"/>
      <c r="AD46" s="755"/>
      <c r="AE46" s="755"/>
      <c r="AF46" s="755"/>
      <c r="AG46" s="725"/>
      <c r="AH46" s="724"/>
      <c r="AI46" s="724"/>
      <c r="AJ46" s="724"/>
      <c r="AK46" s="724"/>
      <c r="AL46" s="183"/>
      <c r="AM46" s="183"/>
      <c r="AN46" s="183"/>
      <c r="AO46" s="183"/>
      <c r="AP46" s="725"/>
      <c r="AQ46" s="725"/>
      <c r="AR46" s="725"/>
      <c r="AS46" s="754"/>
      <c r="AT46" s="755"/>
      <c r="AU46" s="725"/>
      <c r="AV46" s="35"/>
      <c r="AW46" s="35"/>
      <c r="AX46" s="35"/>
      <c r="AY46" s="35"/>
      <c r="AZ46" s="800"/>
      <c r="BA46" s="800"/>
      <c r="BB46" s="801"/>
      <c r="BC46" s="799"/>
      <c r="BD46" s="754"/>
      <c r="BE46" s="306"/>
      <c r="BF46" s="306"/>
      <c r="BG46" s="306"/>
      <c r="BH46" s="725"/>
      <c r="BJ46" s="722"/>
      <c r="BM46" s="722"/>
    </row>
    <row r="47" spans="1:65" ht="13.5" customHeight="1" x14ac:dyDescent="0.2">
      <c r="A47" s="736" t="s">
        <v>297</v>
      </c>
      <c r="B47" s="139"/>
      <c r="C47" s="754">
        <v>1607</v>
      </c>
      <c r="D47" s="755">
        <v>7.9728120658860882E-2</v>
      </c>
      <c r="E47" s="754"/>
      <c r="F47" s="754">
        <v>21763</v>
      </c>
      <c r="G47" s="754">
        <v>20307</v>
      </c>
      <c r="H47" s="754">
        <v>20420</v>
      </c>
      <c r="I47" s="754">
        <v>20486</v>
      </c>
      <c r="J47" s="754">
        <v>20156</v>
      </c>
      <c r="K47" s="754">
        <v>18984</v>
      </c>
      <c r="L47" s="754">
        <v>17655</v>
      </c>
      <c r="M47" s="754">
        <v>16125</v>
      </c>
      <c r="N47" s="754">
        <v>15936</v>
      </c>
      <c r="O47" s="754">
        <v>15228</v>
      </c>
      <c r="P47" s="754">
        <v>13122</v>
      </c>
      <c r="Q47" s="754">
        <v>12583</v>
      </c>
      <c r="R47" s="754">
        <v>13087.2</v>
      </c>
      <c r="S47" s="799"/>
      <c r="T47" s="799"/>
      <c r="U47" s="799"/>
      <c r="V47" s="799"/>
      <c r="W47" s="799"/>
      <c r="X47" s="799"/>
      <c r="Y47" s="799"/>
      <c r="Z47" s="754">
        <v>0</v>
      </c>
      <c r="AA47" s="754">
        <v>423</v>
      </c>
      <c r="AB47" s="754">
        <v>453</v>
      </c>
      <c r="AC47" s="754">
        <v>443</v>
      </c>
      <c r="AD47" s="754">
        <v>393</v>
      </c>
      <c r="AE47" s="754">
        <v>454</v>
      </c>
      <c r="AF47" s="754">
        <v>609</v>
      </c>
      <c r="AG47" s="754">
        <v>747</v>
      </c>
      <c r="AH47" s="754">
        <v>730</v>
      </c>
      <c r="AI47" s="754">
        <v>760</v>
      </c>
      <c r="AJ47" s="754">
        <v>777</v>
      </c>
      <c r="AK47" s="754">
        <v>815</v>
      </c>
      <c r="AL47" s="754">
        <v>807</v>
      </c>
      <c r="AM47" s="754">
        <v>814</v>
      </c>
      <c r="AN47" s="754">
        <v>745</v>
      </c>
      <c r="AO47" s="754">
        <v>712</v>
      </c>
      <c r="AP47" s="725"/>
      <c r="AQ47" s="730">
        <v>20307</v>
      </c>
      <c r="AR47" s="730">
        <v>18984</v>
      </c>
      <c r="AS47" s="754">
        <v>1607</v>
      </c>
      <c r="AT47" s="755">
        <v>7.9728120658860882E-2</v>
      </c>
      <c r="AU47" s="725"/>
      <c r="AV47" s="754">
        <v>21763</v>
      </c>
      <c r="AW47" s="754">
        <v>20156</v>
      </c>
      <c r="AX47" s="754">
        <v>15936</v>
      </c>
      <c r="AY47" s="754">
        <v>13087.2</v>
      </c>
      <c r="AZ47" s="799"/>
      <c r="BA47" s="799"/>
      <c r="BB47" s="799"/>
      <c r="BC47" s="799"/>
      <c r="BD47" s="754">
        <v>807</v>
      </c>
      <c r="BE47" s="736">
        <v>613</v>
      </c>
      <c r="BF47" s="736">
        <v>380</v>
      </c>
      <c r="BG47" s="736">
        <v>237</v>
      </c>
      <c r="BH47" s="725"/>
      <c r="BJ47" s="722"/>
      <c r="BM47" s="722"/>
    </row>
    <row r="48" spans="1:65" ht="12.75" customHeight="1" x14ac:dyDescent="0.2">
      <c r="A48" s="727"/>
      <c r="B48" s="144"/>
      <c r="C48" s="754"/>
      <c r="D48" s="755"/>
      <c r="E48" s="754"/>
      <c r="F48" s="754"/>
      <c r="G48" s="754"/>
      <c r="H48" s="754"/>
      <c r="I48" s="754"/>
      <c r="J48" s="754"/>
      <c r="K48" s="754"/>
      <c r="L48" s="754"/>
      <c r="M48" s="754"/>
      <c r="N48" s="754"/>
      <c r="O48" s="754"/>
      <c r="P48" s="754"/>
      <c r="Q48" s="754"/>
      <c r="R48" s="754"/>
      <c r="S48" s="799"/>
      <c r="T48" s="799"/>
      <c r="U48" s="799"/>
      <c r="V48" s="799"/>
      <c r="W48" s="799"/>
      <c r="X48" s="799"/>
      <c r="Y48" s="799"/>
      <c r="Z48" s="754"/>
      <c r="AA48" s="754"/>
      <c r="AB48" s="754"/>
      <c r="AC48" s="754"/>
      <c r="AD48" s="754"/>
      <c r="AE48" s="754"/>
      <c r="AF48" s="754"/>
      <c r="AG48" s="754"/>
      <c r="AH48" s="754"/>
      <c r="AI48" s="754"/>
      <c r="AJ48" s="754"/>
      <c r="AK48" s="754"/>
      <c r="AL48" s="754"/>
      <c r="AM48" s="754"/>
      <c r="AN48" s="754"/>
      <c r="AO48" s="754"/>
      <c r="AP48" s="725"/>
      <c r="AQ48" s="725"/>
      <c r="AR48" s="725"/>
      <c r="AS48" s="754"/>
      <c r="AT48" s="755"/>
      <c r="AU48" s="725"/>
      <c r="AV48" s="754"/>
      <c r="AW48" s="754"/>
      <c r="AX48" s="754"/>
      <c r="AY48" s="754"/>
      <c r="AZ48" s="799"/>
      <c r="BA48" s="799"/>
      <c r="BB48" s="799"/>
      <c r="BC48" s="799"/>
      <c r="BD48" s="754"/>
      <c r="BE48" s="726"/>
      <c r="BF48" s="726"/>
      <c r="BG48" s="726"/>
      <c r="BH48" s="725"/>
      <c r="BJ48" s="722"/>
      <c r="BM48" s="722"/>
    </row>
    <row r="49" spans="1:65" ht="12.75" customHeight="1" x14ac:dyDescent="0.2">
      <c r="A49" s="727" t="s">
        <v>94</v>
      </c>
      <c r="B49" s="144"/>
      <c r="C49" s="754">
        <v>9</v>
      </c>
      <c r="D49" s="755">
        <v>3.0612244897959183E-2</v>
      </c>
      <c r="E49" s="754"/>
      <c r="F49" s="754">
        <v>303</v>
      </c>
      <c r="G49" s="754">
        <v>308</v>
      </c>
      <c r="H49" s="754">
        <v>305</v>
      </c>
      <c r="I49" s="754">
        <v>305</v>
      </c>
      <c r="J49" s="754">
        <v>294</v>
      </c>
      <c r="K49" s="754">
        <v>294</v>
      </c>
      <c r="L49" s="754">
        <v>287</v>
      </c>
      <c r="M49" s="754">
        <v>289</v>
      </c>
      <c r="N49" s="754">
        <v>294</v>
      </c>
      <c r="O49" s="754">
        <v>298</v>
      </c>
      <c r="P49" s="754">
        <v>262</v>
      </c>
      <c r="Q49" s="754">
        <v>267</v>
      </c>
      <c r="R49" s="754">
        <v>276</v>
      </c>
      <c r="S49" s="799"/>
      <c r="T49" s="799"/>
      <c r="U49" s="799"/>
      <c r="V49" s="799"/>
      <c r="W49" s="799"/>
      <c r="X49" s="799"/>
      <c r="Y49" s="799"/>
      <c r="Z49" s="754">
        <v>680</v>
      </c>
      <c r="AA49" s="754">
        <v>707</v>
      </c>
      <c r="AB49" s="754">
        <v>698</v>
      </c>
      <c r="AC49" s="754">
        <v>688</v>
      </c>
      <c r="AD49" s="754">
        <v>700</v>
      </c>
      <c r="AE49" s="754">
        <v>725</v>
      </c>
      <c r="AF49" s="754">
        <v>744</v>
      </c>
      <c r="AG49" s="754">
        <v>760</v>
      </c>
      <c r="AH49" s="754">
        <v>762</v>
      </c>
      <c r="AI49" s="754">
        <v>772</v>
      </c>
      <c r="AJ49" s="754">
        <v>784</v>
      </c>
      <c r="AK49" s="754">
        <v>757</v>
      </c>
      <c r="AL49" s="754">
        <v>728</v>
      </c>
      <c r="AM49" s="754">
        <v>725</v>
      </c>
      <c r="AN49" s="754">
        <v>719</v>
      </c>
      <c r="AO49" s="754">
        <v>710</v>
      </c>
      <c r="AP49" s="725"/>
      <c r="AQ49" s="730">
        <v>308</v>
      </c>
      <c r="AR49" s="730">
        <v>294</v>
      </c>
      <c r="AS49" s="754">
        <v>9</v>
      </c>
      <c r="AT49" s="755">
        <v>3.0612244897959183E-2</v>
      </c>
      <c r="AU49" s="725"/>
      <c r="AV49" s="754">
        <v>303</v>
      </c>
      <c r="AW49" s="754">
        <v>294</v>
      </c>
      <c r="AX49" s="754">
        <v>294</v>
      </c>
      <c r="AY49" s="754">
        <v>276</v>
      </c>
      <c r="AZ49" s="799"/>
      <c r="BA49" s="799"/>
      <c r="BB49" s="799"/>
      <c r="BC49" s="799"/>
      <c r="BD49" s="754">
        <v>728</v>
      </c>
      <c r="BE49" s="736">
        <v>689</v>
      </c>
      <c r="BF49" s="736">
        <v>657</v>
      </c>
      <c r="BG49" s="736">
        <v>623</v>
      </c>
      <c r="BH49" s="725"/>
      <c r="BJ49" s="722"/>
      <c r="BM49" s="722"/>
    </row>
    <row r="50" spans="1:65" ht="13.5" customHeight="1" x14ac:dyDescent="0.2">
      <c r="A50" s="731" t="s">
        <v>401</v>
      </c>
      <c r="B50" s="727"/>
      <c r="C50" s="754">
        <v>-4</v>
      </c>
      <c r="D50" s="755">
        <v>-3.3898305084745763E-2</v>
      </c>
      <c r="E50" s="754"/>
      <c r="F50" s="754">
        <v>114</v>
      </c>
      <c r="G50" s="754">
        <v>113</v>
      </c>
      <c r="H50" s="754">
        <v>113</v>
      </c>
      <c r="I50" s="754">
        <v>116</v>
      </c>
      <c r="J50" s="754">
        <v>118</v>
      </c>
      <c r="K50" s="754">
        <v>119</v>
      </c>
      <c r="L50" s="754">
        <v>115</v>
      </c>
      <c r="M50" s="754">
        <v>119</v>
      </c>
      <c r="N50" s="754">
        <v>122</v>
      </c>
      <c r="O50" s="754">
        <v>119</v>
      </c>
      <c r="P50" s="754">
        <v>96</v>
      </c>
      <c r="Q50" s="754">
        <v>98</v>
      </c>
      <c r="R50" s="754">
        <v>106</v>
      </c>
      <c r="S50" s="799"/>
      <c r="T50" s="799"/>
      <c r="U50" s="799"/>
      <c r="V50" s="799"/>
      <c r="W50" s="799"/>
      <c r="X50" s="799"/>
      <c r="Y50" s="799"/>
      <c r="Z50" s="754">
        <v>0</v>
      </c>
      <c r="AA50" s="754">
        <v>0</v>
      </c>
      <c r="AB50" s="754">
        <v>0</v>
      </c>
      <c r="AC50" s="754">
        <v>0</v>
      </c>
      <c r="AD50" s="754">
        <v>0</v>
      </c>
      <c r="AE50" s="754">
        <v>0</v>
      </c>
      <c r="AF50" s="754">
        <v>0</v>
      </c>
      <c r="AG50" s="754">
        <v>0</v>
      </c>
      <c r="AH50" s="754">
        <v>0</v>
      </c>
      <c r="AI50" s="754">
        <v>0</v>
      </c>
      <c r="AJ50" s="754">
        <v>0</v>
      </c>
      <c r="AK50" s="754">
        <v>0</v>
      </c>
      <c r="AL50" s="754">
        <v>0</v>
      </c>
      <c r="AM50" s="754">
        <v>0</v>
      </c>
      <c r="AN50" s="754">
        <v>0</v>
      </c>
      <c r="AO50" s="754">
        <v>0</v>
      </c>
      <c r="AP50" s="725"/>
      <c r="AQ50" s="730">
        <v>113</v>
      </c>
      <c r="AR50" s="730">
        <v>119</v>
      </c>
      <c r="AS50" s="754">
        <v>-4</v>
      </c>
      <c r="AT50" s="755">
        <v>-3.3898305084745763E-2</v>
      </c>
      <c r="AU50" s="725"/>
      <c r="AV50" s="754">
        <v>114</v>
      </c>
      <c r="AW50" s="754">
        <v>118</v>
      </c>
      <c r="AX50" s="754">
        <v>122</v>
      </c>
      <c r="AY50" s="754">
        <v>106</v>
      </c>
      <c r="AZ50" s="799"/>
      <c r="BA50" s="799"/>
      <c r="BB50" s="799"/>
      <c r="BC50" s="799"/>
      <c r="BD50" s="754"/>
      <c r="BE50" s="736"/>
      <c r="BF50" s="736"/>
      <c r="BG50" s="736"/>
      <c r="BH50" s="725"/>
      <c r="BJ50" s="722"/>
      <c r="BM50" s="722"/>
    </row>
    <row r="51" spans="1:65" ht="12.75" customHeight="1" x14ac:dyDescent="0.2">
      <c r="A51" s="7"/>
      <c r="B51" s="7"/>
      <c r="C51" s="725"/>
      <c r="D51" s="725"/>
      <c r="E51" s="725"/>
      <c r="F51" s="725"/>
      <c r="G51" s="725"/>
      <c r="H51" s="725"/>
      <c r="I51" s="7"/>
      <c r="J51" s="725"/>
      <c r="K51" s="725"/>
      <c r="L51" s="725"/>
      <c r="M51" s="7"/>
      <c r="N51" s="725"/>
      <c r="O51" s="725"/>
      <c r="P51" s="725"/>
      <c r="Q51" s="7"/>
      <c r="R51" s="725"/>
      <c r="S51" s="725"/>
      <c r="T51" s="725"/>
      <c r="U51" s="7"/>
      <c r="V51" s="725"/>
      <c r="W51" s="725"/>
      <c r="X51" s="725"/>
      <c r="Y51" s="7"/>
      <c r="Z51" s="725"/>
      <c r="AA51" s="725"/>
      <c r="AB51" s="725"/>
      <c r="AC51" s="7"/>
      <c r="AD51" s="725"/>
      <c r="AE51" s="725"/>
      <c r="AF51" s="725"/>
      <c r="AG51" s="7"/>
      <c r="AH51" s="725"/>
      <c r="AI51" s="725"/>
      <c r="AJ51" s="725"/>
      <c r="AK51" s="725"/>
      <c r="AL51" s="725"/>
      <c r="AM51" s="725"/>
      <c r="AN51" s="725"/>
      <c r="AO51" s="725"/>
      <c r="AP51" s="725"/>
      <c r="AQ51" s="725"/>
      <c r="AR51" s="725"/>
      <c r="AS51" s="725"/>
      <c r="AT51" s="725"/>
      <c r="AU51" s="725"/>
      <c r="AV51" s="725"/>
      <c r="AW51" s="725"/>
      <c r="AX51" s="725"/>
      <c r="AY51" s="725"/>
      <c r="AZ51" s="725"/>
      <c r="BA51" s="725"/>
      <c r="BB51" s="725"/>
      <c r="BC51" s="725"/>
      <c r="BD51" s="725"/>
      <c r="BE51" s="726"/>
      <c r="BF51" s="724"/>
      <c r="BG51" s="724"/>
      <c r="BH51" s="725"/>
      <c r="BJ51" s="722"/>
      <c r="BM51" s="722"/>
    </row>
    <row r="52" spans="1:65" ht="18" customHeight="1" x14ac:dyDescent="0.2">
      <c r="A52" s="12" t="s">
        <v>267</v>
      </c>
      <c r="B52" s="7"/>
      <c r="C52" s="724"/>
      <c r="D52" s="724"/>
      <c r="E52" s="725"/>
      <c r="F52" s="725"/>
      <c r="G52" s="725"/>
      <c r="H52" s="725"/>
      <c r="I52" s="725"/>
      <c r="J52" s="725"/>
      <c r="K52" s="725"/>
      <c r="L52" s="1407"/>
      <c r="M52" s="725"/>
      <c r="N52" s="725"/>
      <c r="O52" s="725"/>
      <c r="P52" s="725"/>
      <c r="Q52" s="725"/>
      <c r="R52" s="725"/>
      <c r="S52" s="725"/>
      <c r="T52" s="725"/>
      <c r="U52" s="725"/>
      <c r="V52" s="725"/>
      <c r="W52" s="725"/>
      <c r="X52" s="725"/>
      <c r="Y52" s="725"/>
      <c r="Z52" s="725"/>
      <c r="AA52" s="725"/>
      <c r="AB52" s="725"/>
      <c r="AC52" s="725"/>
      <c r="AD52" s="725"/>
      <c r="AE52" s="725"/>
      <c r="AF52" s="725"/>
      <c r="AG52" s="725"/>
      <c r="AH52" s="725"/>
      <c r="AI52" s="725"/>
      <c r="AJ52" s="724"/>
      <c r="AK52" s="724"/>
      <c r="AL52" s="724"/>
      <c r="AM52" s="724"/>
      <c r="AN52" s="724"/>
      <c r="AO52" s="724"/>
      <c r="AP52" s="724"/>
      <c r="AQ52" s="724"/>
      <c r="AR52" s="724"/>
      <c r="AS52" s="725"/>
      <c r="AT52" s="725"/>
      <c r="AU52" s="724"/>
      <c r="AV52" s="724"/>
      <c r="AW52" s="724"/>
      <c r="AX52" s="724"/>
      <c r="AY52" s="724"/>
      <c r="AZ52" s="724"/>
      <c r="BA52" s="724"/>
      <c r="BB52" s="724"/>
      <c r="BC52" s="724"/>
      <c r="BD52" s="724"/>
      <c r="BE52" s="726"/>
      <c r="BF52" s="724"/>
      <c r="BG52" s="724"/>
      <c r="BH52" s="725"/>
      <c r="BJ52" s="722"/>
      <c r="BM52" s="722"/>
    </row>
    <row r="53" spans="1:65" ht="12.75" customHeight="1" x14ac:dyDescent="0.2">
      <c r="A53" s="190"/>
      <c r="B53" s="7"/>
      <c r="C53" s="724"/>
      <c r="D53" s="724"/>
      <c r="E53" s="725"/>
      <c r="F53" s="401"/>
      <c r="G53" s="401"/>
      <c r="H53" s="401"/>
      <c r="I53" s="725"/>
      <c r="J53" s="401"/>
      <c r="K53" s="401"/>
      <c r="L53" s="401"/>
      <c r="M53" s="725"/>
      <c r="N53" s="401"/>
      <c r="O53" s="401"/>
      <c r="P53" s="401"/>
      <c r="Q53" s="725"/>
      <c r="R53" s="401"/>
      <c r="S53" s="725"/>
      <c r="T53" s="401"/>
      <c r="U53" s="725"/>
      <c r="V53" s="401"/>
      <c r="W53" s="725"/>
      <c r="X53" s="401"/>
      <c r="Y53" s="725"/>
      <c r="Z53" s="401"/>
      <c r="AA53" s="725"/>
      <c r="AB53" s="401"/>
      <c r="AC53" s="725"/>
      <c r="AD53" s="401"/>
      <c r="AE53" s="725"/>
      <c r="AF53" s="725"/>
      <c r="AG53" s="725"/>
      <c r="AH53" s="725"/>
      <c r="AI53" s="725"/>
      <c r="AJ53" s="724"/>
      <c r="AK53" s="724"/>
      <c r="AL53" s="724"/>
      <c r="AM53" s="724"/>
      <c r="AN53" s="724"/>
      <c r="AO53" s="724"/>
      <c r="AP53" s="724"/>
      <c r="AQ53" s="724"/>
      <c r="AR53" s="724"/>
      <c r="AS53" s="725"/>
      <c r="AT53" s="725"/>
      <c r="AU53" s="724"/>
      <c r="AV53" s="724"/>
      <c r="AW53" s="724"/>
      <c r="AX53" s="724"/>
      <c r="AY53" s="724"/>
      <c r="AZ53" s="724"/>
      <c r="BA53" s="724"/>
      <c r="BB53" s="724"/>
      <c r="BC53" s="724"/>
      <c r="BD53" s="724"/>
      <c r="BE53" s="304"/>
      <c r="BF53" s="304"/>
      <c r="BG53" s="304"/>
      <c r="BH53" s="725"/>
      <c r="BJ53" s="722"/>
      <c r="BM53" s="722"/>
    </row>
    <row r="54" spans="1:65" ht="12.75" customHeight="1" x14ac:dyDescent="0.2">
      <c r="A54" s="6"/>
      <c r="B54" s="7"/>
      <c r="C54" s="1479" t="s">
        <v>447</v>
      </c>
      <c r="D54" s="1480"/>
      <c r="E54" s="256"/>
      <c r="F54" s="410"/>
      <c r="G54" s="410"/>
      <c r="H54" s="410"/>
      <c r="I54" s="19"/>
      <c r="J54" s="410"/>
      <c r="K54" s="410"/>
      <c r="L54" s="410"/>
      <c r="M54" s="19"/>
      <c r="N54" s="410"/>
      <c r="O54" s="410"/>
      <c r="P54" s="410"/>
      <c r="Q54" s="19"/>
      <c r="R54" s="17"/>
      <c r="S54" s="18"/>
      <c r="T54" s="410"/>
      <c r="U54" s="19"/>
      <c r="V54" s="17"/>
      <c r="W54" s="18"/>
      <c r="X54" s="410"/>
      <c r="Y54" s="19"/>
      <c r="AA54" s="18"/>
      <c r="AB54" s="2"/>
      <c r="AC54" s="19"/>
      <c r="AD54" s="18"/>
      <c r="AF54" s="410"/>
      <c r="AG54" s="19"/>
      <c r="AH54" s="18"/>
      <c r="AI54" s="18"/>
      <c r="AJ54" s="18"/>
      <c r="AK54" s="18"/>
      <c r="AL54" s="22"/>
      <c r="AM54" s="19"/>
      <c r="AN54" s="19"/>
      <c r="AO54" s="19"/>
      <c r="AP54" s="24"/>
      <c r="AQ54" s="661" t="s">
        <v>340</v>
      </c>
      <c r="AR54" s="647"/>
      <c r="AS54" s="647" t="s">
        <v>432</v>
      </c>
      <c r="AT54" s="648"/>
      <c r="AU54" s="15"/>
      <c r="AV54" s="87"/>
      <c r="AW54" s="87"/>
      <c r="AX54" s="87"/>
      <c r="AY54" s="87"/>
      <c r="AZ54" s="87"/>
      <c r="BA54" s="87"/>
      <c r="BB54" s="87"/>
      <c r="BC54" s="193"/>
      <c r="BD54" s="191"/>
      <c r="BE54" s="87"/>
      <c r="BF54" s="87"/>
      <c r="BG54" s="87"/>
      <c r="BH54" s="162"/>
      <c r="BJ54" s="722"/>
      <c r="BM54" s="722"/>
    </row>
    <row r="55" spans="1:65" ht="12.75" customHeight="1" x14ac:dyDescent="0.2">
      <c r="A55" s="6" t="s">
        <v>101</v>
      </c>
      <c r="B55" s="7"/>
      <c r="C55" s="1481" t="s">
        <v>39</v>
      </c>
      <c r="D55" s="1482"/>
      <c r="E55" s="530"/>
      <c r="F55" s="21" t="s">
        <v>425</v>
      </c>
      <c r="G55" s="21" t="s">
        <v>426</v>
      </c>
      <c r="H55" s="21" t="s">
        <v>427</v>
      </c>
      <c r="I55" s="14" t="s">
        <v>428</v>
      </c>
      <c r="J55" s="21" t="s">
        <v>363</v>
      </c>
      <c r="K55" s="21" t="s">
        <v>362</v>
      </c>
      <c r="L55" s="21" t="s">
        <v>361</v>
      </c>
      <c r="M55" s="14" t="s">
        <v>359</v>
      </c>
      <c r="N55" s="21" t="s">
        <v>302</v>
      </c>
      <c r="O55" s="21" t="s">
        <v>303</v>
      </c>
      <c r="P55" s="21" t="s">
        <v>304</v>
      </c>
      <c r="Q55" s="14" t="s">
        <v>305</v>
      </c>
      <c r="R55" s="20" t="s">
        <v>231</v>
      </c>
      <c r="S55" s="21" t="s">
        <v>232</v>
      </c>
      <c r="T55" s="21" t="s">
        <v>233</v>
      </c>
      <c r="U55" s="14" t="s">
        <v>230</v>
      </c>
      <c r="V55" s="20" t="s">
        <v>194</v>
      </c>
      <c r="W55" s="21" t="s">
        <v>195</v>
      </c>
      <c r="X55" s="21" t="s">
        <v>196</v>
      </c>
      <c r="Y55" s="14" t="s">
        <v>197</v>
      </c>
      <c r="Z55" s="21" t="s">
        <v>126</v>
      </c>
      <c r="AA55" s="21" t="s">
        <v>125</v>
      </c>
      <c r="AB55" s="21" t="s">
        <v>124</v>
      </c>
      <c r="AC55" s="14" t="s">
        <v>123</v>
      </c>
      <c r="AD55" s="21" t="s">
        <v>86</v>
      </c>
      <c r="AE55" s="21" t="s">
        <v>87</v>
      </c>
      <c r="AF55" s="21" t="s">
        <v>88</v>
      </c>
      <c r="AG55" s="14" t="s">
        <v>30</v>
      </c>
      <c r="AH55" s="21" t="s">
        <v>31</v>
      </c>
      <c r="AI55" s="21" t="s">
        <v>32</v>
      </c>
      <c r="AJ55" s="21" t="s">
        <v>33</v>
      </c>
      <c r="AK55" s="21" t="s">
        <v>34</v>
      </c>
      <c r="AL55" s="23" t="s">
        <v>35</v>
      </c>
      <c r="AM55" s="14" t="s">
        <v>36</v>
      </c>
      <c r="AN55" s="14" t="s">
        <v>37</v>
      </c>
      <c r="AO55" s="14" t="s">
        <v>38</v>
      </c>
      <c r="AP55" s="256"/>
      <c r="AQ55" s="21" t="s">
        <v>426</v>
      </c>
      <c r="AR55" s="21" t="s">
        <v>362</v>
      </c>
      <c r="AS55" s="1494" t="s">
        <v>39</v>
      </c>
      <c r="AT55" s="1482"/>
      <c r="AU55" s="194"/>
      <c r="AV55" s="20" t="s">
        <v>446</v>
      </c>
      <c r="AW55" s="20" t="s">
        <v>365</v>
      </c>
      <c r="AX55" s="20" t="s">
        <v>307</v>
      </c>
      <c r="AY55" s="20" t="s">
        <v>235</v>
      </c>
      <c r="AZ55" s="20" t="s">
        <v>128</v>
      </c>
      <c r="BA55" s="20" t="s">
        <v>127</v>
      </c>
      <c r="BB55" s="20" t="s">
        <v>43</v>
      </c>
      <c r="BC55" s="20" t="s">
        <v>40</v>
      </c>
      <c r="BD55" s="23" t="s">
        <v>41</v>
      </c>
      <c r="BE55" s="23" t="s">
        <v>146</v>
      </c>
      <c r="BF55" s="23" t="s">
        <v>147</v>
      </c>
      <c r="BG55" s="23" t="s">
        <v>148</v>
      </c>
      <c r="BH55" s="162"/>
      <c r="BJ55" s="722"/>
      <c r="BM55" s="722"/>
    </row>
    <row r="56" spans="1:65" ht="12.75" customHeight="1" x14ac:dyDescent="0.2">
      <c r="A56" s="145"/>
      <c r="B56" s="725" t="s">
        <v>4</v>
      </c>
      <c r="C56" s="397">
        <v>2452</v>
      </c>
      <c r="D56" s="755">
        <v>7.3810957254665868E-2</v>
      </c>
      <c r="E56" s="88"/>
      <c r="F56" s="738">
        <v>35672</v>
      </c>
      <c r="G56" s="738">
        <v>29965</v>
      </c>
      <c r="H56" s="738">
        <v>29786</v>
      </c>
      <c r="I56" s="739">
        <v>30128</v>
      </c>
      <c r="J56" s="738">
        <v>33220</v>
      </c>
      <c r="K56" s="738">
        <v>27018</v>
      </c>
      <c r="L56" s="738">
        <v>25830</v>
      </c>
      <c r="M56" s="739">
        <v>26978</v>
      </c>
      <c r="N56" s="738">
        <v>26706</v>
      </c>
      <c r="O56" s="738">
        <v>24792</v>
      </c>
      <c r="P56" s="738">
        <v>20672</v>
      </c>
      <c r="Q56" s="739">
        <v>19587</v>
      </c>
      <c r="R56" s="738">
        <v>1987</v>
      </c>
      <c r="S56" s="801"/>
      <c r="T56" s="801"/>
      <c r="U56" s="802"/>
      <c r="V56" s="801"/>
      <c r="W56" s="801"/>
      <c r="X56" s="801"/>
      <c r="Y56" s="802"/>
      <c r="Z56" s="738">
        <v>54990</v>
      </c>
      <c r="AA56" s="738">
        <v>51733</v>
      </c>
      <c r="AB56" s="738">
        <v>40138</v>
      </c>
      <c r="AC56" s="739">
        <v>40185</v>
      </c>
      <c r="AD56" s="337">
        <v>37255</v>
      </c>
      <c r="AE56" s="738">
        <v>33532</v>
      </c>
      <c r="AF56" s="738">
        <v>43844</v>
      </c>
      <c r="AG56" s="739">
        <v>57853</v>
      </c>
      <c r="AH56" s="172">
        <v>54463</v>
      </c>
      <c r="AI56" s="209">
        <v>61166</v>
      </c>
      <c r="AJ56" s="209">
        <v>57415</v>
      </c>
      <c r="AK56" s="213">
        <v>76083</v>
      </c>
      <c r="AL56" s="223">
        <v>75876</v>
      </c>
      <c r="AM56" s="213">
        <v>68831</v>
      </c>
      <c r="AN56" s="213">
        <v>55626</v>
      </c>
      <c r="AO56" s="222">
        <v>72286</v>
      </c>
      <c r="AP56" s="88"/>
      <c r="AQ56" s="227">
        <v>89879</v>
      </c>
      <c r="AR56" s="730">
        <v>79826</v>
      </c>
      <c r="AS56" s="471">
        <v>12505</v>
      </c>
      <c r="AT56" s="470">
        <v>0.11061868619853865</v>
      </c>
      <c r="AU56" s="724"/>
      <c r="AV56" s="565">
        <v>125551</v>
      </c>
      <c r="AW56" s="565">
        <v>113046</v>
      </c>
      <c r="AX56" s="729">
        <v>91757</v>
      </c>
      <c r="AY56" s="729">
        <v>1987</v>
      </c>
      <c r="AZ56" s="805"/>
      <c r="BA56" s="805"/>
      <c r="BB56" s="805"/>
      <c r="BC56" s="805"/>
      <c r="BD56" s="223">
        <v>272619</v>
      </c>
      <c r="BE56" s="223">
        <v>225194</v>
      </c>
      <c r="BF56" s="223">
        <v>178176</v>
      </c>
      <c r="BG56" s="223">
        <v>175983</v>
      </c>
      <c r="BH56" s="162"/>
      <c r="BJ56" s="722"/>
      <c r="BM56" s="722"/>
    </row>
    <row r="57" spans="1:65" ht="12.75" customHeight="1" x14ac:dyDescent="0.2">
      <c r="A57" s="724"/>
      <c r="B57" s="725" t="s">
        <v>85</v>
      </c>
      <c r="C57" s="83">
        <v>3067</v>
      </c>
      <c r="D57" s="755">
        <v>0.12537813751941787</v>
      </c>
      <c r="E57" s="533"/>
      <c r="F57" s="399">
        <v>27529</v>
      </c>
      <c r="G57" s="399">
        <v>24292</v>
      </c>
      <c r="H57" s="399">
        <v>24034</v>
      </c>
      <c r="I57" s="739">
        <v>23923</v>
      </c>
      <c r="J57" s="399">
        <v>24462</v>
      </c>
      <c r="K57" s="399">
        <v>21341</v>
      </c>
      <c r="L57" s="399">
        <v>20391</v>
      </c>
      <c r="M57" s="739">
        <v>20237</v>
      </c>
      <c r="N57" s="399">
        <v>18686</v>
      </c>
      <c r="O57" s="399">
        <v>20629</v>
      </c>
      <c r="P57" s="399">
        <v>15875</v>
      </c>
      <c r="Q57" s="739">
        <v>16562</v>
      </c>
      <c r="R57" s="399">
        <v>1649</v>
      </c>
      <c r="S57" s="801"/>
      <c r="T57" s="801"/>
      <c r="U57" s="802"/>
      <c r="V57" s="801"/>
      <c r="W57" s="801"/>
      <c r="X57" s="801"/>
      <c r="Y57" s="801"/>
      <c r="Z57" s="399">
        <v>46835</v>
      </c>
      <c r="AA57" s="399">
        <v>42047</v>
      </c>
      <c r="AB57" s="399">
        <v>35213</v>
      </c>
      <c r="AC57" s="739">
        <v>35168</v>
      </c>
      <c r="AD57" s="399">
        <v>28967</v>
      </c>
      <c r="AE57" s="399">
        <v>34689</v>
      </c>
      <c r="AF57" s="399">
        <v>35911</v>
      </c>
      <c r="AG57" s="739">
        <v>44683</v>
      </c>
      <c r="AH57" s="172">
        <v>43703</v>
      </c>
      <c r="AI57" s="209">
        <v>48132</v>
      </c>
      <c r="AJ57" s="209">
        <v>44039</v>
      </c>
      <c r="AK57" s="213">
        <v>57148</v>
      </c>
      <c r="AL57" s="728">
        <v>55349</v>
      </c>
      <c r="AM57" s="213">
        <v>50178</v>
      </c>
      <c r="AN57" s="213">
        <v>41346</v>
      </c>
      <c r="AO57" s="213">
        <v>55217</v>
      </c>
      <c r="AP57" s="88"/>
      <c r="AQ57" s="228">
        <v>72249</v>
      </c>
      <c r="AR57" s="730">
        <v>61969</v>
      </c>
      <c r="AS57" s="754">
        <v>13347</v>
      </c>
      <c r="AT57" s="742">
        <v>0.15442375999352084</v>
      </c>
      <c r="AU57" s="724"/>
      <c r="AV57" s="565">
        <v>99778</v>
      </c>
      <c r="AW57" s="565">
        <v>86431</v>
      </c>
      <c r="AX57" s="729">
        <v>71752</v>
      </c>
      <c r="AY57" s="729">
        <v>1649</v>
      </c>
      <c r="AZ57" s="805"/>
      <c r="BA57" s="805"/>
      <c r="BB57" s="805"/>
      <c r="BC57" s="805"/>
      <c r="BD57" s="728">
        <v>202090</v>
      </c>
      <c r="BE57" s="728">
        <v>163976</v>
      </c>
      <c r="BF57" s="728">
        <v>127504</v>
      </c>
      <c r="BG57" s="728">
        <v>118638</v>
      </c>
      <c r="BH57" s="162"/>
      <c r="BJ57" s="722"/>
      <c r="BM57" s="722"/>
    </row>
    <row r="58" spans="1:65" x14ac:dyDescent="0.2">
      <c r="A58" s="724"/>
      <c r="B58" s="740" t="s">
        <v>221</v>
      </c>
      <c r="C58" s="83">
        <v>-615</v>
      </c>
      <c r="D58" s="755">
        <v>-7.0221511760675953E-2</v>
      </c>
      <c r="E58" s="533"/>
      <c r="F58" s="399">
        <v>8143</v>
      </c>
      <c r="G58" s="399">
        <v>5673</v>
      </c>
      <c r="H58" s="399">
        <v>5752</v>
      </c>
      <c r="I58" s="739">
        <v>6205</v>
      </c>
      <c r="J58" s="399">
        <v>8758</v>
      </c>
      <c r="K58" s="399">
        <v>5677</v>
      </c>
      <c r="L58" s="399">
        <v>5439</v>
      </c>
      <c r="M58" s="739">
        <v>6741</v>
      </c>
      <c r="N58" s="399">
        <v>8020</v>
      </c>
      <c r="O58" s="399">
        <v>4163</v>
      </c>
      <c r="P58" s="399">
        <v>4797</v>
      </c>
      <c r="Q58" s="739">
        <v>3025</v>
      </c>
      <c r="R58" s="399">
        <v>338</v>
      </c>
      <c r="S58" s="801"/>
      <c r="T58" s="801"/>
      <c r="U58" s="802"/>
      <c r="V58" s="801"/>
      <c r="W58" s="801"/>
      <c r="X58" s="801"/>
      <c r="Y58" s="801"/>
      <c r="Z58" s="399">
        <v>8155</v>
      </c>
      <c r="AA58" s="399">
        <v>9686</v>
      </c>
      <c r="AB58" s="399">
        <v>4925</v>
      </c>
      <c r="AC58" s="739">
        <v>5017</v>
      </c>
      <c r="AD58" s="399">
        <v>8288</v>
      </c>
      <c r="AE58" s="399">
        <v>-1157</v>
      </c>
      <c r="AF58" s="399">
        <v>7933</v>
      </c>
      <c r="AG58" s="739">
        <v>13170</v>
      </c>
      <c r="AH58" s="172">
        <v>10760</v>
      </c>
      <c r="AI58" s="209">
        <v>13034</v>
      </c>
      <c r="AJ58" s="209">
        <v>13376</v>
      </c>
      <c r="AK58" s="213">
        <v>18935</v>
      </c>
      <c r="AL58" s="728">
        <v>20527</v>
      </c>
      <c r="AM58" s="213">
        <v>18653</v>
      </c>
      <c r="AN58" s="213">
        <v>14280</v>
      </c>
      <c r="AO58" s="213">
        <v>17069</v>
      </c>
      <c r="AP58" s="88"/>
      <c r="AQ58" s="228">
        <v>17630</v>
      </c>
      <c r="AR58" s="730">
        <v>17857</v>
      </c>
      <c r="AS58" s="754">
        <v>-842</v>
      </c>
      <c r="AT58" s="742">
        <v>-3.1636295322186737E-2</v>
      </c>
      <c r="AU58" s="724"/>
      <c r="AV58" s="565">
        <v>25773</v>
      </c>
      <c r="AW58" s="565">
        <v>26615</v>
      </c>
      <c r="AX58" s="729">
        <v>20005</v>
      </c>
      <c r="AY58" s="729">
        <v>338</v>
      </c>
      <c r="AZ58" s="805"/>
      <c r="BA58" s="805"/>
      <c r="BB58" s="805"/>
      <c r="BC58" s="805"/>
      <c r="BD58" s="728">
        <v>70529</v>
      </c>
      <c r="BE58" s="728">
        <v>61218</v>
      </c>
      <c r="BF58" s="728">
        <v>50672</v>
      </c>
      <c r="BG58" s="728">
        <v>57345</v>
      </c>
      <c r="BH58" s="162"/>
      <c r="BJ58" s="722"/>
      <c r="BM58" s="722"/>
    </row>
    <row r="59" spans="1:65" x14ac:dyDescent="0.2">
      <c r="A59" s="724"/>
      <c r="B59" s="740" t="s">
        <v>220</v>
      </c>
      <c r="C59" s="152">
        <v>700</v>
      </c>
      <c r="D59" s="147">
        <v>0.10939209251445538</v>
      </c>
      <c r="E59" s="533"/>
      <c r="F59" s="407">
        <v>7099</v>
      </c>
      <c r="G59" s="407">
        <v>4737</v>
      </c>
      <c r="H59" s="407">
        <v>4647</v>
      </c>
      <c r="I59" s="370">
        <v>5090</v>
      </c>
      <c r="J59" s="407">
        <v>6399</v>
      </c>
      <c r="K59" s="407">
        <v>3502</v>
      </c>
      <c r="L59" s="407">
        <v>3559</v>
      </c>
      <c r="M59" s="370">
        <v>5108</v>
      </c>
      <c r="N59" s="407">
        <v>6251</v>
      </c>
      <c r="O59" s="407">
        <v>2420</v>
      </c>
      <c r="P59" s="407">
        <v>2783</v>
      </c>
      <c r="Q59" s="371">
        <v>1815</v>
      </c>
      <c r="R59" s="407">
        <v>338</v>
      </c>
      <c r="S59" s="803"/>
      <c r="T59" s="803"/>
      <c r="U59" s="804"/>
      <c r="V59" s="803"/>
      <c r="W59" s="803"/>
      <c r="X59" s="803"/>
      <c r="Y59" s="804"/>
      <c r="Z59" s="407"/>
      <c r="AA59" s="407"/>
      <c r="AB59" s="407"/>
      <c r="AC59" s="370"/>
      <c r="AD59" s="407"/>
      <c r="AE59" s="407"/>
      <c r="AF59" s="407"/>
      <c r="AG59" s="370"/>
      <c r="AH59" s="208"/>
      <c r="AI59" s="215"/>
      <c r="AJ59" s="215"/>
      <c r="AK59" s="216"/>
      <c r="AL59" s="203"/>
      <c r="AM59" s="216"/>
      <c r="AN59" s="216"/>
      <c r="AO59" s="216"/>
      <c r="AP59" s="88"/>
      <c r="AQ59" s="407">
        <v>14474</v>
      </c>
      <c r="AR59" s="340">
        <v>12169</v>
      </c>
      <c r="AS59" s="407">
        <v>3005</v>
      </c>
      <c r="AT59" s="147">
        <v>0.16183757001292545</v>
      </c>
      <c r="AU59" s="724"/>
      <c r="AV59" s="1396">
        <v>21573</v>
      </c>
      <c r="AW59" s="1396">
        <v>18568</v>
      </c>
      <c r="AX59" s="195">
        <v>13269</v>
      </c>
      <c r="AY59" s="195">
        <v>338</v>
      </c>
      <c r="AZ59" s="806"/>
      <c r="BA59" s="806"/>
      <c r="BB59" s="806"/>
      <c r="BC59" s="806"/>
      <c r="BD59" s="203"/>
      <c r="BE59" s="203"/>
      <c r="BF59" s="203"/>
      <c r="BG59" s="203"/>
      <c r="BH59" s="162"/>
      <c r="BJ59" s="722"/>
      <c r="BM59" s="722"/>
    </row>
    <row r="60" spans="1:65" ht="12.75" customHeight="1" x14ac:dyDescent="0.2">
      <c r="A60" s="724"/>
      <c r="B60" s="725"/>
      <c r="C60" s="151"/>
      <c r="D60" s="11"/>
      <c r="E60" s="11"/>
      <c r="F60" s="11"/>
      <c r="G60" s="11"/>
      <c r="H60" s="11"/>
      <c r="I60" s="725"/>
      <c r="J60" s="11"/>
      <c r="K60" s="11"/>
      <c r="L60" s="11"/>
      <c r="M60" s="725"/>
      <c r="N60" s="11"/>
      <c r="O60" s="11"/>
      <c r="P60" s="11"/>
      <c r="Q60" s="725"/>
      <c r="R60" s="421"/>
      <c r="S60" s="11"/>
      <c r="T60" s="11"/>
      <c r="U60" s="725"/>
      <c r="V60" s="11"/>
      <c r="W60" s="11"/>
      <c r="X60" s="11"/>
      <c r="Y60" s="725"/>
      <c r="Z60" s="11"/>
      <c r="AA60" s="11"/>
      <c r="AB60" s="11"/>
      <c r="AC60" s="725"/>
      <c r="AD60" s="11"/>
      <c r="AE60" s="11"/>
      <c r="AF60" s="11"/>
      <c r="AG60" s="725"/>
      <c r="AH60" s="724"/>
      <c r="AI60" s="724"/>
      <c r="AJ60" s="724"/>
      <c r="AK60" s="724"/>
      <c r="AL60" s="724"/>
      <c r="AM60" s="724"/>
      <c r="AN60" s="724"/>
      <c r="AO60" s="724"/>
      <c r="AP60" s="725"/>
      <c r="AQ60" s="725"/>
      <c r="AR60" s="730"/>
      <c r="AS60" s="151"/>
      <c r="AT60" s="11"/>
      <c r="AU60" s="725"/>
      <c r="AV60" s="725"/>
      <c r="AW60" s="725"/>
      <c r="AX60" s="725"/>
      <c r="AY60" s="725"/>
      <c r="AZ60" s="725"/>
      <c r="BA60" s="725"/>
      <c r="BB60" s="725"/>
      <c r="BC60" s="724"/>
      <c r="BD60" s="724"/>
      <c r="BE60" s="754"/>
      <c r="BF60" s="754"/>
      <c r="BG60" s="754"/>
      <c r="BH60" s="725"/>
      <c r="BJ60" s="722"/>
      <c r="BM60" s="722"/>
    </row>
    <row r="61" spans="1:65" ht="12.75" customHeight="1" x14ac:dyDescent="0.2">
      <c r="A61" s="724"/>
      <c r="B61" s="727" t="s">
        <v>80</v>
      </c>
      <c r="C61" s="225">
        <v>1.7397192616816881</v>
      </c>
      <c r="D61" s="11"/>
      <c r="E61" s="11"/>
      <c r="F61" s="11">
        <v>0.27164162368243999</v>
      </c>
      <c r="G61" s="11">
        <v>0.29384281661938927</v>
      </c>
      <c r="H61" s="11">
        <v>0.29530651984153627</v>
      </c>
      <c r="I61" s="11">
        <v>0.28236192246415293</v>
      </c>
      <c r="J61" s="11">
        <v>0.25424443106562311</v>
      </c>
      <c r="K61" s="11">
        <v>0.30520393811533053</v>
      </c>
      <c r="L61" s="11">
        <v>0.29810298102981031</v>
      </c>
      <c r="M61" s="11">
        <v>0.26851508636666915</v>
      </c>
      <c r="N61" s="11">
        <v>0.26623230734666364</v>
      </c>
      <c r="O61" s="11">
        <v>0.33696353662471767</v>
      </c>
      <c r="P61" s="11">
        <v>0.26620549535603716</v>
      </c>
      <c r="Q61" s="11">
        <v>0.37106243937305355</v>
      </c>
      <c r="R61" s="11">
        <v>0.25364871665827882</v>
      </c>
      <c r="S61" s="800"/>
      <c r="T61" s="800"/>
      <c r="U61" s="800"/>
      <c r="V61" s="800"/>
      <c r="W61" s="800"/>
      <c r="X61" s="800"/>
      <c r="Y61" s="800"/>
      <c r="Z61" s="11">
        <v>0.27384979087106748</v>
      </c>
      <c r="AA61" s="11">
        <v>0.26397077300755806</v>
      </c>
      <c r="AB61" s="11">
        <v>0.28613782450545616</v>
      </c>
      <c r="AC61" s="11">
        <v>0.3055617767823815</v>
      </c>
      <c r="AD61" s="11">
        <v>0.30438867266138775</v>
      </c>
      <c r="AE61" s="11">
        <v>0.52001073601336034</v>
      </c>
      <c r="AF61" s="11">
        <v>0.28095064318949003</v>
      </c>
      <c r="AG61" s="11">
        <v>0.24116294747031269</v>
      </c>
      <c r="AH61" s="35">
        <v>0.27273561867689994</v>
      </c>
      <c r="AI61" s="35">
        <v>0.26800000000000002</v>
      </c>
      <c r="AJ61" s="35">
        <v>0.26400000000000001</v>
      </c>
      <c r="AK61" s="35">
        <v>0.20299999999999996</v>
      </c>
      <c r="AL61" s="35">
        <v>0.19</v>
      </c>
      <c r="AM61" s="35">
        <v>0.22199999999999998</v>
      </c>
      <c r="AN61" s="35">
        <v>0.24399999999999999</v>
      </c>
      <c r="AO61" s="35">
        <v>0.255</v>
      </c>
      <c r="AP61" s="725"/>
      <c r="AQ61" s="11">
        <v>0.29047942233447188</v>
      </c>
      <c r="AR61" s="11">
        <v>0.29050685240397867</v>
      </c>
      <c r="AS61" s="225">
        <v>0.52764792269518468</v>
      </c>
      <c r="AT61" s="11"/>
      <c r="AU61" s="725"/>
      <c r="AV61" s="11">
        <v>0.2851271594810077</v>
      </c>
      <c r="AW61" s="11">
        <v>0.27985068025405585</v>
      </c>
      <c r="AX61" s="11">
        <v>0.29683838835184234</v>
      </c>
      <c r="AY61" s="11">
        <v>0.25364871665827882</v>
      </c>
      <c r="AZ61" s="800"/>
      <c r="BA61" s="800"/>
      <c r="BB61" s="800"/>
      <c r="BC61" s="800"/>
      <c r="BD61" s="35">
        <v>0.22599999999999998</v>
      </c>
      <c r="BE61" s="305">
        <v>0.20299999999999996</v>
      </c>
      <c r="BF61" s="305">
        <v>0.18</v>
      </c>
      <c r="BG61" s="305">
        <v>0.14600000000000002</v>
      </c>
      <c r="BH61" s="725"/>
      <c r="BJ61" s="722"/>
      <c r="BM61" s="722"/>
    </row>
    <row r="62" spans="1:65" ht="12.75" customHeight="1" x14ac:dyDescent="0.2">
      <c r="A62" s="724"/>
      <c r="B62" s="727" t="s">
        <v>81</v>
      </c>
      <c r="C62" s="225">
        <v>3.5362086892699152</v>
      </c>
      <c r="D62" s="11"/>
      <c r="E62" s="11"/>
      <c r="F62" s="11">
        <v>0.77172572325633548</v>
      </c>
      <c r="G62" s="11">
        <v>0.81067912564658773</v>
      </c>
      <c r="H62" s="11">
        <v>0.8068891425501914</v>
      </c>
      <c r="I62" s="11">
        <v>0.79404540626659581</v>
      </c>
      <c r="J62" s="11">
        <v>0.73636363636363633</v>
      </c>
      <c r="K62" s="11">
        <v>0.78988082019394479</v>
      </c>
      <c r="L62" s="11">
        <v>0.78943089430894309</v>
      </c>
      <c r="M62" s="11">
        <v>0.75012973533990657</v>
      </c>
      <c r="N62" s="11">
        <v>0.69969295289448064</v>
      </c>
      <c r="O62" s="11">
        <v>0.83208292997741207</v>
      </c>
      <c r="P62" s="11">
        <v>0.76794698142414863</v>
      </c>
      <c r="Q62" s="11">
        <v>0.84556083116352687</v>
      </c>
      <c r="R62" s="11">
        <v>0.82989431303472572</v>
      </c>
      <c r="S62" s="800"/>
      <c r="T62" s="800"/>
      <c r="U62" s="800"/>
      <c r="V62" s="800"/>
      <c r="W62" s="800"/>
      <c r="X62" s="800"/>
      <c r="Y62" s="800"/>
      <c r="Z62" s="11">
        <v>0.8517003091471177</v>
      </c>
      <c r="AA62" s="11">
        <v>0.81276941217404752</v>
      </c>
      <c r="AB62" s="11">
        <v>0.8772983207932632</v>
      </c>
      <c r="AC62" s="11">
        <v>0.87515242005723526</v>
      </c>
      <c r="AD62" s="11">
        <v>0.77753321701784994</v>
      </c>
      <c r="AE62" s="11">
        <v>1.0345043540498629</v>
      </c>
      <c r="AF62" s="11">
        <v>0.81906304169327615</v>
      </c>
      <c r="AG62" s="11">
        <v>0.77235406979759047</v>
      </c>
      <c r="AH62" s="35">
        <v>0.8024346804252428</v>
      </c>
      <c r="AI62" s="35">
        <v>0.78700000000000003</v>
      </c>
      <c r="AJ62" s="35">
        <v>0.76700000000000002</v>
      </c>
      <c r="AK62" s="35">
        <v>0.751</v>
      </c>
      <c r="AL62" s="35">
        <v>0.72899999999999998</v>
      </c>
      <c r="AM62" s="35">
        <v>0.72899999999999998</v>
      </c>
      <c r="AN62" s="35">
        <v>0.74299999999999999</v>
      </c>
      <c r="AO62" s="35">
        <v>0.76400000000000001</v>
      </c>
      <c r="AP62" s="725"/>
      <c r="AQ62" s="11">
        <v>0.80384739483082812</v>
      </c>
      <c r="AR62" s="11">
        <v>0.77630095457620329</v>
      </c>
      <c r="AS62" s="225">
        <v>3.0156003004150556</v>
      </c>
      <c r="AT62" s="11"/>
      <c r="AU62" s="725"/>
      <c r="AV62" s="11">
        <v>0.79472087040326245</v>
      </c>
      <c r="AW62" s="11">
        <v>0.76456486739911189</v>
      </c>
      <c r="AX62" s="11">
        <v>0.78197848665496905</v>
      </c>
      <c r="AY62" s="11">
        <v>0.82989431303472572</v>
      </c>
      <c r="AZ62" s="800"/>
      <c r="BA62" s="800"/>
      <c r="BB62" s="800"/>
      <c r="BC62" s="800"/>
      <c r="BD62" s="35">
        <v>0.74099999999999999</v>
      </c>
      <c r="BE62" s="305">
        <v>0.72799999999999998</v>
      </c>
      <c r="BF62" s="305">
        <v>0.71599999999999997</v>
      </c>
      <c r="BG62" s="305">
        <v>0.67400000000000004</v>
      </c>
      <c r="BH62" s="725"/>
      <c r="BJ62" s="722"/>
      <c r="BM62" s="722"/>
    </row>
    <row r="63" spans="1:65" ht="12.75" customHeight="1" x14ac:dyDescent="0.2">
      <c r="A63" s="724"/>
      <c r="B63" s="727" t="s">
        <v>187</v>
      </c>
      <c r="C63" s="225">
        <v>-3.5362086892699125</v>
      </c>
      <c r="D63" s="11"/>
      <c r="E63" s="11"/>
      <c r="F63" s="11">
        <v>0.22827427674366449</v>
      </c>
      <c r="G63" s="11">
        <v>0.18932087435341233</v>
      </c>
      <c r="H63" s="11">
        <v>0.19311085744980863</v>
      </c>
      <c r="I63" s="11">
        <v>0.20595459373340413</v>
      </c>
      <c r="J63" s="11">
        <v>0.26363636363636361</v>
      </c>
      <c r="K63" s="11">
        <v>0.21011917980605521</v>
      </c>
      <c r="L63" s="11">
        <v>0.21056910569105691</v>
      </c>
      <c r="M63" s="11">
        <v>0.24987026466009341</v>
      </c>
      <c r="N63" s="11">
        <v>0.30030704710551936</v>
      </c>
      <c r="O63" s="11">
        <v>0.16791707002258793</v>
      </c>
      <c r="P63" s="11">
        <v>0.23205301857585139</v>
      </c>
      <c r="Q63" s="11">
        <v>0.15443916883647318</v>
      </c>
      <c r="R63" s="11">
        <v>0.17010568696527428</v>
      </c>
      <c r="S63" s="800"/>
      <c r="T63" s="800"/>
      <c r="U63" s="800"/>
      <c r="V63" s="800"/>
      <c r="W63" s="800"/>
      <c r="X63" s="800"/>
      <c r="Y63" s="800"/>
      <c r="Z63" s="11">
        <v>0.14829969085288233</v>
      </c>
      <c r="AA63" s="11">
        <v>0.18723058782595248</v>
      </c>
      <c r="AB63" s="11">
        <v>0.12270167920673676</v>
      </c>
      <c r="AC63" s="11">
        <v>0.12484757994276471</v>
      </c>
      <c r="AD63" s="11">
        <v>0.22246678298215006</v>
      </c>
      <c r="AE63" s="11">
        <v>-3.4504354049862816E-2</v>
      </c>
      <c r="AF63" s="11">
        <v>0.18093695830672385</v>
      </c>
      <c r="AG63" s="11">
        <v>0.22764593020240956</v>
      </c>
      <c r="AH63" s="35">
        <v>0.19756531957475718</v>
      </c>
      <c r="AI63" s="35">
        <v>0.21299999999999997</v>
      </c>
      <c r="AJ63" s="35">
        <v>0.23299999999999998</v>
      </c>
      <c r="AK63" s="35">
        <v>0.249</v>
      </c>
      <c r="AL63" s="35">
        <v>0.27100000000000002</v>
      </c>
      <c r="AM63" s="35">
        <v>0.27100000000000002</v>
      </c>
      <c r="AN63" s="35">
        <v>0.25700000000000001</v>
      </c>
      <c r="AO63" s="35">
        <v>0.23599999999999999</v>
      </c>
      <c r="AP63" s="725"/>
      <c r="AQ63" s="11">
        <v>0.19615260516917188</v>
      </c>
      <c r="AR63" s="11">
        <v>0.22369904542379676</v>
      </c>
      <c r="AS63" s="225">
        <v>-3.0156003004150556</v>
      </c>
      <c r="AT63" s="11"/>
      <c r="AU63" s="725"/>
      <c r="AV63" s="11">
        <v>0.20527912959673758</v>
      </c>
      <c r="AW63" s="11">
        <v>0.23543513260088814</v>
      </c>
      <c r="AX63" s="11">
        <v>0.21802151334503089</v>
      </c>
      <c r="AY63" s="11">
        <v>0.17010568696527428</v>
      </c>
      <c r="AZ63" s="800"/>
      <c r="BA63" s="800"/>
      <c r="BB63" s="800"/>
      <c r="BC63" s="800"/>
      <c r="BD63" s="35">
        <v>0.25900000000000001</v>
      </c>
      <c r="BE63" s="305">
        <v>0.27200000000000002</v>
      </c>
      <c r="BF63" s="305">
        <v>0.28400000000000003</v>
      </c>
      <c r="BG63" s="305">
        <v>0.32599999999999996</v>
      </c>
      <c r="BH63" s="725"/>
      <c r="BJ63" s="722"/>
    </row>
    <row r="64" spans="1:65" ht="12.75" customHeight="1" x14ac:dyDescent="0.2">
      <c r="A64" s="724"/>
      <c r="B64" s="727"/>
      <c r="C64" s="225"/>
      <c r="D64" s="11"/>
      <c r="E64" s="11"/>
      <c r="F64" s="11"/>
      <c r="G64" s="11"/>
      <c r="H64" s="11"/>
      <c r="I64" s="11"/>
      <c r="J64" s="11"/>
      <c r="K64" s="11"/>
      <c r="L64" s="11"/>
      <c r="M64" s="11"/>
      <c r="N64" s="11"/>
      <c r="O64" s="11"/>
      <c r="P64" s="11"/>
      <c r="Q64" s="11"/>
      <c r="T64" s="11"/>
      <c r="U64" s="11"/>
      <c r="V64" s="11"/>
      <c r="W64" s="11"/>
      <c r="X64" s="11"/>
      <c r="Y64" s="11"/>
      <c r="Z64" s="11"/>
      <c r="AA64" s="11"/>
      <c r="AB64" s="11"/>
      <c r="AC64" s="11"/>
      <c r="AD64" s="11"/>
      <c r="AE64" s="11"/>
      <c r="AF64" s="11"/>
      <c r="AG64" s="11"/>
      <c r="AH64" s="35"/>
      <c r="AI64" s="35"/>
      <c r="AJ64" s="35"/>
      <c r="AK64" s="35"/>
      <c r="AL64" s="35"/>
      <c r="AM64" s="35"/>
      <c r="AN64" s="35"/>
      <c r="AO64" s="35"/>
      <c r="AP64" s="725"/>
      <c r="AQ64" s="725"/>
      <c r="AR64" s="725"/>
      <c r="AS64" s="225"/>
      <c r="AT64" s="11"/>
      <c r="AU64" s="725"/>
      <c r="AV64" s="35"/>
      <c r="AW64" s="35"/>
      <c r="AX64" s="35"/>
      <c r="AY64" s="35"/>
      <c r="AZ64" s="35"/>
      <c r="BA64" s="35"/>
      <c r="BB64" s="35"/>
      <c r="BC64" s="35"/>
      <c r="BD64" s="35"/>
      <c r="BE64" s="305"/>
      <c r="BF64" s="305"/>
      <c r="BG64" s="305"/>
      <c r="BH64" s="725"/>
      <c r="BJ64" s="722"/>
    </row>
    <row r="65" spans="1:62" ht="12.75" customHeight="1" x14ac:dyDescent="0.2">
      <c r="A65" s="12" t="s">
        <v>199</v>
      </c>
      <c r="B65" s="727"/>
      <c r="C65" s="725"/>
      <c r="D65" s="725"/>
      <c r="E65" s="725"/>
      <c r="F65" s="725"/>
      <c r="G65" s="725"/>
      <c r="H65" s="725"/>
      <c r="I65" s="725"/>
      <c r="J65" s="725"/>
      <c r="K65" s="725"/>
      <c r="L65" s="725"/>
      <c r="M65" s="725"/>
      <c r="N65" s="725"/>
      <c r="O65" s="725"/>
      <c r="P65" s="725"/>
      <c r="Q65" s="725"/>
      <c r="R65" s="725"/>
      <c r="S65" s="725"/>
      <c r="T65" s="725"/>
      <c r="U65" s="725"/>
      <c r="V65" s="725"/>
      <c r="W65" s="725"/>
      <c r="X65" s="725"/>
      <c r="Y65" s="725"/>
      <c r="Z65" s="725"/>
      <c r="AA65" s="725"/>
      <c r="AB65" s="725"/>
      <c r="AC65" s="725"/>
      <c r="AD65" s="725"/>
      <c r="AE65" s="725"/>
      <c r="AF65" s="725"/>
      <c r="AG65" s="725"/>
      <c r="AH65" s="725"/>
      <c r="AI65" s="725"/>
      <c r="AJ65" s="725"/>
      <c r="AK65" s="7"/>
      <c r="AL65" s="725"/>
      <c r="AM65" s="7"/>
      <c r="AN65" s="7"/>
      <c r="AO65" s="725"/>
      <c r="AP65" s="725"/>
      <c r="AQ65" s="725"/>
      <c r="AR65" s="725"/>
      <c r="AS65" s="725"/>
      <c r="AT65" s="725"/>
      <c r="AU65" s="725"/>
      <c r="AV65" s="725"/>
      <c r="AW65" s="725"/>
      <c r="AX65" s="725"/>
      <c r="AY65" s="725"/>
      <c r="AZ65" s="725"/>
      <c r="BA65" s="725"/>
      <c r="BB65" s="725"/>
      <c r="BC65" s="725"/>
      <c r="BD65" s="725"/>
      <c r="BE65" s="754"/>
      <c r="BF65" s="305"/>
      <c r="BG65" s="305"/>
      <c r="BH65" s="725"/>
      <c r="BJ65" s="722"/>
    </row>
    <row r="66" spans="1:62" ht="12.75" customHeight="1" x14ac:dyDescent="0.2">
      <c r="C66" s="1479" t="s">
        <v>447</v>
      </c>
      <c r="D66" s="1480"/>
      <c r="E66" s="256"/>
      <c r="F66" s="410"/>
      <c r="G66" s="410"/>
      <c r="H66" s="410"/>
      <c r="I66" s="19"/>
      <c r="J66" s="410"/>
      <c r="K66" s="410"/>
      <c r="L66" s="410"/>
      <c r="M66" s="19"/>
      <c r="N66" s="410"/>
      <c r="O66" s="410"/>
      <c r="P66" s="410"/>
      <c r="Q66" s="19"/>
      <c r="R66" s="17"/>
      <c r="S66" s="18"/>
      <c r="T66" s="410"/>
      <c r="U66" s="19"/>
      <c r="V66" s="17"/>
      <c r="W66" s="18"/>
      <c r="X66" s="410"/>
      <c r="Y66" s="19"/>
      <c r="AA66" s="18"/>
      <c r="AB66" s="2"/>
      <c r="AC66" s="19"/>
      <c r="AD66" s="18"/>
      <c r="AF66" s="410"/>
      <c r="AG66" s="19"/>
      <c r="AH66" s="18"/>
      <c r="AI66" s="18"/>
      <c r="AJ66" s="18"/>
      <c r="AK66" s="18"/>
      <c r="AL66" s="22"/>
      <c r="AM66" s="19"/>
      <c r="AN66" s="19"/>
      <c r="AO66" s="19"/>
      <c r="AP66" s="24"/>
      <c r="AQ66" s="661" t="s">
        <v>340</v>
      </c>
      <c r="AR66" s="647"/>
      <c r="AS66" s="647" t="s">
        <v>432</v>
      </c>
      <c r="AT66" s="648"/>
      <c r="AU66" s="725"/>
      <c r="AV66" s="87"/>
      <c r="AW66" s="87"/>
      <c r="AX66" s="87"/>
      <c r="AY66" s="87"/>
      <c r="AZ66" s="87"/>
      <c r="BA66" s="87"/>
      <c r="BB66" s="87"/>
      <c r="BC66" s="193"/>
      <c r="BD66" s="191"/>
      <c r="BE66" s="87"/>
      <c r="BF66" s="305"/>
      <c r="BG66" s="305"/>
      <c r="BH66" s="162"/>
      <c r="BJ66" s="722"/>
    </row>
    <row r="67" spans="1:62" ht="12.75" customHeight="1" x14ac:dyDescent="0.2">
      <c r="C67" s="1481" t="s">
        <v>39</v>
      </c>
      <c r="D67" s="1482"/>
      <c r="E67" s="530"/>
      <c r="F67" s="21" t="s">
        <v>425</v>
      </c>
      <c r="G67" s="21" t="s">
        <v>426</v>
      </c>
      <c r="H67" s="21" t="s">
        <v>427</v>
      </c>
      <c r="I67" s="14" t="s">
        <v>428</v>
      </c>
      <c r="J67" s="21" t="s">
        <v>363</v>
      </c>
      <c r="K67" s="21" t="s">
        <v>362</v>
      </c>
      <c r="L67" s="21" t="s">
        <v>361</v>
      </c>
      <c r="M67" s="14" t="s">
        <v>359</v>
      </c>
      <c r="N67" s="21" t="s">
        <v>302</v>
      </c>
      <c r="O67" s="21" t="s">
        <v>303</v>
      </c>
      <c r="P67" s="21" t="s">
        <v>304</v>
      </c>
      <c r="Q67" s="14" t="s">
        <v>305</v>
      </c>
      <c r="R67" s="20" t="s">
        <v>231</v>
      </c>
      <c r="S67" s="21" t="s">
        <v>232</v>
      </c>
      <c r="T67" s="21" t="s">
        <v>233</v>
      </c>
      <c r="U67" s="14" t="s">
        <v>230</v>
      </c>
      <c r="V67" s="20" t="s">
        <v>194</v>
      </c>
      <c r="W67" s="21" t="s">
        <v>195</v>
      </c>
      <c r="X67" s="21" t="s">
        <v>196</v>
      </c>
      <c r="Y67" s="14" t="s">
        <v>197</v>
      </c>
      <c r="Z67" s="21" t="s">
        <v>126</v>
      </c>
      <c r="AA67" s="21" t="s">
        <v>125</v>
      </c>
      <c r="AB67" s="21" t="s">
        <v>124</v>
      </c>
      <c r="AC67" s="14" t="s">
        <v>123</v>
      </c>
      <c r="AD67" s="21" t="s">
        <v>86</v>
      </c>
      <c r="AE67" s="21" t="s">
        <v>87</v>
      </c>
      <c r="AF67" s="21" t="s">
        <v>88</v>
      </c>
      <c r="AG67" s="14" t="s">
        <v>30</v>
      </c>
      <c r="AH67" s="21" t="s">
        <v>31</v>
      </c>
      <c r="AI67" s="21" t="s">
        <v>32</v>
      </c>
      <c r="AJ67" s="21" t="s">
        <v>33</v>
      </c>
      <c r="AK67" s="21" t="s">
        <v>34</v>
      </c>
      <c r="AL67" s="23" t="s">
        <v>35</v>
      </c>
      <c r="AM67" s="14" t="s">
        <v>36</v>
      </c>
      <c r="AN67" s="14" t="s">
        <v>37</v>
      </c>
      <c r="AO67" s="14" t="s">
        <v>38</v>
      </c>
      <c r="AP67" s="256"/>
      <c r="AQ67" s="21" t="s">
        <v>426</v>
      </c>
      <c r="AR67" s="21" t="s">
        <v>362</v>
      </c>
      <c r="AS67" s="1494" t="s">
        <v>39</v>
      </c>
      <c r="AT67" s="1482"/>
      <c r="AU67" s="725"/>
      <c r="AV67" s="20" t="s">
        <v>446</v>
      </c>
      <c r="AW67" s="20" t="s">
        <v>365</v>
      </c>
      <c r="AX67" s="20" t="s">
        <v>307</v>
      </c>
      <c r="AY67" s="20" t="s">
        <v>235</v>
      </c>
      <c r="AZ67" s="20" t="s">
        <v>128</v>
      </c>
      <c r="BA67" s="20" t="s">
        <v>127</v>
      </c>
      <c r="BB67" s="20" t="s">
        <v>43</v>
      </c>
      <c r="BC67" s="20" t="s">
        <v>40</v>
      </c>
      <c r="BD67" s="23" t="s">
        <v>41</v>
      </c>
      <c r="BE67" s="23" t="s">
        <v>146</v>
      </c>
      <c r="BF67" s="305"/>
      <c r="BG67" s="305"/>
      <c r="BH67" s="162"/>
      <c r="BJ67" s="722"/>
    </row>
    <row r="68" spans="1:62" ht="12.75" customHeight="1" x14ac:dyDescent="0.2">
      <c r="A68" s="724"/>
      <c r="B68" s="7" t="s">
        <v>341</v>
      </c>
      <c r="C68" s="83">
        <v>2231</v>
      </c>
      <c r="D68" s="485">
        <v>6.9154706921670125E-2</v>
      </c>
      <c r="E68" s="88"/>
      <c r="F68" s="399">
        <v>34492</v>
      </c>
      <c r="G68" s="399">
        <v>28937</v>
      </c>
      <c r="H68" s="399">
        <v>28749</v>
      </c>
      <c r="I68" s="619">
        <v>29096</v>
      </c>
      <c r="J68" s="399">
        <v>32261</v>
      </c>
      <c r="K68" s="399">
        <v>26058</v>
      </c>
      <c r="L68" s="399">
        <v>25005</v>
      </c>
      <c r="M68" s="619">
        <v>25887</v>
      </c>
      <c r="N68" s="399">
        <v>25703</v>
      </c>
      <c r="O68" s="399">
        <v>24241</v>
      </c>
      <c r="P68" s="399">
        <v>20399</v>
      </c>
      <c r="Q68" s="619">
        <v>19364</v>
      </c>
      <c r="R68" s="399">
        <v>1931</v>
      </c>
      <c r="S68" s="777"/>
      <c r="T68" s="777"/>
      <c r="U68" s="785"/>
      <c r="V68" s="801"/>
      <c r="W68" s="777"/>
      <c r="X68" s="777"/>
      <c r="Y68" s="785"/>
      <c r="Z68" s="399">
        <v>38197</v>
      </c>
      <c r="AA68" s="399">
        <v>34040</v>
      </c>
      <c r="AB68" s="399">
        <v>30370</v>
      </c>
      <c r="AC68" s="619">
        <v>29756</v>
      </c>
      <c r="AD68" s="228">
        <v>24593</v>
      </c>
      <c r="AE68" s="429">
        <v>27916</v>
      </c>
      <c r="AF68" s="538">
        <v>32886</v>
      </c>
      <c r="AG68" s="619">
        <v>42504</v>
      </c>
      <c r="AH68" s="739">
        <v>29584</v>
      </c>
      <c r="AI68" s="725"/>
      <c r="AJ68" s="725"/>
      <c r="AK68" s="7"/>
      <c r="AL68" s="725"/>
      <c r="AM68" s="7"/>
      <c r="AN68" s="7"/>
      <c r="AO68" s="725"/>
      <c r="AP68" s="88"/>
      <c r="AQ68" s="738">
        <v>86782</v>
      </c>
      <c r="AR68" s="730">
        <v>76950</v>
      </c>
      <c r="AS68" s="539">
        <v>12063</v>
      </c>
      <c r="AT68" s="470">
        <v>0.11045590645630934</v>
      </c>
      <c r="AU68" s="725"/>
      <c r="AV68" s="565">
        <v>121274</v>
      </c>
      <c r="AW68" s="565">
        <v>109211</v>
      </c>
      <c r="AX68" s="729">
        <v>89707</v>
      </c>
      <c r="AY68" s="729">
        <v>1931</v>
      </c>
      <c r="AZ68" s="801"/>
      <c r="BA68" s="805"/>
      <c r="BB68" s="805"/>
      <c r="BC68" s="809"/>
      <c r="BD68" s="223">
        <v>177862</v>
      </c>
      <c r="BE68" s="307">
        <v>150224</v>
      </c>
      <c r="BF68" s="305"/>
      <c r="BG68" s="305"/>
      <c r="BH68" s="162"/>
      <c r="BJ68" s="722"/>
    </row>
    <row r="69" spans="1:62" ht="12.75" customHeight="1" x14ac:dyDescent="0.2">
      <c r="A69" s="724"/>
      <c r="B69" s="7" t="s">
        <v>65</v>
      </c>
      <c r="C69" s="83">
        <v>-29</v>
      </c>
      <c r="D69" s="485" t="s">
        <v>42</v>
      </c>
      <c r="E69" s="88"/>
      <c r="F69" s="730">
        <v>23</v>
      </c>
      <c r="G69" s="730">
        <v>54</v>
      </c>
      <c r="H69" s="730">
        <v>22</v>
      </c>
      <c r="I69" s="166">
        <v>26</v>
      </c>
      <c r="J69" s="730">
        <v>52</v>
      </c>
      <c r="K69" s="730">
        <v>244</v>
      </c>
      <c r="L69" s="730">
        <v>12</v>
      </c>
      <c r="M69" s="166">
        <v>0</v>
      </c>
      <c r="N69" s="730">
        <v>134</v>
      </c>
      <c r="O69" s="730">
        <v>186</v>
      </c>
      <c r="P69" s="730">
        <v>86</v>
      </c>
      <c r="Q69" s="619">
        <v>48</v>
      </c>
      <c r="R69" s="399">
        <v>1</v>
      </c>
      <c r="S69" s="777"/>
      <c r="T69" s="777"/>
      <c r="U69" s="785"/>
      <c r="V69" s="801"/>
      <c r="W69" s="777"/>
      <c r="X69" s="777"/>
      <c r="Y69" s="785"/>
      <c r="Z69" s="399">
        <v>10808</v>
      </c>
      <c r="AA69" s="399">
        <v>10384</v>
      </c>
      <c r="AB69" s="399">
        <v>6254</v>
      </c>
      <c r="AC69" s="619">
        <v>5954</v>
      </c>
      <c r="AD69" s="228">
        <v>5426</v>
      </c>
      <c r="AE69" s="399">
        <v>1798</v>
      </c>
      <c r="AF69" s="619">
        <v>5110</v>
      </c>
      <c r="AG69" s="619">
        <v>8533</v>
      </c>
      <c r="AH69" s="739">
        <v>68274</v>
      </c>
      <c r="AI69" s="725"/>
      <c r="AJ69" s="725"/>
      <c r="AK69" s="7"/>
      <c r="AL69" s="725"/>
      <c r="AM69" s="7"/>
      <c r="AN69" s="7"/>
      <c r="AO69" s="725"/>
      <c r="AP69" s="88"/>
      <c r="AQ69" s="819">
        <v>102</v>
      </c>
      <c r="AR69" s="730">
        <v>256</v>
      </c>
      <c r="AS69" s="536">
        <v>-183</v>
      </c>
      <c r="AT69" s="742">
        <v>-0.5941558441558441</v>
      </c>
      <c r="AU69" s="725"/>
      <c r="AV69" s="565">
        <v>125</v>
      </c>
      <c r="AW69" s="565">
        <v>308</v>
      </c>
      <c r="AX69" s="729">
        <v>454</v>
      </c>
      <c r="AY69" s="729">
        <v>1</v>
      </c>
      <c r="AZ69" s="805"/>
      <c r="BA69" s="805"/>
      <c r="BB69" s="805"/>
      <c r="BC69" s="810"/>
      <c r="BD69" s="728">
        <v>62132</v>
      </c>
      <c r="BE69" s="43">
        <v>49772</v>
      </c>
      <c r="BF69" s="305"/>
      <c r="BG69" s="305"/>
      <c r="BH69" s="162"/>
      <c r="BJ69" s="722"/>
    </row>
    <row r="70" spans="1:62" ht="12.75" customHeight="1" x14ac:dyDescent="0.2">
      <c r="A70" s="724"/>
      <c r="B70" s="7" t="s">
        <v>213</v>
      </c>
      <c r="C70" s="83">
        <v>0</v>
      </c>
      <c r="D70" s="485">
        <v>0</v>
      </c>
      <c r="E70" s="88"/>
      <c r="F70" s="730">
        <v>0</v>
      </c>
      <c r="G70" s="730">
        <v>0</v>
      </c>
      <c r="H70" s="730">
        <v>0</v>
      </c>
      <c r="I70" s="166">
        <v>0</v>
      </c>
      <c r="J70" s="730">
        <v>0</v>
      </c>
      <c r="K70" s="730">
        <v>0</v>
      </c>
      <c r="L70" s="730">
        <v>0</v>
      </c>
      <c r="M70" s="166">
        <v>0</v>
      </c>
      <c r="N70" s="730">
        <v>0</v>
      </c>
      <c r="O70" s="730">
        <v>0</v>
      </c>
      <c r="P70" s="730">
        <v>0</v>
      </c>
      <c r="Q70" s="166">
        <v>0</v>
      </c>
      <c r="R70" s="730">
        <v>0</v>
      </c>
      <c r="S70" s="777"/>
      <c r="T70" s="777"/>
      <c r="U70" s="785"/>
      <c r="V70" s="777"/>
      <c r="W70" s="777"/>
      <c r="X70" s="777"/>
      <c r="Y70" s="785"/>
      <c r="Z70" s="730">
        <v>0</v>
      </c>
      <c r="AA70" s="730">
        <v>0</v>
      </c>
      <c r="AB70" s="730">
        <v>0</v>
      </c>
      <c r="AC70" s="166">
        <v>0</v>
      </c>
      <c r="AD70" s="730">
        <v>0</v>
      </c>
      <c r="AE70" s="730">
        <v>0</v>
      </c>
      <c r="AF70" s="166">
        <v>0</v>
      </c>
      <c r="AG70" s="166">
        <v>0</v>
      </c>
      <c r="AH70" s="730">
        <v>0</v>
      </c>
      <c r="AI70" s="730"/>
      <c r="AJ70" s="730"/>
      <c r="AK70" s="730"/>
      <c r="AL70" s="730"/>
      <c r="AM70" s="730"/>
      <c r="AN70" s="730"/>
      <c r="AO70" s="730"/>
      <c r="AP70" s="616"/>
      <c r="AQ70" s="819">
        <v>0</v>
      </c>
      <c r="AR70" s="730">
        <v>0</v>
      </c>
      <c r="AS70" s="817">
        <v>0</v>
      </c>
      <c r="AT70" s="742">
        <v>0</v>
      </c>
      <c r="AU70" s="730"/>
      <c r="AV70" s="565">
        <v>0</v>
      </c>
      <c r="AW70" s="565">
        <v>0</v>
      </c>
      <c r="AX70" s="616">
        <v>0</v>
      </c>
      <c r="AY70" s="616">
        <v>0</v>
      </c>
      <c r="AZ70" s="805"/>
      <c r="BA70" s="805"/>
      <c r="BB70" s="805"/>
      <c r="BC70" s="810"/>
      <c r="BD70" s="616">
        <v>0</v>
      </c>
      <c r="BE70" s="616">
        <v>0</v>
      </c>
      <c r="BF70" s="305"/>
      <c r="BG70" s="305"/>
      <c r="BH70" s="162"/>
      <c r="BJ70" s="722"/>
    </row>
    <row r="71" spans="1:62" ht="12.75" customHeight="1" x14ac:dyDescent="0.2">
      <c r="A71" s="724"/>
      <c r="B71" s="7" t="s">
        <v>66</v>
      </c>
      <c r="C71" s="83">
        <v>0</v>
      </c>
      <c r="D71" s="485">
        <v>0</v>
      </c>
      <c r="E71" s="88"/>
      <c r="F71" s="730">
        <v>0</v>
      </c>
      <c r="G71" s="730">
        <v>0</v>
      </c>
      <c r="H71" s="730">
        <v>0</v>
      </c>
      <c r="I71" s="166">
        <v>0</v>
      </c>
      <c r="J71" s="730">
        <v>0</v>
      </c>
      <c r="K71" s="730">
        <v>0</v>
      </c>
      <c r="L71" s="730">
        <v>0</v>
      </c>
      <c r="M71" s="166">
        <v>0</v>
      </c>
      <c r="N71" s="730">
        <v>0</v>
      </c>
      <c r="O71" s="730">
        <v>0</v>
      </c>
      <c r="P71" s="730">
        <v>0</v>
      </c>
      <c r="Q71" s="166">
        <v>0</v>
      </c>
      <c r="R71" s="730">
        <v>0</v>
      </c>
      <c r="S71" s="777"/>
      <c r="T71" s="777"/>
      <c r="U71" s="785"/>
      <c r="V71" s="801"/>
      <c r="W71" s="777"/>
      <c r="X71" s="777"/>
      <c r="Y71" s="785"/>
      <c r="Z71" s="399">
        <v>408</v>
      </c>
      <c r="AA71" s="399">
        <v>4280</v>
      </c>
      <c r="AB71" s="399">
        <v>850</v>
      </c>
      <c r="AC71" s="619">
        <v>1696</v>
      </c>
      <c r="AD71" s="228">
        <v>198</v>
      </c>
      <c r="AE71" s="399">
        <v>-649</v>
      </c>
      <c r="AF71" s="619">
        <v>-226</v>
      </c>
      <c r="AG71" s="619">
        <v>548</v>
      </c>
      <c r="AH71" s="739">
        <v>5363</v>
      </c>
      <c r="AI71" s="725"/>
      <c r="AJ71" s="725"/>
      <c r="AK71" s="7"/>
      <c r="AL71" s="725"/>
      <c r="AM71" s="7"/>
      <c r="AN71" s="7"/>
      <c r="AO71" s="725"/>
      <c r="AP71" s="88"/>
      <c r="AQ71" s="819">
        <v>0</v>
      </c>
      <c r="AR71" s="730">
        <v>0</v>
      </c>
      <c r="AS71" s="817">
        <v>0</v>
      </c>
      <c r="AT71" s="742">
        <v>0</v>
      </c>
      <c r="AU71" s="725"/>
      <c r="AV71" s="565">
        <v>0</v>
      </c>
      <c r="AW71" s="565">
        <v>0</v>
      </c>
      <c r="AX71" s="616">
        <v>0</v>
      </c>
      <c r="AY71" s="616">
        <v>0</v>
      </c>
      <c r="AZ71" s="805"/>
      <c r="BA71" s="805"/>
      <c r="BB71" s="805"/>
      <c r="BC71" s="810"/>
      <c r="BD71" s="728">
        <v>4992</v>
      </c>
      <c r="BE71" s="43">
        <v>5670</v>
      </c>
      <c r="BF71" s="305"/>
      <c r="BG71" s="305"/>
      <c r="BH71" s="162"/>
      <c r="BJ71" s="722"/>
    </row>
    <row r="72" spans="1:62" ht="12.75" customHeight="1" x14ac:dyDescent="0.2">
      <c r="A72" s="724"/>
      <c r="B72" s="7" t="s">
        <v>67</v>
      </c>
      <c r="C72" s="83">
        <v>-170</v>
      </c>
      <c r="D72" s="485">
        <v>-0.27331189710610931</v>
      </c>
      <c r="E72" s="88"/>
      <c r="F72" s="399">
        <v>452</v>
      </c>
      <c r="G72" s="399">
        <v>466</v>
      </c>
      <c r="H72" s="399">
        <v>542</v>
      </c>
      <c r="I72" s="619">
        <v>522</v>
      </c>
      <c r="J72" s="399">
        <v>622</v>
      </c>
      <c r="K72" s="399">
        <v>507</v>
      </c>
      <c r="L72" s="399">
        <v>575</v>
      </c>
      <c r="M72" s="619">
        <v>718</v>
      </c>
      <c r="N72" s="399">
        <v>762</v>
      </c>
      <c r="O72" s="399">
        <v>250</v>
      </c>
      <c r="P72" s="399">
        <v>192</v>
      </c>
      <c r="Q72" s="619">
        <v>191</v>
      </c>
      <c r="R72" s="399">
        <v>15</v>
      </c>
      <c r="S72" s="777"/>
      <c r="T72" s="777"/>
      <c r="U72" s="785"/>
      <c r="V72" s="801"/>
      <c r="W72" s="777"/>
      <c r="X72" s="777"/>
      <c r="Y72" s="785"/>
      <c r="Z72" s="399">
        <v>2191</v>
      </c>
      <c r="AA72" s="399">
        <v>2171</v>
      </c>
      <c r="AB72" s="399">
        <v>2224</v>
      </c>
      <c r="AC72" s="619">
        <v>2325</v>
      </c>
      <c r="AD72" s="228">
        <v>6358</v>
      </c>
      <c r="AE72" s="399">
        <v>4010</v>
      </c>
      <c r="AF72" s="619">
        <v>5644</v>
      </c>
      <c r="AG72" s="619">
        <v>5891</v>
      </c>
      <c r="AH72" s="739">
        <v>1512</v>
      </c>
      <c r="AI72" s="725"/>
      <c r="AJ72" s="725"/>
      <c r="AK72" s="7"/>
      <c r="AL72" s="725"/>
      <c r="AM72" s="7"/>
      <c r="AN72" s="7"/>
      <c r="AO72" s="725"/>
      <c r="AP72" s="88"/>
      <c r="AQ72" s="738">
        <v>1530</v>
      </c>
      <c r="AR72" s="730">
        <v>1800</v>
      </c>
      <c r="AS72" s="536">
        <v>-440</v>
      </c>
      <c r="AT72" s="742">
        <v>-0.18166804293971925</v>
      </c>
      <c r="AU72" s="725"/>
      <c r="AV72" s="565">
        <v>1982</v>
      </c>
      <c r="AW72" s="565">
        <v>2422</v>
      </c>
      <c r="AX72" s="729">
        <v>1395</v>
      </c>
      <c r="AY72" s="729">
        <v>15</v>
      </c>
      <c r="AZ72" s="805"/>
      <c r="BA72" s="805"/>
      <c r="BB72" s="805"/>
      <c r="BC72" s="810"/>
      <c r="BD72" s="728">
        <v>26877</v>
      </c>
      <c r="BE72" s="43">
        <v>18354</v>
      </c>
      <c r="BF72" s="305"/>
      <c r="BG72" s="305"/>
      <c r="BH72" s="162"/>
      <c r="BJ72" s="722"/>
    </row>
    <row r="73" spans="1:62" ht="12.75" customHeight="1" x14ac:dyDescent="0.2">
      <c r="A73" s="190"/>
      <c r="B73" s="7" t="s">
        <v>68</v>
      </c>
      <c r="C73" s="83">
        <v>420</v>
      </c>
      <c r="D73" s="485">
        <v>1.4736842105263157</v>
      </c>
      <c r="E73" s="534"/>
      <c r="F73" s="407">
        <v>705</v>
      </c>
      <c r="G73" s="407">
        <v>508</v>
      </c>
      <c r="H73" s="407">
        <v>473</v>
      </c>
      <c r="I73" s="371">
        <v>484</v>
      </c>
      <c r="J73" s="407">
        <v>285</v>
      </c>
      <c r="K73" s="407">
        <v>209</v>
      </c>
      <c r="L73" s="407">
        <v>238</v>
      </c>
      <c r="M73" s="371">
        <v>373</v>
      </c>
      <c r="N73" s="407">
        <v>107</v>
      </c>
      <c r="O73" s="407">
        <v>115</v>
      </c>
      <c r="P73" s="1322">
        <v>-5</v>
      </c>
      <c r="Q73" s="371">
        <v>-16</v>
      </c>
      <c r="R73" s="399">
        <v>40</v>
      </c>
      <c r="S73" s="777"/>
      <c r="T73" s="777"/>
      <c r="U73" s="785"/>
      <c r="V73" s="801"/>
      <c r="W73" s="777"/>
      <c r="X73" s="777"/>
      <c r="Y73" s="785"/>
      <c r="Z73" s="399">
        <v>3386</v>
      </c>
      <c r="AA73" s="399">
        <v>858</v>
      </c>
      <c r="AB73" s="407">
        <v>440</v>
      </c>
      <c r="AC73" s="371">
        <v>454</v>
      </c>
      <c r="AD73" s="228">
        <v>680</v>
      </c>
      <c r="AE73" s="407">
        <v>457</v>
      </c>
      <c r="AF73" s="371">
        <v>430</v>
      </c>
      <c r="AG73" s="371">
        <v>377</v>
      </c>
      <c r="AH73" s="370">
        <v>60</v>
      </c>
      <c r="AI73" s="15"/>
      <c r="AJ73" s="15"/>
      <c r="AK73" s="15"/>
      <c r="AL73" s="15"/>
      <c r="AM73" s="15"/>
      <c r="AN73" s="15"/>
      <c r="AO73" s="15"/>
      <c r="AP73" s="88"/>
      <c r="AQ73" s="738">
        <v>1465</v>
      </c>
      <c r="AR73" s="730">
        <v>820</v>
      </c>
      <c r="AS73" s="537">
        <v>1065</v>
      </c>
      <c r="AT73" s="742">
        <v>0.96380090497737558</v>
      </c>
      <c r="AU73" s="724"/>
      <c r="AV73" s="565">
        <v>2170</v>
      </c>
      <c r="AW73" s="565">
        <v>1105</v>
      </c>
      <c r="AX73" s="195">
        <v>201</v>
      </c>
      <c r="AY73" s="195">
        <v>40</v>
      </c>
      <c r="AZ73" s="806"/>
      <c r="BA73" s="806"/>
      <c r="BB73" s="806"/>
      <c r="BC73" s="811"/>
      <c r="BD73" s="203">
        <v>756</v>
      </c>
      <c r="BE73" s="158">
        <v>1174</v>
      </c>
      <c r="BF73" s="305"/>
      <c r="BG73" s="305"/>
      <c r="BH73" s="162"/>
      <c r="BJ73" s="722"/>
    </row>
    <row r="74" spans="1:62" ht="12.75" customHeight="1" x14ac:dyDescent="0.2">
      <c r="A74" s="190"/>
      <c r="B74" s="7"/>
      <c r="C74" s="507">
        <v>2452</v>
      </c>
      <c r="D74" s="688">
        <v>7.3810957254665868E-2</v>
      </c>
      <c r="E74" s="24"/>
      <c r="F74" s="330">
        <v>35672</v>
      </c>
      <c r="G74" s="330">
        <v>29965</v>
      </c>
      <c r="H74" s="330">
        <v>29786</v>
      </c>
      <c r="I74" s="510">
        <v>30128</v>
      </c>
      <c r="J74" s="330">
        <v>33220</v>
      </c>
      <c r="K74" s="330">
        <v>27018</v>
      </c>
      <c r="L74" s="330">
        <v>25830</v>
      </c>
      <c r="M74" s="510">
        <v>26978</v>
      </c>
      <c r="N74" s="330">
        <v>26706</v>
      </c>
      <c r="O74" s="330">
        <v>24792</v>
      </c>
      <c r="P74" s="330">
        <v>20672</v>
      </c>
      <c r="Q74" s="510">
        <v>19587</v>
      </c>
      <c r="R74" s="330">
        <v>1987</v>
      </c>
      <c r="S74" s="807"/>
      <c r="T74" s="807"/>
      <c r="U74" s="808"/>
      <c r="V74" s="807"/>
      <c r="W74" s="807"/>
      <c r="X74" s="807"/>
      <c r="Y74" s="808"/>
      <c r="Z74" s="330">
        <v>54990</v>
      </c>
      <c r="AA74" s="330">
        <v>51733</v>
      </c>
      <c r="AB74" s="330">
        <v>40138</v>
      </c>
      <c r="AC74" s="510">
        <v>40185</v>
      </c>
      <c r="AD74" s="329">
        <v>37255</v>
      </c>
      <c r="AE74" s="330">
        <v>33532</v>
      </c>
      <c r="AF74" s="510">
        <v>43844</v>
      </c>
      <c r="AG74" s="510">
        <v>57853</v>
      </c>
      <c r="AH74" s="510">
        <v>104793</v>
      </c>
      <c r="AI74" s="2"/>
      <c r="AJ74" s="2"/>
      <c r="AK74" s="2"/>
      <c r="AL74" s="2"/>
      <c r="AM74" s="2"/>
      <c r="AN74" s="2"/>
      <c r="AO74" s="2"/>
      <c r="AP74" s="24"/>
      <c r="AQ74" s="330">
        <v>89879</v>
      </c>
      <c r="AR74" s="170">
        <v>79826</v>
      </c>
      <c r="AS74" s="549">
        <v>12505</v>
      </c>
      <c r="AT74" s="168">
        <v>0.11061868619853865</v>
      </c>
      <c r="AV74" s="329">
        <v>125551</v>
      </c>
      <c r="AW74" s="329">
        <v>113046</v>
      </c>
      <c r="AX74" s="329">
        <v>91757</v>
      </c>
      <c r="AY74" s="329">
        <v>1987</v>
      </c>
      <c r="AZ74" s="812"/>
      <c r="BA74" s="812"/>
      <c r="BB74" s="813"/>
      <c r="BC74" s="807"/>
      <c r="BD74" s="509">
        <v>272619</v>
      </c>
      <c r="BE74" s="171">
        <v>225194</v>
      </c>
      <c r="BF74" s="305"/>
      <c r="BG74" s="305"/>
      <c r="BH74" s="162"/>
      <c r="BJ74" s="722"/>
    </row>
    <row r="75" spans="1:62" ht="12.75" customHeight="1" x14ac:dyDescent="0.2">
      <c r="A75" s="7" t="s">
        <v>439</v>
      </c>
      <c r="B75" s="13"/>
      <c r="C75" s="13"/>
      <c r="D75" s="13"/>
      <c r="E75" s="13"/>
      <c r="F75" s="13"/>
      <c r="G75" s="13"/>
      <c r="H75" s="13"/>
      <c r="I75" s="15"/>
      <c r="J75" s="13"/>
      <c r="K75" s="13"/>
      <c r="L75" s="13"/>
      <c r="M75" s="15"/>
      <c r="N75" s="13"/>
      <c r="O75" s="13"/>
      <c r="P75" s="13"/>
      <c r="Q75" s="15"/>
      <c r="R75" s="13"/>
      <c r="S75" s="13"/>
      <c r="T75" s="13"/>
      <c r="U75" s="15"/>
      <c r="V75" s="13"/>
      <c r="W75" s="13"/>
      <c r="X75" s="13"/>
      <c r="Y75" s="15"/>
      <c r="Z75" s="13"/>
      <c r="AA75" s="13"/>
      <c r="AB75" s="13"/>
      <c r="AC75" s="15"/>
      <c r="AD75" s="13"/>
      <c r="AE75" s="13"/>
      <c r="AF75" s="13"/>
      <c r="AG75" s="15"/>
      <c r="AH75" s="15"/>
      <c r="AI75" s="15"/>
      <c r="AJ75" s="15"/>
      <c r="AK75" s="15"/>
      <c r="AL75" s="15"/>
      <c r="AM75" s="15"/>
      <c r="AN75" s="15"/>
      <c r="AO75" s="15"/>
      <c r="AP75" s="722"/>
      <c r="AQ75" s="722"/>
      <c r="AR75" s="722"/>
      <c r="AS75" s="724"/>
      <c r="AT75" s="724"/>
      <c r="BC75" s="2"/>
      <c r="BD75" s="2"/>
      <c r="BG75" s="722"/>
      <c r="BH75" s="722"/>
      <c r="BJ75" s="722"/>
    </row>
    <row r="76" spans="1:62" x14ac:dyDescent="0.2">
      <c r="A76" s="1" t="s">
        <v>29</v>
      </c>
      <c r="B76" s="722"/>
      <c r="C76" s="722"/>
      <c r="D76" s="722"/>
      <c r="F76" s="754"/>
      <c r="G76" s="754"/>
      <c r="H76" s="754"/>
      <c r="I76" s="754"/>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754"/>
      <c r="AI76" s="754"/>
      <c r="AJ76" s="754"/>
      <c r="AK76" s="754"/>
      <c r="AL76" s="754"/>
      <c r="AM76" s="754"/>
      <c r="AN76" s="754"/>
      <c r="AO76" s="754"/>
      <c r="AP76" s="754"/>
      <c r="AQ76" s="754"/>
      <c r="AR76" s="754"/>
      <c r="AS76" s="754"/>
      <c r="AT76" s="754"/>
      <c r="AU76" s="754"/>
      <c r="AV76" s="754"/>
      <c r="AW76" s="754"/>
      <c r="AX76" s="754"/>
      <c r="AY76" s="754"/>
      <c r="AZ76" s="754"/>
      <c r="BA76" s="754"/>
      <c r="BB76" s="754"/>
      <c r="BC76" s="754"/>
      <c r="BD76" s="754"/>
      <c r="BE76" s="754"/>
      <c r="BF76" s="724"/>
      <c r="BG76" s="722"/>
      <c r="BH76" s="722"/>
      <c r="BJ76" s="722"/>
    </row>
    <row r="77" spans="1:62" x14ac:dyDescent="0.2">
      <c r="A77" s="2"/>
      <c r="H77" s="665"/>
      <c r="I77" s="754"/>
      <c r="M77" s="754"/>
      <c r="Q77" s="754"/>
      <c r="R77" s="754"/>
      <c r="U77" s="754"/>
      <c r="Y77" s="754"/>
      <c r="AC77" s="754"/>
      <c r="AG77" s="754"/>
      <c r="AH77" s="722"/>
      <c r="AI77" s="722"/>
      <c r="AJ77" s="722"/>
      <c r="AK77" s="722"/>
      <c r="AL77" s="722"/>
      <c r="AM77" s="722"/>
      <c r="AN77" s="722"/>
      <c r="AO77" s="754"/>
      <c r="AP77" s="722"/>
      <c r="AQ77" s="665"/>
      <c r="AR77" s="722"/>
      <c r="AS77" s="722"/>
      <c r="AT77" s="722"/>
      <c r="AU77" s="722"/>
      <c r="AV77" s="754"/>
      <c r="AW77" s="754"/>
      <c r="AX77" s="754"/>
      <c r="AY77" s="754"/>
      <c r="BC77" s="754"/>
      <c r="BD77" s="754"/>
      <c r="BE77" s="105"/>
      <c r="BF77" s="105"/>
      <c r="BG77" s="722"/>
      <c r="BH77" s="722"/>
      <c r="BJ77" s="722"/>
    </row>
    <row r="78" spans="1:62" x14ac:dyDescent="0.2">
      <c r="A78" s="7" t="s">
        <v>339</v>
      </c>
      <c r="I78" s="754"/>
      <c r="M78" s="754"/>
      <c r="Q78" s="754"/>
      <c r="R78" s="754"/>
      <c r="U78" s="754"/>
      <c r="Y78" s="754"/>
      <c r="AC78" s="754"/>
      <c r="AG78" s="754"/>
      <c r="AH78" s="722"/>
      <c r="AI78" s="722"/>
      <c r="AJ78" s="722"/>
      <c r="AK78" s="722"/>
      <c r="AL78" s="722"/>
      <c r="AM78" s="722"/>
      <c r="AN78" s="722"/>
      <c r="AO78" s="754"/>
      <c r="AP78" s="722"/>
      <c r="AQ78" s="722"/>
      <c r="AR78" s="722"/>
      <c r="AS78" s="722"/>
      <c r="AT78" s="722"/>
      <c r="AU78" s="722"/>
      <c r="AV78" s="754"/>
      <c r="AW78" s="754"/>
      <c r="AX78" s="754"/>
      <c r="AY78" s="754"/>
      <c r="BC78" s="754"/>
      <c r="BD78" s="754"/>
      <c r="BE78" s="105"/>
      <c r="BF78" s="105"/>
      <c r="BG78" s="722"/>
      <c r="BH78" s="722"/>
      <c r="BJ78" s="722"/>
    </row>
    <row r="79" spans="1:62" x14ac:dyDescent="0.2">
      <c r="I79" s="754"/>
      <c r="M79" s="754"/>
      <c r="Q79" s="754"/>
      <c r="R79" s="754"/>
      <c r="U79" s="754"/>
      <c r="Y79" s="754"/>
      <c r="AC79" s="754"/>
      <c r="AG79" s="754"/>
      <c r="AH79" s="722"/>
      <c r="AI79" s="722"/>
      <c r="AJ79" s="722"/>
      <c r="AK79" s="722"/>
      <c r="AL79" s="722"/>
      <c r="AM79" s="722"/>
      <c r="AN79" s="722"/>
      <c r="AO79" s="754"/>
      <c r="AP79" s="722"/>
      <c r="AQ79" s="722"/>
      <c r="AR79" s="722"/>
      <c r="AS79" s="754"/>
      <c r="AT79" s="755"/>
      <c r="AU79" s="722"/>
      <c r="AV79" s="754"/>
      <c r="AW79" s="754"/>
      <c r="AX79" s="754"/>
      <c r="AY79" s="754"/>
      <c r="BC79" s="754"/>
      <c r="BD79" s="754"/>
      <c r="BF79" s="105"/>
    </row>
    <row r="80" spans="1:62" x14ac:dyDescent="0.2">
      <c r="F80" s="665"/>
      <c r="G80" s="665"/>
      <c r="H80" s="665"/>
      <c r="I80" s="665"/>
      <c r="J80" s="665"/>
      <c r="K80" s="665"/>
      <c r="L80" s="665"/>
      <c r="M80" s="665"/>
      <c r="Q80" s="754"/>
      <c r="R80" s="754"/>
      <c r="U80" s="754"/>
      <c r="Y80" s="754"/>
      <c r="AC80" s="754"/>
      <c r="AG80" s="754"/>
      <c r="AH80" s="722"/>
      <c r="AI80" s="722"/>
      <c r="AJ80" s="722"/>
      <c r="AK80" s="722"/>
      <c r="AL80" s="722"/>
      <c r="AM80" s="722"/>
      <c r="AN80" s="722"/>
      <c r="AO80" s="754"/>
      <c r="AP80" s="722"/>
      <c r="AQ80" s="722"/>
      <c r="AR80" s="722"/>
      <c r="AS80" s="754"/>
      <c r="AT80" s="755"/>
      <c r="AU80" s="722"/>
      <c r="AV80" s="754"/>
      <c r="AW80" s="754"/>
      <c r="AX80" s="754"/>
      <c r="AY80" s="754"/>
      <c r="BC80" s="2"/>
      <c r="BD80" s="2"/>
      <c r="BF80" s="105"/>
    </row>
    <row r="81" spans="7:58" x14ac:dyDescent="0.2">
      <c r="I81" s="2"/>
      <c r="M81" s="2"/>
      <c r="Q81" s="2"/>
      <c r="R81" s="754"/>
      <c r="U81" s="2"/>
      <c r="Y81" s="2"/>
      <c r="AC81" s="2"/>
      <c r="AG81" s="2"/>
      <c r="AH81" s="722"/>
      <c r="AI81" s="722"/>
      <c r="AJ81" s="722"/>
      <c r="AK81" s="722"/>
      <c r="AL81" s="722"/>
      <c r="AM81" s="722"/>
      <c r="AN81" s="722"/>
      <c r="AO81" s="148"/>
      <c r="AP81" s="722"/>
      <c r="AQ81" s="722"/>
      <c r="AR81" s="722"/>
      <c r="AS81" s="754"/>
      <c r="AT81" s="755"/>
      <c r="AU81" s="722"/>
      <c r="AV81" s="754"/>
      <c r="AW81" s="754"/>
      <c r="AX81" s="754"/>
      <c r="AY81" s="754"/>
      <c r="BC81" s="2"/>
      <c r="BD81" s="2"/>
      <c r="BF81" s="105"/>
    </row>
    <row r="82" spans="7:58" x14ac:dyDescent="0.2">
      <c r="G82" s="665"/>
      <c r="H82" s="665"/>
      <c r="I82" s="665"/>
      <c r="M82" s="2"/>
      <c r="Q82" s="2"/>
      <c r="R82" s="754"/>
      <c r="U82" s="2"/>
      <c r="Y82" s="2"/>
      <c r="AC82" s="2"/>
      <c r="AG82" s="2"/>
      <c r="AH82" s="722"/>
      <c r="AI82" s="722"/>
      <c r="AJ82" s="722"/>
      <c r="AK82" s="722"/>
      <c r="AL82" s="722"/>
      <c r="AM82" s="722"/>
      <c r="AN82" s="722"/>
      <c r="AO82" s="149"/>
      <c r="AP82" s="722"/>
      <c r="AQ82" s="722"/>
      <c r="AR82" s="722"/>
      <c r="AS82" s="722"/>
      <c r="AT82" s="722"/>
      <c r="AU82" s="722"/>
      <c r="AV82" s="754"/>
      <c r="AW82" s="754"/>
      <c r="AX82" s="754"/>
      <c r="AY82" s="754"/>
      <c r="BC82" s="2"/>
      <c r="BD82" s="2"/>
    </row>
    <row r="83" spans="7:58" x14ac:dyDescent="0.2">
      <c r="I83" s="2"/>
      <c r="M83" s="2"/>
      <c r="Q83" s="2"/>
      <c r="U83" s="2"/>
      <c r="Y83" s="2"/>
      <c r="AC83" s="2"/>
      <c r="AG83" s="2"/>
      <c r="AH83" s="722"/>
      <c r="AI83" s="722"/>
      <c r="AJ83" s="722"/>
      <c r="AK83" s="722"/>
      <c r="AL83" s="722"/>
      <c r="AM83" s="722"/>
      <c r="AN83" s="722"/>
      <c r="AO83" s="149"/>
      <c r="AP83" s="722"/>
      <c r="AQ83" s="722"/>
      <c r="AR83" s="722"/>
      <c r="AS83" s="722"/>
      <c r="AT83" s="722"/>
      <c r="AU83" s="722"/>
      <c r="AV83" s="665"/>
      <c r="AW83" s="516"/>
      <c r="BC83" s="32"/>
      <c r="BD83" s="32"/>
    </row>
    <row r="84" spans="7:58" x14ac:dyDescent="0.2">
      <c r="I84" s="32"/>
      <c r="M84" s="32"/>
      <c r="Q84" s="32"/>
      <c r="U84" s="32"/>
      <c r="Y84" s="32"/>
      <c r="AC84" s="32"/>
      <c r="AG84" s="32"/>
      <c r="AO84" s="11"/>
      <c r="AP84" s="722"/>
      <c r="AQ84" s="722"/>
      <c r="AR84" s="722"/>
      <c r="BC84" s="32"/>
      <c r="BD84" s="32"/>
    </row>
    <row r="85" spans="7:58" x14ac:dyDescent="0.2">
      <c r="I85" s="32"/>
      <c r="M85" s="32"/>
      <c r="Q85" s="32"/>
      <c r="U85" s="32"/>
      <c r="Y85" s="32"/>
      <c r="AC85" s="32"/>
      <c r="AG85" s="32"/>
      <c r="AO85" s="11"/>
      <c r="AP85" s="722"/>
      <c r="AQ85" s="722"/>
      <c r="AR85" s="722"/>
      <c r="BC85" s="32"/>
      <c r="BD85" s="32"/>
    </row>
    <row r="86" spans="7:58" x14ac:dyDescent="0.2">
      <c r="I86" s="33"/>
      <c r="M86" s="33"/>
      <c r="Q86" s="33"/>
      <c r="U86" s="33"/>
      <c r="Y86" s="33"/>
      <c r="AC86" s="33"/>
      <c r="AG86" s="33"/>
      <c r="AO86" s="33"/>
      <c r="AP86" s="722"/>
      <c r="AQ86" s="722"/>
      <c r="AR86" s="722"/>
      <c r="BC86" s="2"/>
      <c r="BD86" s="2"/>
    </row>
    <row r="87" spans="7:58" x14ac:dyDescent="0.2">
      <c r="I87" s="2"/>
      <c r="M87" s="2"/>
      <c r="Q87" s="2"/>
      <c r="U87" s="2"/>
      <c r="Y87" s="2"/>
      <c r="AC87" s="2"/>
      <c r="AG87" s="2"/>
      <c r="AO87" s="150"/>
      <c r="AP87" s="722"/>
      <c r="AQ87" s="722"/>
      <c r="AR87" s="722"/>
      <c r="BC87" s="2"/>
      <c r="BD87" s="2"/>
    </row>
    <row r="88" spans="7:58" x14ac:dyDescent="0.2">
      <c r="I88" s="2"/>
      <c r="M88" s="2"/>
      <c r="Q88" s="2"/>
      <c r="U88" s="2"/>
      <c r="Y88" s="2"/>
      <c r="AC88" s="2"/>
      <c r="AG88" s="2"/>
      <c r="AH88" s="2"/>
      <c r="AK88" s="2"/>
      <c r="AM88" s="2"/>
      <c r="AN88" s="2"/>
      <c r="AO88" s="2"/>
      <c r="AP88" s="722"/>
      <c r="AQ88" s="722"/>
      <c r="AR88" s="722"/>
      <c r="BC88" s="51"/>
      <c r="BD88" s="51"/>
    </row>
    <row r="89" spans="7:58" x14ac:dyDescent="0.2">
      <c r="AG89" s="32"/>
      <c r="AH89" s="44"/>
      <c r="AI89" s="32"/>
      <c r="AJ89" s="32"/>
      <c r="AK89" s="32"/>
      <c r="AL89" s="37"/>
      <c r="AM89" s="37"/>
      <c r="AN89" s="34"/>
      <c r="AO89" s="1"/>
      <c r="AP89" s="722"/>
      <c r="AQ89" s="722"/>
      <c r="AR89" s="722"/>
      <c r="AV89" s="516"/>
      <c r="AW89" s="516"/>
      <c r="BC89" s="51"/>
      <c r="BD89" s="51"/>
    </row>
    <row r="90" spans="7:58" x14ac:dyDescent="0.2">
      <c r="AG90" s="32"/>
      <c r="AH90" s="32"/>
      <c r="AI90" s="32"/>
      <c r="AJ90" s="32"/>
      <c r="AK90" s="32"/>
      <c r="AL90" s="40"/>
      <c r="AM90" s="32"/>
      <c r="AN90" s="32"/>
      <c r="AO90" s="32"/>
      <c r="AP90" s="722"/>
      <c r="AQ90" s="722"/>
      <c r="AR90" s="722"/>
      <c r="BC90" s="52"/>
      <c r="BD90" s="52"/>
    </row>
    <row r="91" spans="7:58" x14ac:dyDescent="0.2">
      <c r="AG91" s="11"/>
      <c r="AH91" s="42"/>
      <c r="AI91" s="35"/>
      <c r="AJ91" s="35"/>
      <c r="AK91" s="35"/>
      <c r="AL91" s="42"/>
      <c r="AM91" s="35"/>
      <c r="AN91" s="35"/>
      <c r="AO91" s="47"/>
      <c r="AP91" s="722"/>
      <c r="AQ91" s="722"/>
      <c r="AR91" s="722"/>
      <c r="BC91" s="53"/>
      <c r="BD91" s="53"/>
    </row>
    <row r="92" spans="7:58" x14ac:dyDescent="0.2">
      <c r="AG92" s="11"/>
      <c r="AH92" s="35"/>
      <c r="AI92" s="35"/>
      <c r="AJ92" s="35"/>
      <c r="AK92" s="35"/>
      <c r="AL92" s="35"/>
      <c r="AM92" s="35"/>
      <c r="AN92" s="35"/>
      <c r="AO92" s="47"/>
      <c r="AP92" s="722"/>
      <c r="AQ92" s="722"/>
      <c r="AR92" s="722"/>
      <c r="BC92" s="35"/>
      <c r="BD92" s="35"/>
    </row>
    <row r="93" spans="7:58" x14ac:dyDescent="0.2">
      <c r="AG93" s="11"/>
      <c r="AH93" s="35"/>
      <c r="AI93" s="35"/>
      <c r="AJ93" s="35"/>
      <c r="AK93" s="35"/>
      <c r="AL93" s="35"/>
      <c r="AM93" s="35"/>
      <c r="AN93" s="35"/>
      <c r="AO93" s="755"/>
      <c r="AP93" s="722"/>
      <c r="AQ93" s="722"/>
      <c r="AR93" s="722"/>
      <c r="BC93" s="35"/>
      <c r="BD93" s="35"/>
    </row>
    <row r="94" spans="7:58" x14ac:dyDescent="0.2">
      <c r="AG94" s="35"/>
      <c r="AH94" s="35"/>
      <c r="AI94" s="35"/>
      <c r="AJ94" s="35"/>
      <c r="AK94" s="35"/>
      <c r="AL94" s="35"/>
      <c r="AM94" s="35"/>
      <c r="AN94" s="35"/>
      <c r="AO94" s="35"/>
      <c r="AP94" s="722"/>
      <c r="AQ94" s="722"/>
      <c r="AR94" s="722"/>
      <c r="BC94" s="36"/>
      <c r="BD94" s="36"/>
    </row>
    <row r="95" spans="7:58" x14ac:dyDescent="0.2">
      <c r="AG95" s="36"/>
      <c r="AH95" s="36"/>
      <c r="AI95" s="36"/>
      <c r="AJ95" s="36"/>
      <c r="AK95" s="36"/>
      <c r="AL95" s="36"/>
      <c r="AM95" s="36"/>
      <c r="AN95" s="36"/>
      <c r="AO95" s="36"/>
      <c r="AP95" s="722"/>
      <c r="AQ95" s="722"/>
      <c r="AR95" s="722"/>
      <c r="BC95" s="36"/>
      <c r="BD95" s="36"/>
    </row>
    <row r="96" spans="7:58" x14ac:dyDescent="0.2">
      <c r="AG96" s="36"/>
      <c r="AH96" s="36"/>
      <c r="AI96" s="36"/>
      <c r="AJ96" s="36"/>
      <c r="AK96" s="36"/>
      <c r="AL96" s="36"/>
      <c r="AM96" s="36"/>
      <c r="AN96" s="36"/>
      <c r="AO96" s="36"/>
      <c r="AP96" s="722"/>
      <c r="AQ96" s="722"/>
      <c r="AR96" s="722"/>
      <c r="BC96" s="722"/>
      <c r="BD96" s="722"/>
    </row>
    <row r="97" spans="33:56" x14ac:dyDescent="0.2">
      <c r="AG97" s="722"/>
      <c r="AH97" s="722"/>
      <c r="AI97" s="722"/>
      <c r="AJ97" s="722"/>
      <c r="AK97" s="722"/>
      <c r="AL97" s="722"/>
      <c r="AM97" s="722"/>
      <c r="AN97" s="722"/>
      <c r="AO97" s="722"/>
      <c r="AP97" s="722"/>
      <c r="AQ97" s="722"/>
      <c r="AR97" s="722"/>
      <c r="BC97" s="722"/>
      <c r="BD97" s="722"/>
    </row>
    <row r="98" spans="33:56" x14ac:dyDescent="0.2">
      <c r="AG98" s="722"/>
      <c r="AH98" s="722"/>
      <c r="AI98" s="722"/>
      <c r="AJ98" s="722"/>
      <c r="AK98" s="722"/>
      <c r="AL98" s="722"/>
      <c r="AM98" s="722"/>
      <c r="AN98" s="722"/>
      <c r="AO98" s="722"/>
      <c r="AP98" s="722"/>
      <c r="AQ98" s="722"/>
      <c r="AR98" s="722"/>
      <c r="BC98" s="722"/>
      <c r="BD98" s="722"/>
    </row>
    <row r="99" spans="33:56" x14ac:dyDescent="0.2">
      <c r="AG99" s="722"/>
      <c r="AH99" s="722"/>
      <c r="AI99" s="722"/>
      <c r="AJ99" s="722"/>
      <c r="AK99" s="722"/>
      <c r="AL99" s="722"/>
      <c r="AM99" s="722"/>
      <c r="AN99" s="722"/>
      <c r="AO99" s="722"/>
      <c r="AP99" s="722"/>
      <c r="AQ99" s="722"/>
      <c r="AR99" s="722"/>
      <c r="BC99" s="722"/>
      <c r="BD99" s="722"/>
    </row>
    <row r="100" spans="33:56" x14ac:dyDescent="0.2">
      <c r="AG100" s="722"/>
      <c r="AH100" s="722"/>
      <c r="AI100" s="722"/>
      <c r="AJ100" s="722"/>
      <c r="AK100" s="722"/>
      <c r="AL100" s="722"/>
      <c r="AM100" s="722"/>
      <c r="AN100" s="722"/>
      <c r="AO100" s="722"/>
      <c r="AP100" s="722"/>
      <c r="AQ100" s="722"/>
      <c r="AR100" s="722"/>
      <c r="BC100" s="722"/>
      <c r="BD100" s="722"/>
    </row>
    <row r="101" spans="33:56" x14ac:dyDescent="0.2">
      <c r="AG101" s="722"/>
      <c r="AH101" s="722"/>
      <c r="AI101" s="722"/>
      <c r="AJ101" s="722"/>
      <c r="AK101" s="722"/>
      <c r="AL101" s="722"/>
      <c r="AM101" s="722"/>
      <c r="AN101" s="722"/>
      <c r="AO101" s="722"/>
      <c r="AP101" s="722"/>
      <c r="AQ101" s="722"/>
      <c r="AR101" s="722"/>
    </row>
  </sheetData>
  <mergeCells count="10">
    <mergeCell ref="A33:B33"/>
    <mergeCell ref="C54:D54"/>
    <mergeCell ref="C55:D55"/>
    <mergeCell ref="AS55:AT55"/>
    <mergeCell ref="C66:D66"/>
    <mergeCell ref="C67:D67"/>
    <mergeCell ref="AS67:AT67"/>
    <mergeCell ref="C10:D10"/>
    <mergeCell ref="C11:D11"/>
    <mergeCell ref="AS11:AT11"/>
  </mergeCells>
  <printOptions horizontalCentered="1"/>
  <pageMargins left="0.3" right="0.3" top="0.4" bottom="0.6" header="0" footer="0.3"/>
  <pageSetup scale="55" orientation="landscape" r:id="rId1"/>
  <headerFooter alignWithMargins="0">
    <oddFooter>&amp;CPage 9</oddFooter>
  </headerFooter>
  <colBreaks count="1" manualBreakCount="1">
    <brk id="57" max="8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01"/>
  <sheetViews>
    <sheetView view="pageBreakPreview" topLeftCell="A17" zoomScale="90" zoomScaleNormal="100" zoomScaleSheetLayoutView="90" workbookViewId="0">
      <pane xSplit="2" topLeftCell="C1" activePane="topRight" state="frozenSplit"/>
      <selection activeCell="B21" sqref="B21:L21"/>
      <selection pane="topRight" activeCell="C64" sqref="C64"/>
    </sheetView>
  </sheetViews>
  <sheetFormatPr defaultRowHeight="12.75" outlineLevelRow="1" x14ac:dyDescent="0.2"/>
  <cols>
    <col min="1" max="1" width="2.7109375" style="721" customWidth="1"/>
    <col min="2" max="2" width="48.140625" style="721" customWidth="1"/>
    <col min="3" max="4" width="9.7109375" style="721" customWidth="1"/>
    <col min="5" max="5" width="1.5703125" style="722" customWidth="1"/>
    <col min="6" max="8" width="9.28515625" style="722" hidden="1" customWidth="1"/>
    <col min="9" max="9" width="9.42578125" style="722" customWidth="1"/>
    <col min="10" max="12" width="9.28515625" style="722" customWidth="1"/>
    <col min="13" max="14" width="9.42578125" style="722" customWidth="1"/>
    <col min="15" max="16" width="9.28515625" style="722" customWidth="1"/>
    <col min="17" max="17" width="9.42578125" style="722" customWidth="1"/>
    <col min="18" max="18" width="9.42578125" style="722" hidden="1" customWidth="1"/>
    <col min="19" max="26" width="9.28515625" style="722" hidden="1" customWidth="1"/>
    <col min="27" max="28" width="9.7109375" style="722" hidden="1" customWidth="1"/>
    <col min="29" max="37" width="9.7109375" style="721" hidden="1" customWidth="1"/>
    <col min="38" max="38" width="1.5703125" style="721" customWidth="1"/>
    <col min="39" max="41" width="10" style="721" hidden="1" customWidth="1"/>
    <col min="42" max="42" width="9.7109375" style="721" hidden="1" customWidth="1"/>
    <col min="43" max="43" width="1.5703125" style="721" hidden="1" customWidth="1"/>
    <col min="44" max="46" width="9.5703125" style="721" customWidth="1"/>
    <col min="47" max="48" width="9.7109375" style="721" customWidth="1"/>
    <col min="49" max="53" width="9.7109375" style="721" hidden="1" customWidth="1"/>
    <col min="54" max="54" width="1.5703125" style="721" customWidth="1"/>
    <col min="55" max="16384" width="9.140625" style="721"/>
  </cols>
  <sheetData>
    <row r="1" spans="1:61" ht="9" customHeight="1" x14ac:dyDescent="0.2"/>
    <row r="3" spans="1:61" x14ac:dyDescent="0.2">
      <c r="AR3" s="516"/>
    </row>
    <row r="4" spans="1:61" x14ac:dyDescent="0.2">
      <c r="AR4" s="516"/>
    </row>
    <row r="5" spans="1:61" ht="6.75" customHeight="1" x14ac:dyDescent="0.2">
      <c r="A5" s="722"/>
      <c r="B5" s="722"/>
      <c r="C5" s="722"/>
      <c r="D5" s="722"/>
      <c r="AC5" s="722"/>
      <c r="AD5" s="722"/>
      <c r="AE5" s="722"/>
      <c r="AM5" s="516"/>
    </row>
    <row r="6" spans="1:61" ht="18" customHeight="1" x14ac:dyDescent="0.2">
      <c r="A6" s="132" t="s">
        <v>345</v>
      </c>
      <c r="B6" s="722"/>
      <c r="C6" s="722"/>
      <c r="D6" s="722"/>
      <c r="F6" s="486"/>
      <c r="G6" s="486"/>
      <c r="H6" s="486"/>
      <c r="I6" s="486"/>
      <c r="J6" s="486"/>
      <c r="K6" s="486"/>
      <c r="L6" s="486"/>
      <c r="M6" s="486"/>
      <c r="AC6" s="722"/>
      <c r="AD6" s="722"/>
      <c r="AE6" s="722"/>
      <c r="AM6" s="516"/>
    </row>
    <row r="7" spans="1:61" ht="18" customHeight="1" x14ac:dyDescent="0.2">
      <c r="A7" s="164" t="s">
        <v>328</v>
      </c>
      <c r="B7" s="5"/>
      <c r="C7" s="5"/>
      <c r="D7" s="5"/>
      <c r="E7" s="5"/>
      <c r="F7" s="5"/>
      <c r="G7" s="5"/>
      <c r="H7" s="5"/>
      <c r="I7" s="5"/>
      <c r="J7" s="5"/>
      <c r="K7" s="5"/>
      <c r="L7" s="5"/>
      <c r="M7" s="5"/>
      <c r="N7" s="5"/>
      <c r="O7" s="5"/>
      <c r="P7" s="5"/>
      <c r="Q7" s="5"/>
      <c r="R7" s="5"/>
      <c r="S7" s="5"/>
      <c r="T7" s="5"/>
      <c r="U7" s="5"/>
      <c r="V7" s="5"/>
      <c r="W7" s="5"/>
      <c r="X7" s="5"/>
      <c r="Y7" s="5"/>
      <c r="Z7" s="5"/>
      <c r="AA7" s="5"/>
      <c r="AB7" s="5"/>
      <c r="AC7" s="722"/>
      <c r="AD7" s="722"/>
      <c r="AE7" s="722"/>
      <c r="AM7" s="529"/>
    </row>
    <row r="8" spans="1:61" ht="15" x14ac:dyDescent="0.2">
      <c r="A8" s="760" t="s">
        <v>281</v>
      </c>
      <c r="B8" s="5"/>
      <c r="C8" s="5"/>
      <c r="D8" s="5"/>
      <c r="E8" s="5"/>
      <c r="F8" s="5"/>
      <c r="G8" s="5"/>
      <c r="H8" s="5"/>
      <c r="I8" s="5"/>
      <c r="J8" s="5"/>
      <c r="K8" s="5"/>
      <c r="L8" s="5"/>
      <c r="M8" s="5"/>
      <c r="N8" s="5"/>
      <c r="O8" s="5"/>
      <c r="P8" s="5"/>
      <c r="Q8" s="5"/>
      <c r="R8" s="5"/>
      <c r="S8" s="5"/>
      <c r="T8" s="5"/>
      <c r="U8" s="5"/>
      <c r="V8" s="5"/>
      <c r="W8" s="5"/>
      <c r="X8" s="5"/>
      <c r="Y8" s="5"/>
      <c r="Z8" s="5"/>
      <c r="AA8" s="5"/>
      <c r="AB8" s="5"/>
      <c r="AC8" s="722"/>
      <c r="AD8" s="722"/>
      <c r="AE8" s="722"/>
    </row>
    <row r="9" spans="1:61" ht="9.75" customHeight="1" x14ac:dyDescent="0.2">
      <c r="A9" s="2"/>
      <c r="B9" s="2"/>
      <c r="C9" s="2"/>
      <c r="D9" s="2"/>
      <c r="E9" s="2"/>
      <c r="F9" s="424"/>
      <c r="G9" s="424"/>
      <c r="H9" s="424"/>
      <c r="I9" s="2"/>
      <c r="J9" s="424"/>
      <c r="K9" s="424"/>
      <c r="L9" s="424"/>
      <c r="M9" s="2"/>
      <c r="N9" s="424"/>
      <c r="O9" s="2"/>
      <c r="P9" s="424"/>
      <c r="Q9" s="2"/>
      <c r="R9" s="424"/>
      <c r="S9" s="2"/>
      <c r="T9" s="424"/>
      <c r="U9" s="2"/>
      <c r="V9" s="424"/>
      <c r="W9" s="2"/>
      <c r="X9" s="424"/>
      <c r="Y9" s="2"/>
      <c r="Z9" s="424"/>
      <c r="AA9" s="2"/>
      <c r="AB9" s="2"/>
      <c r="AC9" s="722"/>
      <c r="AD9" s="722"/>
      <c r="AE9" s="722"/>
      <c r="AO9" s="552"/>
      <c r="AP9" s="552"/>
      <c r="AY9" s="722"/>
      <c r="AZ9" s="722"/>
      <c r="BA9" s="722"/>
    </row>
    <row r="10" spans="1:61" x14ac:dyDescent="0.2">
      <c r="A10" s="6" t="s">
        <v>1</v>
      </c>
      <c r="B10" s="7"/>
      <c r="C10" s="1479"/>
      <c r="D10" s="1480"/>
      <c r="E10" s="256"/>
      <c r="F10" s="410"/>
      <c r="G10" s="410"/>
      <c r="H10" s="410"/>
      <c r="I10" s="19"/>
      <c r="J10" s="410"/>
      <c r="K10" s="410"/>
      <c r="L10" s="410"/>
      <c r="M10" s="19"/>
      <c r="N10" s="17"/>
      <c r="O10" s="18"/>
      <c r="P10" s="410"/>
      <c r="Q10" s="19"/>
      <c r="R10" s="17"/>
      <c r="S10" s="18"/>
      <c r="T10" s="410"/>
      <c r="U10" s="19"/>
      <c r="W10" s="18"/>
      <c r="X10" s="2"/>
      <c r="Y10" s="19"/>
      <c r="Z10" s="18"/>
      <c r="AB10" s="410"/>
      <c r="AC10" s="19"/>
      <c r="AD10" s="18"/>
      <c r="AE10" s="18"/>
      <c r="AF10" s="18"/>
      <c r="AG10" s="18"/>
      <c r="AH10" s="22"/>
      <c r="AI10" s="19"/>
      <c r="AJ10" s="19"/>
      <c r="AK10" s="19"/>
      <c r="AL10" s="24"/>
      <c r="AM10" s="661" t="s">
        <v>340</v>
      </c>
      <c r="AN10" s="647"/>
      <c r="AO10" s="647" t="s">
        <v>320</v>
      </c>
      <c r="AP10" s="648"/>
      <c r="AQ10" s="15"/>
      <c r="AR10" s="87"/>
      <c r="AS10" s="87"/>
      <c r="AT10" s="87"/>
      <c r="AU10" s="87"/>
      <c r="AV10" s="87"/>
      <c r="AW10" s="17"/>
      <c r="AX10" s="22"/>
      <c r="AY10" s="87"/>
      <c r="AZ10" s="940"/>
      <c r="BA10" s="941"/>
      <c r="BB10" s="25"/>
    </row>
    <row r="11" spans="1:61" ht="13.5" x14ac:dyDescent="0.2">
      <c r="A11" s="6" t="s">
        <v>2</v>
      </c>
      <c r="B11" s="7"/>
      <c r="C11" s="1481"/>
      <c r="D11" s="1482"/>
      <c r="E11" s="530"/>
      <c r="F11" s="21" t="s">
        <v>363</v>
      </c>
      <c r="G11" s="21" t="s">
        <v>362</v>
      </c>
      <c r="H11" s="21" t="s">
        <v>361</v>
      </c>
      <c r="I11" s="14" t="s">
        <v>359</v>
      </c>
      <c r="J11" s="21" t="s">
        <v>302</v>
      </c>
      <c r="K11" s="21" t="s">
        <v>303</v>
      </c>
      <c r="L11" s="21" t="s">
        <v>304</v>
      </c>
      <c r="M11" s="14" t="s">
        <v>305</v>
      </c>
      <c r="N11" s="20" t="s">
        <v>231</v>
      </c>
      <c r="O11" s="21" t="s">
        <v>232</v>
      </c>
      <c r="P11" s="21" t="s">
        <v>233</v>
      </c>
      <c r="Q11" s="14" t="s">
        <v>230</v>
      </c>
      <c r="R11" s="20" t="s">
        <v>194</v>
      </c>
      <c r="S11" s="21" t="s">
        <v>195</v>
      </c>
      <c r="T11" s="21" t="s">
        <v>196</v>
      </c>
      <c r="U11" s="14" t="s">
        <v>197</v>
      </c>
      <c r="V11" s="21" t="s">
        <v>126</v>
      </c>
      <c r="W11" s="21" t="s">
        <v>125</v>
      </c>
      <c r="X11" s="21" t="s">
        <v>124</v>
      </c>
      <c r="Y11" s="14" t="s">
        <v>123</v>
      </c>
      <c r="Z11" s="21" t="s">
        <v>86</v>
      </c>
      <c r="AA11" s="21" t="s">
        <v>87</v>
      </c>
      <c r="AB11" s="21" t="s">
        <v>88</v>
      </c>
      <c r="AC11" s="14" t="s">
        <v>30</v>
      </c>
      <c r="AD11" s="21" t="s">
        <v>31</v>
      </c>
      <c r="AE11" s="21" t="s">
        <v>32</v>
      </c>
      <c r="AF11" s="21" t="s">
        <v>33</v>
      </c>
      <c r="AG11" s="21" t="s">
        <v>34</v>
      </c>
      <c r="AH11" s="23" t="s">
        <v>35</v>
      </c>
      <c r="AI11" s="14" t="s">
        <v>36</v>
      </c>
      <c r="AJ11" s="14" t="s">
        <v>37</v>
      </c>
      <c r="AK11" s="14" t="s">
        <v>38</v>
      </c>
      <c r="AL11" s="256"/>
      <c r="AM11" s="21" t="s">
        <v>303</v>
      </c>
      <c r="AN11" s="21" t="s">
        <v>232</v>
      </c>
      <c r="AO11" s="1503" t="s">
        <v>39</v>
      </c>
      <c r="AP11" s="1478"/>
      <c r="AQ11" s="935"/>
      <c r="AR11" s="20" t="s">
        <v>307</v>
      </c>
      <c r="AS11" s="20" t="s">
        <v>235</v>
      </c>
      <c r="AT11" s="20"/>
      <c r="AU11" s="20"/>
      <c r="AV11" s="20"/>
      <c r="AW11" s="20"/>
      <c r="AX11" s="23"/>
      <c r="AY11" s="23"/>
      <c r="AZ11" s="23"/>
      <c r="BA11" s="20"/>
      <c r="BB11" s="25"/>
      <c r="BC11" s="722"/>
      <c r="BD11" s="722"/>
      <c r="BG11" s="722"/>
      <c r="BH11" s="722"/>
      <c r="BI11" s="722"/>
    </row>
    <row r="12" spans="1:61" x14ac:dyDescent="0.2">
      <c r="A12" s="6"/>
      <c r="B12" s="7"/>
      <c r="C12" s="939"/>
      <c r="D12" s="936"/>
      <c r="E12" s="530"/>
      <c r="F12" s="633" t="s">
        <v>254</v>
      </c>
      <c r="G12" s="633" t="s">
        <v>254</v>
      </c>
      <c r="H12" s="633" t="s">
        <v>254</v>
      </c>
      <c r="I12" s="634" t="s">
        <v>254</v>
      </c>
      <c r="J12" s="633" t="s">
        <v>254</v>
      </c>
      <c r="K12" s="633" t="s">
        <v>254</v>
      </c>
      <c r="L12" s="633" t="s">
        <v>254</v>
      </c>
      <c r="M12" s="634" t="s">
        <v>254</v>
      </c>
      <c r="N12" s="632" t="s">
        <v>254</v>
      </c>
      <c r="O12" s="633" t="s">
        <v>254</v>
      </c>
      <c r="P12" s="633" t="s">
        <v>254</v>
      </c>
      <c r="Q12" s="634" t="s">
        <v>254</v>
      </c>
      <c r="R12" s="632" t="s">
        <v>254</v>
      </c>
      <c r="S12" s="633" t="s">
        <v>254</v>
      </c>
      <c r="T12" s="633" t="s">
        <v>254</v>
      </c>
      <c r="U12" s="634" t="s">
        <v>254</v>
      </c>
      <c r="V12" s="632" t="s">
        <v>255</v>
      </c>
      <c r="W12" s="633" t="s">
        <v>255</v>
      </c>
      <c r="X12" s="633" t="s">
        <v>255</v>
      </c>
      <c r="Y12" s="634" t="s">
        <v>255</v>
      </c>
      <c r="Z12" s="15"/>
      <c r="AA12" s="15"/>
      <c r="AB12" s="15"/>
      <c r="AC12" s="230"/>
      <c r="AD12" s="15"/>
      <c r="AE12" s="15"/>
      <c r="AF12" s="15"/>
      <c r="AG12" s="15"/>
      <c r="AH12" s="256"/>
      <c r="AI12" s="230"/>
      <c r="AJ12" s="230"/>
      <c r="AK12" s="230"/>
      <c r="AL12" s="256"/>
      <c r="AM12" s="632" t="s">
        <v>254</v>
      </c>
      <c r="AN12" s="633" t="s">
        <v>254</v>
      </c>
      <c r="AO12" s="649"/>
      <c r="AP12" s="650"/>
      <c r="AQ12" s="935"/>
      <c r="AR12" s="632" t="s">
        <v>254</v>
      </c>
      <c r="AS12" s="632" t="s">
        <v>254</v>
      </c>
      <c r="AT12" s="632"/>
      <c r="AU12" s="632"/>
      <c r="AV12" s="632"/>
      <c r="AW12" s="632"/>
      <c r="AX12" s="635"/>
      <c r="AY12" s="256"/>
      <c r="AZ12" s="256"/>
      <c r="BA12" s="229"/>
      <c r="BB12" s="25"/>
      <c r="BC12" s="722"/>
      <c r="BD12" s="722"/>
      <c r="BG12" s="722"/>
      <c r="BH12" s="722"/>
      <c r="BI12" s="722"/>
    </row>
    <row r="13" spans="1:61" ht="12.75" customHeight="1" x14ac:dyDescent="0.2">
      <c r="A13" s="615" t="s">
        <v>64</v>
      </c>
      <c r="B13" s="8"/>
      <c r="C13" s="162"/>
      <c r="D13" s="164"/>
      <c r="E13" s="88"/>
      <c r="F13" s="725"/>
      <c r="G13" s="725"/>
      <c r="H13" s="725"/>
      <c r="I13" s="164"/>
      <c r="J13" s="725"/>
      <c r="K13" s="725"/>
      <c r="L13" s="725"/>
      <c r="M13" s="164"/>
      <c r="N13" s="725"/>
      <c r="O13" s="725"/>
      <c r="P13" s="725"/>
      <c r="Q13" s="164"/>
      <c r="R13" s="725"/>
      <c r="S13" s="725"/>
      <c r="T13" s="725"/>
      <c r="U13" s="164"/>
      <c r="V13" s="725"/>
      <c r="W13" s="725"/>
      <c r="X13" s="725"/>
      <c r="Y13" s="164"/>
      <c r="Z13" s="725"/>
      <c r="AA13" s="725"/>
      <c r="AB13" s="725"/>
      <c r="AC13" s="164"/>
      <c r="AD13" s="193"/>
      <c r="AE13" s="725"/>
      <c r="AF13" s="725"/>
      <c r="AH13" s="22"/>
      <c r="AI13" s="26"/>
      <c r="AJ13" s="26"/>
      <c r="AK13" s="19"/>
      <c r="AL13" s="88"/>
      <c r="AM13" s="725"/>
      <c r="AN13" s="725"/>
      <c r="AO13" s="725"/>
      <c r="AP13" s="164"/>
      <c r="AQ13" s="724"/>
      <c r="AR13" s="88"/>
      <c r="AS13" s="88"/>
      <c r="AT13" s="88"/>
      <c r="AU13" s="88"/>
      <c r="AV13" s="88"/>
      <c r="AW13" s="162"/>
      <c r="AX13" s="88"/>
      <c r="AY13" s="310"/>
      <c r="AZ13" s="310"/>
      <c r="BA13" s="698"/>
      <c r="BB13" s="25"/>
      <c r="BC13" s="722"/>
      <c r="BD13" s="722"/>
      <c r="BG13" s="722"/>
    </row>
    <row r="14" spans="1:61" ht="12.75" customHeight="1" x14ac:dyDescent="0.2">
      <c r="A14" s="7"/>
      <c r="B14" s="731" t="s">
        <v>319</v>
      </c>
      <c r="C14" s="686"/>
      <c r="D14" s="742"/>
      <c r="E14" s="741"/>
      <c r="F14" s="748"/>
      <c r="G14" s="748"/>
      <c r="H14" s="748"/>
      <c r="I14" s="213">
        <v>755</v>
      </c>
      <c r="J14" s="748">
        <v>1298</v>
      </c>
      <c r="K14" s="748">
        <v>178</v>
      </c>
      <c r="L14" s="748">
        <v>1153</v>
      </c>
      <c r="M14" s="213">
        <v>844</v>
      </c>
      <c r="N14" s="730">
        <v>0</v>
      </c>
      <c r="O14" s="730">
        <v>0</v>
      </c>
      <c r="P14" s="730">
        <v>0</v>
      </c>
      <c r="Q14" s="166">
        <v>0</v>
      </c>
      <c r="R14" s="730">
        <v>0</v>
      </c>
      <c r="S14" s="730">
        <v>0</v>
      </c>
      <c r="T14" s="730">
        <v>0</v>
      </c>
      <c r="U14" s="166">
        <v>0</v>
      </c>
      <c r="V14" s="748"/>
      <c r="W14" s="748"/>
      <c r="X14" s="748"/>
      <c r="Y14" s="213"/>
      <c r="Z14" s="748"/>
      <c r="AA14" s="748"/>
      <c r="AB14" s="748"/>
      <c r="AC14" s="213"/>
      <c r="AD14" s="172"/>
      <c r="AE14" s="209"/>
      <c r="AF14" s="209"/>
      <c r="AG14" s="730"/>
      <c r="AH14" s="616"/>
      <c r="AI14" s="166"/>
      <c r="AJ14" s="166"/>
      <c r="AK14" s="166"/>
      <c r="AL14" s="88"/>
      <c r="AM14" s="730">
        <f>SUM(K14:M14)</f>
        <v>2175</v>
      </c>
      <c r="AN14" s="730">
        <f>SUM(O14:Q14)</f>
        <v>0</v>
      </c>
      <c r="AO14" s="754">
        <f>AR14-AS14</f>
        <v>3473</v>
      </c>
      <c r="AP14" s="485" t="s">
        <v>42</v>
      </c>
      <c r="AQ14" s="724"/>
      <c r="AR14" s="744">
        <f>SUM(J14:M14)</f>
        <v>3473</v>
      </c>
      <c r="AS14" s="617"/>
      <c r="AT14" s="617"/>
      <c r="AU14" s="617"/>
      <c r="AV14" s="617"/>
      <c r="AW14" s="617"/>
      <c r="AX14" s="744"/>
      <c r="AY14" s="311"/>
      <c r="AZ14" s="311"/>
      <c r="BA14" s="311"/>
      <c r="BB14" s="725"/>
      <c r="BD14" s="722"/>
      <c r="BG14" s="722"/>
    </row>
    <row r="15" spans="1:61" ht="12.75" customHeight="1" x14ac:dyDescent="0.2">
      <c r="A15" s="8"/>
      <c r="B15" s="7"/>
      <c r="C15" s="167"/>
      <c r="D15" s="168"/>
      <c r="E15" s="741"/>
      <c r="F15" s="406">
        <f t="shared" ref="F15:N15" si="0">SUM(F14:F14)</f>
        <v>0</v>
      </c>
      <c r="G15" s="406">
        <f t="shared" si="0"/>
        <v>0</v>
      </c>
      <c r="H15" s="406">
        <f t="shared" si="0"/>
        <v>0</v>
      </c>
      <c r="I15" s="218">
        <f t="shared" si="0"/>
        <v>755</v>
      </c>
      <c r="J15" s="406">
        <f t="shared" si="0"/>
        <v>1298</v>
      </c>
      <c r="K15" s="406">
        <f t="shared" si="0"/>
        <v>178</v>
      </c>
      <c r="L15" s="406">
        <f t="shared" si="0"/>
        <v>1153</v>
      </c>
      <c r="M15" s="218">
        <f t="shared" si="0"/>
        <v>844</v>
      </c>
      <c r="N15" s="406">
        <f t="shared" si="0"/>
        <v>0</v>
      </c>
      <c r="O15" s="406">
        <f>SUM(O14:O14)</f>
        <v>0</v>
      </c>
      <c r="P15" s="406">
        <f>SUM(P14:P14)</f>
        <v>0</v>
      </c>
      <c r="Q15" s="406">
        <f>SUM(Q14:Q14)</f>
        <v>0</v>
      </c>
      <c r="R15" s="406">
        <v>72704</v>
      </c>
      <c r="S15" s="406">
        <v>68599</v>
      </c>
      <c r="T15" s="406">
        <v>44539</v>
      </c>
      <c r="U15" s="218">
        <v>47207</v>
      </c>
      <c r="V15" s="406">
        <v>54990</v>
      </c>
      <c r="W15" s="406">
        <v>51733</v>
      </c>
      <c r="X15" s="406">
        <v>40138</v>
      </c>
      <c r="Y15" s="218">
        <v>40185</v>
      </c>
      <c r="Z15" s="406">
        <v>37255</v>
      </c>
      <c r="AA15" s="406">
        <v>33532</v>
      </c>
      <c r="AB15" s="406">
        <v>43844</v>
      </c>
      <c r="AC15" s="218">
        <v>57853</v>
      </c>
      <c r="AD15" s="176">
        <v>54463</v>
      </c>
      <c r="AE15" s="217">
        <v>61166</v>
      </c>
      <c r="AF15" s="217">
        <v>57415</v>
      </c>
      <c r="AG15" s="217">
        <v>76083</v>
      </c>
      <c r="AH15" s="169">
        <v>75876</v>
      </c>
      <c r="AI15" s="218">
        <v>68831</v>
      </c>
      <c r="AJ15" s="218">
        <v>55626</v>
      </c>
      <c r="AK15" s="218">
        <v>72286</v>
      </c>
      <c r="AL15" s="88"/>
      <c r="AM15" s="818">
        <f>SUM(AM14:AM14)</f>
        <v>2175</v>
      </c>
      <c r="AN15" s="818">
        <f>SUM(AN14:AN14)</f>
        <v>0</v>
      </c>
      <c r="AO15" s="406">
        <f>AR15-AS15</f>
        <v>3473</v>
      </c>
      <c r="AP15" s="168" t="e">
        <f>IF(OR((AO15/AS15)&gt;3,(AO15/AS15)&lt;-3),"n.m.",(AO15/AS15))</f>
        <v>#DIV/0!</v>
      </c>
      <c r="AQ15" s="724"/>
      <c r="AR15" s="199">
        <f>SUM(AR14:AR14)</f>
        <v>3473</v>
      </c>
      <c r="AS15" s="199"/>
      <c r="AT15" s="199"/>
      <c r="AU15" s="199"/>
      <c r="AV15" s="199"/>
      <c r="AW15" s="199"/>
      <c r="AX15" s="199"/>
      <c r="AY15" s="312"/>
      <c r="AZ15" s="312"/>
      <c r="BA15" s="312"/>
      <c r="BB15" s="725"/>
      <c r="BD15" s="722"/>
      <c r="BG15" s="722"/>
    </row>
    <row r="16" spans="1:61" ht="12.75" customHeight="1" x14ac:dyDescent="0.2">
      <c r="A16" s="615" t="s">
        <v>5</v>
      </c>
      <c r="B16" s="7"/>
      <c r="C16" s="686"/>
      <c r="D16" s="742"/>
      <c r="E16" s="741"/>
      <c r="F16" s="748"/>
      <c r="G16" s="748"/>
      <c r="H16" s="748"/>
      <c r="I16" s="213"/>
      <c r="J16" s="748"/>
      <c r="K16" s="748"/>
      <c r="L16" s="748"/>
      <c r="M16" s="213"/>
      <c r="N16" s="748"/>
      <c r="O16" s="748"/>
      <c r="P16" s="748"/>
      <c r="Q16" s="213"/>
      <c r="R16" s="748"/>
      <c r="S16" s="748"/>
      <c r="T16" s="748"/>
      <c r="U16" s="213"/>
      <c r="V16" s="748"/>
      <c r="W16" s="748"/>
      <c r="X16" s="748"/>
      <c r="Y16" s="213"/>
      <c r="Z16" s="748"/>
      <c r="AA16" s="748"/>
      <c r="AB16" s="748"/>
      <c r="AC16" s="213"/>
      <c r="AD16" s="172"/>
      <c r="AE16" s="209"/>
      <c r="AF16" s="209"/>
      <c r="AG16" s="209"/>
      <c r="AH16" s="728"/>
      <c r="AI16" s="213"/>
      <c r="AJ16" s="213"/>
      <c r="AK16" s="213"/>
      <c r="AL16" s="88"/>
      <c r="AM16" s="730"/>
      <c r="AN16" s="730"/>
      <c r="AO16" s="754"/>
      <c r="AP16" s="742"/>
      <c r="AQ16" s="724"/>
      <c r="AR16" s="200"/>
      <c r="AS16" s="200"/>
      <c r="AT16" s="200"/>
      <c r="AU16" s="200"/>
      <c r="AV16" s="200"/>
      <c r="AW16" s="744"/>
      <c r="AX16" s="744"/>
      <c r="AY16" s="311"/>
      <c r="AZ16" s="311"/>
      <c r="BA16" s="311"/>
      <c r="BB16" s="725"/>
      <c r="BD16" s="722"/>
      <c r="BG16" s="722"/>
    </row>
    <row r="17" spans="1:59" ht="12.75" customHeight="1" x14ac:dyDescent="0.2">
      <c r="A17" s="615"/>
      <c r="B17" s="7" t="s">
        <v>333</v>
      </c>
      <c r="C17" s="686"/>
      <c r="D17" s="742"/>
      <c r="E17" s="741"/>
      <c r="F17" s="748"/>
      <c r="G17" s="748"/>
      <c r="H17" s="748"/>
      <c r="I17" s="213">
        <v>681</v>
      </c>
      <c r="J17" s="748">
        <v>750</v>
      </c>
      <c r="K17" s="748">
        <v>810</v>
      </c>
      <c r="L17" s="748">
        <v>332</v>
      </c>
      <c r="M17" s="213">
        <v>570</v>
      </c>
      <c r="N17" s="748"/>
      <c r="O17" s="748"/>
      <c r="P17" s="748"/>
      <c r="Q17" s="213"/>
      <c r="R17" s="748">
        <v>33880</v>
      </c>
      <c r="S17" s="748">
        <v>33144</v>
      </c>
      <c r="T17" s="748">
        <v>20664</v>
      </c>
      <c r="U17" s="213"/>
      <c r="V17" s="748"/>
      <c r="W17" s="748"/>
      <c r="X17" s="748"/>
      <c r="Y17" s="213"/>
      <c r="Z17" s="748"/>
      <c r="AA17" s="748"/>
      <c r="AB17" s="748"/>
      <c r="AC17" s="213"/>
      <c r="AD17" s="172"/>
      <c r="AE17" s="209"/>
      <c r="AF17" s="209"/>
      <c r="AG17" s="209"/>
      <c r="AH17" s="728"/>
      <c r="AI17" s="213"/>
      <c r="AJ17" s="213"/>
      <c r="AK17" s="213"/>
      <c r="AL17" s="88"/>
      <c r="AM17" s="730">
        <f t="shared" ref="AM17:AM30" si="1">SUM(K17:M17)</f>
        <v>1712</v>
      </c>
      <c r="AN17" s="730">
        <f t="shared" ref="AN17:AN30" si="2">SUM(O17:Q17)</f>
        <v>0</v>
      </c>
      <c r="AO17" s="754">
        <f t="shared" ref="AO17:AO28" si="3">AR17-AS17</f>
        <v>2462</v>
      </c>
      <c r="AP17" s="742" t="e">
        <f t="shared" ref="AP17:AP28" si="4">IF(OR((AO17/AS17)&gt;3,(AO17/AS17)&lt;-3),"n.m.",(AO17/AS17))</f>
        <v>#DIV/0!</v>
      </c>
      <c r="AQ17" s="724"/>
      <c r="AR17" s="744">
        <f t="shared" ref="AR17:AR30" si="5">SUM(J17:M17)</f>
        <v>2462</v>
      </c>
      <c r="AS17" s="744"/>
      <c r="AT17" s="744"/>
      <c r="AU17" s="744"/>
      <c r="AV17" s="744"/>
      <c r="AW17" s="744"/>
      <c r="AX17" s="744"/>
      <c r="AY17" s="311"/>
      <c r="AZ17" s="311"/>
      <c r="BA17" s="311"/>
      <c r="BB17" s="725"/>
      <c r="BD17" s="722"/>
      <c r="BG17" s="722"/>
    </row>
    <row r="18" spans="1:59" ht="12.75" customHeight="1" x14ac:dyDescent="0.2">
      <c r="A18" s="615"/>
      <c r="B18" s="7" t="s">
        <v>334</v>
      </c>
      <c r="C18" s="404"/>
      <c r="D18" s="147"/>
      <c r="E18" s="741"/>
      <c r="F18" s="408"/>
      <c r="G18" s="408"/>
      <c r="H18" s="408"/>
      <c r="I18" s="216">
        <v>0</v>
      </c>
      <c r="J18" s="408">
        <v>2</v>
      </c>
      <c r="K18" s="408">
        <v>16</v>
      </c>
      <c r="L18" s="408">
        <v>0</v>
      </c>
      <c r="M18" s="216">
        <v>0</v>
      </c>
      <c r="N18" s="408"/>
      <c r="O18" s="408"/>
      <c r="P18" s="408"/>
      <c r="Q18" s="216"/>
      <c r="R18" s="408">
        <v>1641</v>
      </c>
      <c r="S18" s="408">
        <v>2757</v>
      </c>
      <c r="T18" s="408">
        <v>897</v>
      </c>
      <c r="U18" s="213"/>
      <c r="V18" s="748"/>
      <c r="W18" s="748"/>
      <c r="X18" s="748"/>
      <c r="Y18" s="213"/>
      <c r="Z18" s="748"/>
      <c r="AA18" s="748"/>
      <c r="AB18" s="748"/>
      <c r="AC18" s="213"/>
      <c r="AD18" s="172"/>
      <c r="AE18" s="209"/>
      <c r="AF18" s="209"/>
      <c r="AG18" s="209"/>
      <c r="AH18" s="728"/>
      <c r="AI18" s="213"/>
      <c r="AJ18" s="213"/>
      <c r="AK18" s="213"/>
      <c r="AL18" s="88"/>
      <c r="AM18" s="343">
        <f t="shared" si="1"/>
        <v>16</v>
      </c>
      <c r="AN18" s="343">
        <f t="shared" si="2"/>
        <v>0</v>
      </c>
      <c r="AO18" s="156">
        <f t="shared" si="3"/>
        <v>18</v>
      </c>
      <c r="AP18" s="147" t="e">
        <f t="shared" si="4"/>
        <v>#DIV/0!</v>
      </c>
      <c r="AQ18" s="724"/>
      <c r="AR18" s="204">
        <f t="shared" si="5"/>
        <v>18</v>
      </c>
      <c r="AS18" s="204"/>
      <c r="AT18" s="204"/>
      <c r="AU18" s="204"/>
      <c r="AV18" s="204"/>
      <c r="AW18" s="204"/>
      <c r="AX18" s="744"/>
      <c r="AY18" s="311"/>
      <c r="AZ18" s="311"/>
      <c r="BA18" s="311"/>
      <c r="BB18" s="725"/>
      <c r="BD18" s="722"/>
      <c r="BG18" s="722"/>
    </row>
    <row r="19" spans="1:59" ht="12.75" customHeight="1" x14ac:dyDescent="0.2">
      <c r="A19" s="8"/>
      <c r="B19" s="724" t="s">
        <v>218</v>
      </c>
      <c r="C19" s="686"/>
      <c r="D19" s="742"/>
      <c r="E19" s="741"/>
      <c r="F19" s="748">
        <f t="shared" ref="F19:M19" si="6">SUM(F17:F18)</f>
        <v>0</v>
      </c>
      <c r="G19" s="748">
        <f t="shared" si="6"/>
        <v>0</v>
      </c>
      <c r="H19" s="748">
        <f t="shared" si="6"/>
        <v>0</v>
      </c>
      <c r="I19" s="213">
        <f t="shared" si="6"/>
        <v>681</v>
      </c>
      <c r="J19" s="748">
        <f t="shared" si="6"/>
        <v>752</v>
      </c>
      <c r="K19" s="748">
        <f t="shared" si="6"/>
        <v>826</v>
      </c>
      <c r="L19" s="748">
        <f t="shared" si="6"/>
        <v>332</v>
      </c>
      <c r="M19" s="213">
        <f t="shared" si="6"/>
        <v>570</v>
      </c>
      <c r="N19" s="748"/>
      <c r="O19" s="748"/>
      <c r="P19" s="748"/>
      <c r="Q19" s="213"/>
      <c r="R19" s="748">
        <v>35521</v>
      </c>
      <c r="S19" s="748">
        <v>35901</v>
      </c>
      <c r="T19" s="748">
        <v>21561</v>
      </c>
      <c r="U19" s="213">
        <v>23281</v>
      </c>
      <c r="V19" s="748">
        <v>26203</v>
      </c>
      <c r="W19" s="748">
        <v>24376</v>
      </c>
      <c r="X19" s="748">
        <v>19368</v>
      </c>
      <c r="Y19" s="213">
        <v>18643</v>
      </c>
      <c r="Z19" s="748">
        <v>13122</v>
      </c>
      <c r="AA19" s="748">
        <v>14195</v>
      </c>
      <c r="AB19" s="748">
        <v>20116</v>
      </c>
      <c r="AC19" s="213">
        <v>26950</v>
      </c>
      <c r="AD19" s="172">
        <v>24166</v>
      </c>
      <c r="AE19" s="209">
        <v>28443</v>
      </c>
      <c r="AF19" s="209">
        <v>25351</v>
      </c>
      <c r="AG19" s="209">
        <v>37680</v>
      </c>
      <c r="AH19" s="728">
        <v>36567</v>
      </c>
      <c r="AI19" s="213">
        <v>31848</v>
      </c>
      <c r="AJ19" s="213">
        <v>24885</v>
      </c>
      <c r="AK19" s="213">
        <v>33368</v>
      </c>
      <c r="AL19" s="88"/>
      <c r="AM19" s="730">
        <f t="shared" si="1"/>
        <v>1728</v>
      </c>
      <c r="AN19" s="730">
        <f t="shared" si="2"/>
        <v>0</v>
      </c>
      <c r="AO19" s="754">
        <f t="shared" si="3"/>
        <v>2480</v>
      </c>
      <c r="AP19" s="742" t="e">
        <f t="shared" si="4"/>
        <v>#DIV/0!</v>
      </c>
      <c r="AQ19" s="724"/>
      <c r="AR19" s="744">
        <f>SUM(AR17:AR18)</f>
        <v>2480</v>
      </c>
      <c r="AS19" s="744"/>
      <c r="AT19" s="744"/>
      <c r="AU19" s="744"/>
      <c r="AV19" s="744"/>
      <c r="AW19" s="744"/>
      <c r="AX19" s="744"/>
      <c r="AY19" s="311"/>
      <c r="AZ19" s="311"/>
      <c r="BA19" s="311"/>
      <c r="BB19" s="725"/>
      <c r="BD19" s="722"/>
      <c r="BG19" s="722"/>
    </row>
    <row r="20" spans="1:59" ht="12.75" customHeight="1" x14ac:dyDescent="0.2">
      <c r="A20" s="8"/>
      <c r="B20" s="731" t="s">
        <v>69</v>
      </c>
      <c r="C20" s="686"/>
      <c r="D20" s="742"/>
      <c r="E20" s="741"/>
      <c r="F20" s="748"/>
      <c r="G20" s="748"/>
      <c r="H20" s="748"/>
      <c r="I20" s="213">
        <v>6</v>
      </c>
      <c r="J20" s="748">
        <v>53</v>
      </c>
      <c r="K20" s="748">
        <v>17</v>
      </c>
      <c r="L20" s="748">
        <v>0</v>
      </c>
      <c r="M20" s="213">
        <v>1</v>
      </c>
      <c r="N20" s="748"/>
      <c r="O20" s="748"/>
      <c r="P20" s="748"/>
      <c r="Q20" s="213"/>
      <c r="R20" s="748">
        <v>5565</v>
      </c>
      <c r="S20" s="748">
        <v>3601</v>
      </c>
      <c r="T20" s="748">
        <v>4817</v>
      </c>
      <c r="U20" s="213">
        <v>3882</v>
      </c>
      <c r="V20" s="748">
        <v>5573</v>
      </c>
      <c r="W20" s="748">
        <v>4015</v>
      </c>
      <c r="X20" s="748">
        <v>4360</v>
      </c>
      <c r="Y20" s="213">
        <v>4246</v>
      </c>
      <c r="Z20" s="748">
        <v>4505</v>
      </c>
      <c r="AA20" s="748">
        <v>3057</v>
      </c>
      <c r="AB20" s="748">
        <v>3477</v>
      </c>
      <c r="AC20" s="213">
        <v>3781</v>
      </c>
      <c r="AD20" s="172">
        <v>4683</v>
      </c>
      <c r="AE20" s="209">
        <v>3272</v>
      </c>
      <c r="AF20" s="209">
        <v>3510</v>
      </c>
      <c r="AG20" s="209">
        <v>4049</v>
      </c>
      <c r="AH20" s="728">
        <v>4303</v>
      </c>
      <c r="AI20" s="213">
        <v>3039</v>
      </c>
      <c r="AJ20" s="213">
        <v>2854</v>
      </c>
      <c r="AK20" s="213">
        <v>3430</v>
      </c>
      <c r="AL20" s="88"/>
      <c r="AM20" s="730">
        <f t="shared" si="1"/>
        <v>18</v>
      </c>
      <c r="AN20" s="730">
        <f t="shared" si="2"/>
        <v>0</v>
      </c>
      <c r="AO20" s="754">
        <f t="shared" si="3"/>
        <v>71</v>
      </c>
      <c r="AP20" s="742" t="e">
        <f t="shared" si="4"/>
        <v>#DIV/0!</v>
      </c>
      <c r="AQ20" s="724"/>
      <c r="AR20" s="744">
        <f t="shared" si="5"/>
        <v>71</v>
      </c>
      <c r="AS20" s="744"/>
      <c r="AT20" s="744"/>
      <c r="AU20" s="744"/>
      <c r="AV20" s="744"/>
      <c r="AW20" s="744"/>
      <c r="AX20" s="744"/>
      <c r="AY20" s="311"/>
      <c r="AZ20" s="311"/>
      <c r="BA20" s="311"/>
      <c r="BB20" s="725"/>
      <c r="BD20" s="722"/>
      <c r="BG20" s="722"/>
    </row>
    <row r="21" spans="1:59" ht="12.75" customHeight="1" x14ac:dyDescent="0.2">
      <c r="A21" s="8"/>
      <c r="B21" s="731" t="s">
        <v>70</v>
      </c>
      <c r="C21" s="686"/>
      <c r="D21" s="742"/>
      <c r="E21" s="741"/>
      <c r="F21" s="748"/>
      <c r="G21" s="748"/>
      <c r="H21" s="748"/>
      <c r="I21" s="213">
        <v>221</v>
      </c>
      <c r="J21" s="748">
        <v>159</v>
      </c>
      <c r="K21" s="748">
        <v>53</v>
      </c>
      <c r="L21" s="748">
        <v>197</v>
      </c>
      <c r="M21" s="213">
        <v>132</v>
      </c>
      <c r="N21" s="748"/>
      <c r="O21" s="748"/>
      <c r="P21" s="748"/>
      <c r="Q21" s="213"/>
      <c r="R21" s="748">
        <v>2253</v>
      </c>
      <c r="S21" s="748">
        <v>2017</v>
      </c>
      <c r="T21" s="748">
        <v>1577</v>
      </c>
      <c r="U21" s="213">
        <v>2224</v>
      </c>
      <c r="V21" s="748">
        <v>2320</v>
      </c>
      <c r="W21" s="748">
        <v>1910</v>
      </c>
      <c r="X21" s="748">
        <v>2120</v>
      </c>
      <c r="Y21" s="213">
        <v>2156</v>
      </c>
      <c r="Z21" s="748">
        <v>1697</v>
      </c>
      <c r="AA21" s="748">
        <v>1856</v>
      </c>
      <c r="AB21" s="748">
        <v>1606</v>
      </c>
      <c r="AC21" s="213">
        <v>1849</v>
      </c>
      <c r="AD21" s="172">
        <v>1694</v>
      </c>
      <c r="AE21" s="209">
        <v>2331</v>
      </c>
      <c r="AF21" s="209">
        <v>2158</v>
      </c>
      <c r="AG21" s="209">
        <v>2399</v>
      </c>
      <c r="AH21" s="728">
        <v>2477</v>
      </c>
      <c r="AI21" s="213">
        <v>2338</v>
      </c>
      <c r="AJ21" s="213">
        <v>2276</v>
      </c>
      <c r="AK21" s="213">
        <v>3066</v>
      </c>
      <c r="AL21" s="88"/>
      <c r="AM21" s="730">
        <f t="shared" si="1"/>
        <v>382</v>
      </c>
      <c r="AN21" s="730">
        <f t="shared" si="2"/>
        <v>0</v>
      </c>
      <c r="AO21" s="754">
        <f t="shared" si="3"/>
        <v>541</v>
      </c>
      <c r="AP21" s="742" t="e">
        <f t="shared" si="4"/>
        <v>#DIV/0!</v>
      </c>
      <c r="AQ21" s="724"/>
      <c r="AR21" s="744">
        <f t="shared" si="5"/>
        <v>541</v>
      </c>
      <c r="AS21" s="744"/>
      <c r="AT21" s="744"/>
      <c r="AU21" s="744"/>
      <c r="AV21" s="744"/>
      <c r="AW21" s="744"/>
      <c r="AX21" s="744"/>
      <c r="AY21" s="311"/>
      <c r="AZ21" s="311"/>
      <c r="BA21" s="311"/>
      <c r="BB21" s="725"/>
      <c r="BD21" s="722"/>
      <c r="BG21" s="722"/>
    </row>
    <row r="22" spans="1:59" ht="12.75" customHeight="1" x14ac:dyDescent="0.2">
      <c r="A22" s="8"/>
      <c r="B22" s="731" t="s">
        <v>71</v>
      </c>
      <c r="C22" s="686"/>
      <c r="D22" s="742"/>
      <c r="E22" s="741"/>
      <c r="F22" s="748"/>
      <c r="G22" s="748"/>
      <c r="H22" s="748"/>
      <c r="I22" s="213">
        <v>-7</v>
      </c>
      <c r="J22" s="748">
        <v>52</v>
      </c>
      <c r="K22" s="748">
        <v>43</v>
      </c>
      <c r="L22" s="748">
        <v>70</v>
      </c>
      <c r="M22" s="213">
        <v>49</v>
      </c>
      <c r="N22" s="748"/>
      <c r="O22" s="748"/>
      <c r="P22" s="748"/>
      <c r="Q22" s="213"/>
      <c r="R22" s="748">
        <v>2030</v>
      </c>
      <c r="S22" s="748">
        <v>1993</v>
      </c>
      <c r="T22" s="748">
        <v>2068</v>
      </c>
      <c r="U22" s="213">
        <v>1948</v>
      </c>
      <c r="V22" s="748">
        <v>2016</v>
      </c>
      <c r="W22" s="748">
        <v>2074</v>
      </c>
      <c r="X22" s="748">
        <v>2075</v>
      </c>
      <c r="Y22" s="213">
        <v>1951</v>
      </c>
      <c r="Z22" s="748">
        <v>1822</v>
      </c>
      <c r="AA22" s="748">
        <v>1632</v>
      </c>
      <c r="AB22" s="748">
        <v>1702</v>
      </c>
      <c r="AC22" s="213">
        <v>1632</v>
      </c>
      <c r="AD22" s="172">
        <v>1630</v>
      </c>
      <c r="AE22" s="209">
        <v>1605</v>
      </c>
      <c r="AF22" s="209">
        <v>1605</v>
      </c>
      <c r="AG22" s="209">
        <v>1535</v>
      </c>
      <c r="AH22" s="728">
        <v>1555</v>
      </c>
      <c r="AI22" s="213">
        <v>1528</v>
      </c>
      <c r="AJ22" s="213">
        <v>1534</v>
      </c>
      <c r="AK22" s="213">
        <v>1536</v>
      </c>
      <c r="AL22" s="88"/>
      <c r="AM22" s="730">
        <f t="shared" si="1"/>
        <v>162</v>
      </c>
      <c r="AN22" s="730">
        <f t="shared" si="2"/>
        <v>0</v>
      </c>
      <c r="AO22" s="754">
        <f t="shared" si="3"/>
        <v>214</v>
      </c>
      <c r="AP22" s="742" t="e">
        <f t="shared" si="4"/>
        <v>#DIV/0!</v>
      </c>
      <c r="AQ22" s="724"/>
      <c r="AR22" s="744">
        <f t="shared" si="5"/>
        <v>214</v>
      </c>
      <c r="AS22" s="744"/>
      <c r="AT22" s="744"/>
      <c r="AU22" s="744"/>
      <c r="AV22" s="744"/>
      <c r="AW22" s="744"/>
      <c r="AX22" s="744"/>
      <c r="AY22" s="311"/>
      <c r="AZ22" s="311"/>
      <c r="BA22" s="311"/>
      <c r="BB22" s="725"/>
      <c r="BD22" s="722"/>
      <c r="BG22" s="722"/>
    </row>
    <row r="23" spans="1:59" ht="12.75" customHeight="1" x14ac:dyDescent="0.2">
      <c r="A23" s="8"/>
      <c r="B23" s="731" t="s">
        <v>72</v>
      </c>
      <c r="C23" s="686"/>
      <c r="D23" s="742"/>
      <c r="E23" s="741"/>
      <c r="F23" s="748"/>
      <c r="G23" s="748"/>
      <c r="H23" s="748"/>
      <c r="I23" s="213">
        <v>70</v>
      </c>
      <c r="J23" s="748">
        <v>23</v>
      </c>
      <c r="K23" s="748">
        <v>44</v>
      </c>
      <c r="L23" s="748">
        <v>30</v>
      </c>
      <c r="M23" s="213">
        <v>36</v>
      </c>
      <c r="N23" s="748"/>
      <c r="O23" s="748"/>
      <c r="P23" s="748"/>
      <c r="Q23" s="213"/>
      <c r="R23" s="748">
        <v>1256</v>
      </c>
      <c r="S23" s="748">
        <v>1264</v>
      </c>
      <c r="T23" s="748">
        <v>1329</v>
      </c>
      <c r="U23" s="213">
        <v>1325</v>
      </c>
      <c r="V23" s="748">
        <v>1426</v>
      </c>
      <c r="W23" s="748">
        <v>1660</v>
      </c>
      <c r="X23" s="748">
        <v>1494</v>
      </c>
      <c r="Y23" s="213">
        <v>1536</v>
      </c>
      <c r="Z23" s="748">
        <v>1630</v>
      </c>
      <c r="AA23" s="748">
        <v>1590</v>
      </c>
      <c r="AB23" s="748">
        <v>1556</v>
      </c>
      <c r="AC23" s="213">
        <v>1639</v>
      </c>
      <c r="AD23" s="172">
        <v>1596</v>
      </c>
      <c r="AE23" s="209">
        <v>1544</v>
      </c>
      <c r="AF23" s="209">
        <v>1573</v>
      </c>
      <c r="AG23" s="209">
        <v>1670</v>
      </c>
      <c r="AH23" s="728">
        <v>1639</v>
      </c>
      <c r="AI23" s="213">
        <v>1526</v>
      </c>
      <c r="AJ23" s="213">
        <v>1571</v>
      </c>
      <c r="AK23" s="213">
        <v>1602</v>
      </c>
      <c r="AL23" s="88"/>
      <c r="AM23" s="730">
        <f t="shared" si="1"/>
        <v>110</v>
      </c>
      <c r="AN23" s="730">
        <f t="shared" si="2"/>
        <v>0</v>
      </c>
      <c r="AO23" s="754">
        <f t="shared" si="3"/>
        <v>133</v>
      </c>
      <c r="AP23" s="742" t="e">
        <f t="shared" si="4"/>
        <v>#DIV/0!</v>
      </c>
      <c r="AQ23" s="724"/>
      <c r="AR23" s="744">
        <f t="shared" si="5"/>
        <v>133</v>
      </c>
      <c r="AS23" s="744"/>
      <c r="AT23" s="744"/>
      <c r="AU23" s="744"/>
      <c r="AV23" s="744"/>
      <c r="AW23" s="744"/>
      <c r="AX23" s="744"/>
      <c r="AY23" s="311"/>
      <c r="AZ23" s="311"/>
      <c r="BA23" s="311"/>
      <c r="BB23" s="725"/>
      <c r="BD23" s="722"/>
      <c r="BG23" s="722"/>
    </row>
    <row r="24" spans="1:59" ht="12.75" customHeight="1" x14ac:dyDescent="0.2">
      <c r="A24" s="8"/>
      <c r="B24" s="731" t="s">
        <v>67</v>
      </c>
      <c r="C24" s="686"/>
      <c r="D24" s="742"/>
      <c r="E24" s="741"/>
      <c r="F24" s="748"/>
      <c r="G24" s="748"/>
      <c r="H24" s="748"/>
      <c r="I24" s="213">
        <v>2</v>
      </c>
      <c r="J24" s="748">
        <v>2</v>
      </c>
      <c r="K24" s="748">
        <v>2</v>
      </c>
      <c r="L24" s="748">
        <v>2</v>
      </c>
      <c r="M24" s="213">
        <v>4</v>
      </c>
      <c r="N24" s="748"/>
      <c r="O24" s="748"/>
      <c r="P24" s="748"/>
      <c r="Q24" s="213"/>
      <c r="R24" s="748">
        <v>90</v>
      </c>
      <c r="S24" s="748">
        <v>97</v>
      </c>
      <c r="T24" s="748">
        <v>63</v>
      </c>
      <c r="U24" s="213">
        <v>58</v>
      </c>
      <c r="V24" s="748">
        <v>44</v>
      </c>
      <c r="W24" s="748">
        <v>51</v>
      </c>
      <c r="X24" s="748">
        <v>104</v>
      </c>
      <c r="Y24" s="213">
        <v>243</v>
      </c>
      <c r="Z24" s="748">
        <v>671</v>
      </c>
      <c r="AA24" s="748">
        <v>1758</v>
      </c>
      <c r="AB24" s="748">
        <v>2459</v>
      </c>
      <c r="AC24" s="213">
        <v>2915</v>
      </c>
      <c r="AD24" s="172">
        <v>4124</v>
      </c>
      <c r="AE24" s="209">
        <v>5305</v>
      </c>
      <c r="AF24" s="209">
        <v>5435</v>
      </c>
      <c r="AG24" s="209">
        <v>5060</v>
      </c>
      <c r="AH24" s="728">
        <v>4659</v>
      </c>
      <c r="AI24" s="213">
        <v>4412</v>
      </c>
      <c r="AJ24" s="213">
        <v>4434</v>
      </c>
      <c r="AK24" s="213">
        <v>4246</v>
      </c>
      <c r="AL24" s="88"/>
      <c r="AM24" s="730">
        <f t="shared" si="1"/>
        <v>8</v>
      </c>
      <c r="AN24" s="730">
        <f t="shared" si="2"/>
        <v>0</v>
      </c>
      <c r="AO24" s="754">
        <f t="shared" si="3"/>
        <v>10</v>
      </c>
      <c r="AP24" s="742" t="e">
        <f t="shared" si="4"/>
        <v>#DIV/0!</v>
      </c>
      <c r="AQ24" s="724"/>
      <c r="AR24" s="744">
        <f t="shared" si="5"/>
        <v>10</v>
      </c>
      <c r="AS24" s="744"/>
      <c r="AT24" s="744"/>
      <c r="AU24" s="744"/>
      <c r="AV24" s="744"/>
      <c r="AW24" s="744"/>
      <c r="AX24" s="744"/>
      <c r="AY24" s="311"/>
      <c r="AZ24" s="311"/>
      <c r="BA24" s="311"/>
      <c r="BB24" s="725"/>
      <c r="BD24" s="722"/>
      <c r="BG24" s="722"/>
    </row>
    <row r="25" spans="1:59" ht="12.75" customHeight="1" x14ac:dyDescent="0.2">
      <c r="A25" s="8"/>
      <c r="B25" s="731" t="s">
        <v>95</v>
      </c>
      <c r="C25" s="686"/>
      <c r="D25" s="742"/>
      <c r="E25" s="741"/>
      <c r="F25" s="748"/>
      <c r="G25" s="748"/>
      <c r="H25" s="748"/>
      <c r="I25" s="213">
        <v>104</v>
      </c>
      <c r="J25" s="748">
        <v>78</v>
      </c>
      <c r="K25" s="748">
        <v>143</v>
      </c>
      <c r="L25" s="748">
        <v>180</v>
      </c>
      <c r="M25" s="213">
        <v>128</v>
      </c>
      <c r="N25" s="748"/>
      <c r="O25" s="748"/>
      <c r="P25" s="748"/>
      <c r="Q25" s="213"/>
      <c r="R25" s="748">
        <v>4728</v>
      </c>
      <c r="S25" s="748">
        <v>4268</v>
      </c>
      <c r="T25" s="748">
        <v>4186</v>
      </c>
      <c r="U25" s="213">
        <v>3730</v>
      </c>
      <c r="V25" s="748">
        <v>6030</v>
      </c>
      <c r="W25" s="748">
        <v>4108</v>
      </c>
      <c r="X25" s="748">
        <v>2461</v>
      </c>
      <c r="Y25" s="213">
        <v>3886</v>
      </c>
      <c r="Z25" s="748">
        <v>2268</v>
      </c>
      <c r="AA25" s="748">
        <v>7826</v>
      </c>
      <c r="AB25" s="748">
        <v>3206</v>
      </c>
      <c r="AC25" s="213">
        <v>3942</v>
      </c>
      <c r="AD25" s="172">
        <v>3477</v>
      </c>
      <c r="AE25" s="209">
        <v>3587</v>
      </c>
      <c r="AF25" s="209">
        <v>2594</v>
      </c>
      <c r="AG25" s="209">
        <v>2953</v>
      </c>
      <c r="AH25" s="728">
        <v>2341</v>
      </c>
      <c r="AI25" s="213">
        <v>3444</v>
      </c>
      <c r="AJ25" s="213">
        <v>1855</v>
      </c>
      <c r="AK25" s="213">
        <v>6038</v>
      </c>
      <c r="AL25" s="88"/>
      <c r="AM25" s="730">
        <f t="shared" si="1"/>
        <v>451</v>
      </c>
      <c r="AN25" s="730">
        <f t="shared" si="2"/>
        <v>0</v>
      </c>
      <c r="AO25" s="754">
        <f t="shared" si="3"/>
        <v>529</v>
      </c>
      <c r="AP25" s="742" t="e">
        <f t="shared" si="4"/>
        <v>#DIV/0!</v>
      </c>
      <c r="AQ25" s="724"/>
      <c r="AR25" s="744">
        <f t="shared" si="5"/>
        <v>529</v>
      </c>
      <c r="AS25" s="744"/>
      <c r="AT25" s="744"/>
      <c r="AU25" s="744"/>
      <c r="AV25" s="744"/>
      <c r="AW25" s="744"/>
      <c r="AX25" s="744"/>
      <c r="AY25" s="311"/>
      <c r="AZ25" s="311"/>
      <c r="BA25" s="311"/>
      <c r="BB25" s="725"/>
      <c r="BD25" s="722"/>
      <c r="BE25" s="722"/>
      <c r="BF25" s="722"/>
      <c r="BG25" s="722"/>
    </row>
    <row r="26" spans="1:59" ht="12.75" customHeight="1" x14ac:dyDescent="0.2">
      <c r="A26" s="8"/>
      <c r="B26" s="731" t="s">
        <v>74</v>
      </c>
      <c r="C26" s="686"/>
      <c r="D26" s="742"/>
      <c r="E26" s="741"/>
      <c r="F26" s="748"/>
      <c r="G26" s="748"/>
      <c r="H26" s="748"/>
      <c r="I26" s="213">
        <v>127</v>
      </c>
      <c r="J26" s="748">
        <v>37</v>
      </c>
      <c r="K26" s="748">
        <v>44</v>
      </c>
      <c r="L26" s="748">
        <v>42</v>
      </c>
      <c r="M26" s="213">
        <v>47</v>
      </c>
      <c r="N26" s="748"/>
      <c r="O26" s="748"/>
      <c r="P26" s="748"/>
      <c r="Q26" s="213"/>
      <c r="R26" s="748">
        <v>632</v>
      </c>
      <c r="S26" s="748">
        <v>596</v>
      </c>
      <c r="T26" s="748">
        <v>575</v>
      </c>
      <c r="U26" s="213">
        <v>619</v>
      </c>
      <c r="V26" s="748">
        <v>649</v>
      </c>
      <c r="W26" s="748">
        <v>637</v>
      </c>
      <c r="X26" s="748">
        <v>618</v>
      </c>
      <c r="Y26" s="213">
        <v>602</v>
      </c>
      <c r="Z26" s="748">
        <v>655</v>
      </c>
      <c r="AA26" s="748">
        <v>463</v>
      </c>
      <c r="AB26" s="748">
        <v>411</v>
      </c>
      <c r="AC26" s="213">
        <v>409</v>
      </c>
      <c r="AD26" s="172">
        <v>436</v>
      </c>
      <c r="AE26" s="209">
        <v>495</v>
      </c>
      <c r="AF26" s="209">
        <v>472</v>
      </c>
      <c r="AG26" s="209">
        <v>430</v>
      </c>
      <c r="AH26" s="728">
        <v>438</v>
      </c>
      <c r="AI26" s="213">
        <v>380</v>
      </c>
      <c r="AJ26" s="213">
        <v>420</v>
      </c>
      <c r="AK26" s="213">
        <v>410</v>
      </c>
      <c r="AL26" s="88"/>
      <c r="AM26" s="730">
        <f t="shared" si="1"/>
        <v>133</v>
      </c>
      <c r="AN26" s="730">
        <f t="shared" si="2"/>
        <v>0</v>
      </c>
      <c r="AO26" s="754">
        <f t="shared" si="3"/>
        <v>170</v>
      </c>
      <c r="AP26" s="742" t="e">
        <f t="shared" si="4"/>
        <v>#DIV/0!</v>
      </c>
      <c r="AQ26" s="724"/>
      <c r="AR26" s="744">
        <f t="shared" si="5"/>
        <v>170</v>
      </c>
      <c r="AS26" s="744"/>
      <c r="AT26" s="744"/>
      <c r="AU26" s="744"/>
      <c r="AV26" s="744"/>
      <c r="AW26" s="744"/>
      <c r="AX26" s="744"/>
      <c r="AY26" s="311"/>
      <c r="AZ26" s="311"/>
      <c r="BA26" s="311"/>
      <c r="BB26" s="725"/>
      <c r="BD26" s="722"/>
      <c r="BE26" s="722"/>
      <c r="BF26" s="722"/>
      <c r="BG26" s="722"/>
    </row>
    <row r="27" spans="1:59" ht="12.75" customHeight="1" x14ac:dyDescent="0.2">
      <c r="A27" s="7"/>
      <c r="B27" s="731" t="s">
        <v>75</v>
      </c>
      <c r="C27" s="686"/>
      <c r="D27" s="742"/>
      <c r="E27" s="741"/>
      <c r="F27" s="748"/>
      <c r="G27" s="748"/>
      <c r="H27" s="748"/>
      <c r="I27" s="213">
        <v>127</v>
      </c>
      <c r="J27" s="730">
        <v>0</v>
      </c>
      <c r="K27" s="730">
        <v>0</v>
      </c>
      <c r="L27" s="748">
        <v>0</v>
      </c>
      <c r="M27" s="213">
        <v>0</v>
      </c>
      <c r="N27" s="748"/>
      <c r="O27" s="748"/>
      <c r="P27" s="748"/>
      <c r="Q27" s="213"/>
      <c r="R27" s="748">
        <v>2125</v>
      </c>
      <c r="S27" s="748">
        <v>2275</v>
      </c>
      <c r="T27" s="748">
        <v>2425</v>
      </c>
      <c r="U27" s="213">
        <v>2433</v>
      </c>
      <c r="V27" s="748">
        <v>2574</v>
      </c>
      <c r="W27" s="748">
        <v>3216</v>
      </c>
      <c r="X27" s="748">
        <v>2613</v>
      </c>
      <c r="Y27" s="213">
        <v>1905</v>
      </c>
      <c r="Z27" s="748">
        <v>2597</v>
      </c>
      <c r="AA27" s="748">
        <v>2312</v>
      </c>
      <c r="AB27" s="748">
        <v>1378</v>
      </c>
      <c r="AC27" s="213">
        <v>1566</v>
      </c>
      <c r="AD27" s="172">
        <v>1897</v>
      </c>
      <c r="AE27" s="209">
        <v>1550</v>
      </c>
      <c r="AF27" s="209">
        <v>1341</v>
      </c>
      <c r="AG27" s="209">
        <v>1372</v>
      </c>
      <c r="AH27" s="728">
        <v>1370</v>
      </c>
      <c r="AI27" s="213">
        <v>1663</v>
      </c>
      <c r="AJ27" s="213">
        <v>1517</v>
      </c>
      <c r="AK27" s="213">
        <v>1521</v>
      </c>
      <c r="AL27" s="88"/>
      <c r="AM27" s="730">
        <f t="shared" si="1"/>
        <v>0</v>
      </c>
      <c r="AN27" s="730">
        <f t="shared" si="2"/>
        <v>0</v>
      </c>
      <c r="AO27" s="754">
        <f t="shared" si="3"/>
        <v>0</v>
      </c>
      <c r="AP27" s="742" t="e">
        <f t="shared" si="4"/>
        <v>#DIV/0!</v>
      </c>
      <c r="AQ27" s="724"/>
      <c r="AR27" s="744">
        <f t="shared" si="5"/>
        <v>0</v>
      </c>
      <c r="AS27" s="744"/>
      <c r="AT27" s="744"/>
      <c r="AU27" s="744"/>
      <c r="AV27" s="744"/>
      <c r="AW27" s="744"/>
      <c r="AX27" s="744"/>
      <c r="AY27" s="311"/>
      <c r="AZ27" s="311"/>
      <c r="BA27" s="311"/>
      <c r="BB27" s="725"/>
      <c r="BD27" s="722"/>
      <c r="BE27" s="722"/>
      <c r="BF27" s="722"/>
      <c r="BG27" s="722"/>
    </row>
    <row r="28" spans="1:59" ht="12.75" customHeight="1" x14ac:dyDescent="0.2">
      <c r="A28" s="7"/>
      <c r="B28" s="7" t="s">
        <v>169</v>
      </c>
      <c r="C28" s="686"/>
      <c r="D28" s="517"/>
      <c r="E28" s="741"/>
      <c r="F28" s="730"/>
      <c r="G28" s="730"/>
      <c r="H28" s="730"/>
      <c r="I28" s="166">
        <v>0</v>
      </c>
      <c r="J28" s="730">
        <v>0</v>
      </c>
      <c r="K28" s="730">
        <v>0</v>
      </c>
      <c r="L28" s="730">
        <v>0</v>
      </c>
      <c r="M28" s="166">
        <v>0</v>
      </c>
      <c r="N28" s="730"/>
      <c r="O28" s="730"/>
      <c r="P28" s="730"/>
      <c r="Q28" s="166"/>
      <c r="R28" s="730">
        <v>0</v>
      </c>
      <c r="S28" s="730">
        <v>0</v>
      </c>
      <c r="T28" s="730">
        <v>0</v>
      </c>
      <c r="U28" s="166">
        <v>0</v>
      </c>
      <c r="V28" s="730">
        <v>0</v>
      </c>
      <c r="W28" s="730">
        <v>0</v>
      </c>
      <c r="X28" s="730">
        <v>0</v>
      </c>
      <c r="Y28" s="166">
        <v>0</v>
      </c>
      <c r="Z28" s="730">
        <v>0</v>
      </c>
      <c r="AA28" s="730">
        <v>5347</v>
      </c>
      <c r="AB28" s="730">
        <v>0</v>
      </c>
      <c r="AC28" s="742">
        <v>0</v>
      </c>
      <c r="AD28" s="173">
        <v>54200</v>
      </c>
      <c r="AE28" s="730">
        <v>0</v>
      </c>
      <c r="AF28" s="730">
        <v>0</v>
      </c>
      <c r="AG28" s="166">
        <v>0</v>
      </c>
      <c r="AH28" s="616">
        <v>0</v>
      </c>
      <c r="AI28" s="166">
        <v>0</v>
      </c>
      <c r="AJ28" s="166">
        <v>0</v>
      </c>
      <c r="AK28" s="166">
        <v>0</v>
      </c>
      <c r="AL28" s="88"/>
      <c r="AM28" s="730">
        <f t="shared" si="1"/>
        <v>0</v>
      </c>
      <c r="AN28" s="730">
        <f t="shared" si="2"/>
        <v>0</v>
      </c>
      <c r="AO28" s="754">
        <f t="shared" si="3"/>
        <v>0</v>
      </c>
      <c r="AP28" s="742" t="e">
        <f t="shared" si="4"/>
        <v>#DIV/0!</v>
      </c>
      <c r="AQ28" s="724"/>
      <c r="AR28" s="744">
        <f t="shared" si="5"/>
        <v>0</v>
      </c>
      <c r="AS28" s="617"/>
      <c r="AT28" s="617"/>
      <c r="AU28" s="617"/>
      <c r="AV28" s="744"/>
      <c r="AW28" s="617"/>
      <c r="AX28" s="617"/>
      <c r="AY28" s="311"/>
      <c r="AZ28" s="311"/>
      <c r="BA28" s="311"/>
      <c r="BB28" s="725"/>
      <c r="BD28" s="211"/>
      <c r="BE28" s="211"/>
      <c r="BF28" s="722"/>
      <c r="BG28" s="722"/>
    </row>
    <row r="29" spans="1:59" ht="12.75" customHeight="1" x14ac:dyDescent="0.2">
      <c r="A29" s="7"/>
      <c r="B29" s="7" t="s">
        <v>190</v>
      </c>
      <c r="C29" s="686"/>
      <c r="D29" s="517"/>
      <c r="E29" s="741"/>
      <c r="F29" s="730"/>
      <c r="G29" s="730"/>
      <c r="H29" s="730"/>
      <c r="I29" s="166">
        <v>0</v>
      </c>
      <c r="J29" s="730">
        <v>0</v>
      </c>
      <c r="K29" s="730">
        <v>0</v>
      </c>
      <c r="L29" s="730">
        <v>0</v>
      </c>
      <c r="M29" s="166">
        <v>0</v>
      </c>
      <c r="N29" s="730"/>
      <c r="O29" s="730"/>
      <c r="P29" s="730"/>
      <c r="Q29" s="166"/>
      <c r="R29" s="730">
        <v>0</v>
      </c>
      <c r="S29" s="730">
        <v>0</v>
      </c>
      <c r="T29" s="730">
        <v>0</v>
      </c>
      <c r="U29" s="166">
        <v>0</v>
      </c>
      <c r="V29" s="730"/>
      <c r="W29" s="730"/>
      <c r="X29" s="730"/>
      <c r="Y29" s="166"/>
      <c r="Z29" s="730"/>
      <c r="AA29" s="730"/>
      <c r="AB29" s="730"/>
      <c r="AC29" s="742"/>
      <c r="AD29" s="730"/>
      <c r="AE29" s="730"/>
      <c r="AF29" s="730"/>
      <c r="AG29" s="730"/>
      <c r="AH29" s="616"/>
      <c r="AI29" s="166"/>
      <c r="AJ29" s="166"/>
      <c r="AK29" s="166"/>
      <c r="AL29" s="88"/>
      <c r="AM29" s="730">
        <f t="shared" si="1"/>
        <v>0</v>
      </c>
      <c r="AN29" s="730">
        <f t="shared" si="2"/>
        <v>0</v>
      </c>
      <c r="AO29" s="754">
        <f>AR29-AS29</f>
        <v>0</v>
      </c>
      <c r="AP29" s="742">
        <v>0</v>
      </c>
      <c r="AQ29" s="724"/>
      <c r="AR29" s="617">
        <f t="shared" si="5"/>
        <v>0</v>
      </c>
      <c r="AS29" s="617"/>
      <c r="AT29" s="617"/>
      <c r="AU29" s="617"/>
      <c r="AV29" s="617"/>
      <c r="AW29" s="617"/>
      <c r="AX29" s="617"/>
      <c r="AY29" s="311"/>
      <c r="AZ29" s="311"/>
      <c r="BA29" s="311"/>
      <c r="BB29" s="725"/>
      <c r="BD29" s="211"/>
      <c r="BE29" s="211"/>
      <c r="BF29" s="722"/>
      <c r="BG29" s="722"/>
    </row>
    <row r="30" spans="1:59" ht="12.75" customHeight="1" x14ac:dyDescent="0.2">
      <c r="A30" s="8"/>
      <c r="B30" s="726" t="s">
        <v>168</v>
      </c>
      <c r="C30" s="686"/>
      <c r="D30" s="517"/>
      <c r="E30" s="741"/>
      <c r="F30" s="730"/>
      <c r="G30" s="730"/>
      <c r="H30" s="730"/>
      <c r="I30" s="403">
        <v>0</v>
      </c>
      <c r="J30" s="730">
        <v>0</v>
      </c>
      <c r="K30" s="730">
        <v>0</v>
      </c>
      <c r="L30" s="730">
        <v>0</v>
      </c>
      <c r="M30" s="403">
        <v>0</v>
      </c>
      <c r="N30" s="730"/>
      <c r="O30" s="730"/>
      <c r="P30" s="730"/>
      <c r="Q30" s="403"/>
      <c r="R30" s="730">
        <v>0</v>
      </c>
      <c r="S30" s="730">
        <v>0</v>
      </c>
      <c r="T30" s="730">
        <v>0</v>
      </c>
      <c r="U30" s="403">
        <v>0</v>
      </c>
      <c r="V30" s="730">
        <v>0</v>
      </c>
      <c r="W30" s="730">
        <v>0</v>
      </c>
      <c r="X30" s="730">
        <v>0</v>
      </c>
      <c r="Y30" s="403">
        <v>0</v>
      </c>
      <c r="Z30" s="730">
        <v>0</v>
      </c>
      <c r="AA30" s="748">
        <v>180</v>
      </c>
      <c r="AB30" s="730">
        <v>0</v>
      </c>
      <c r="AC30" s="742">
        <v>0</v>
      </c>
      <c r="AD30" s="730">
        <v>700</v>
      </c>
      <c r="AE30" s="730">
        <v>0</v>
      </c>
      <c r="AF30" s="730">
        <v>0</v>
      </c>
      <c r="AG30" s="730">
        <v>0</v>
      </c>
      <c r="AH30" s="616">
        <v>0</v>
      </c>
      <c r="AI30" s="166">
        <v>0</v>
      </c>
      <c r="AJ30" s="166">
        <v>0</v>
      </c>
      <c r="AK30" s="166">
        <v>0</v>
      </c>
      <c r="AL30" s="88"/>
      <c r="AM30" s="730">
        <f t="shared" si="1"/>
        <v>0</v>
      </c>
      <c r="AN30" s="730">
        <f t="shared" si="2"/>
        <v>0</v>
      </c>
      <c r="AO30" s="754">
        <v>0</v>
      </c>
      <c r="AP30" s="742">
        <v>0</v>
      </c>
      <c r="AQ30" s="724"/>
      <c r="AR30" s="617">
        <f t="shared" si="5"/>
        <v>0</v>
      </c>
      <c r="AS30" s="617"/>
      <c r="AT30" s="617"/>
      <c r="AU30" s="617"/>
      <c r="AV30" s="617"/>
      <c r="AW30" s="617"/>
      <c r="AX30" s="617"/>
      <c r="AY30" s="311"/>
      <c r="AZ30" s="311"/>
      <c r="BA30" s="311"/>
      <c r="BB30" s="725"/>
      <c r="BD30" s="722"/>
      <c r="BE30" s="722"/>
      <c r="BF30" s="722"/>
      <c r="BG30" s="722"/>
    </row>
    <row r="31" spans="1:59" ht="12.75" customHeight="1" x14ac:dyDescent="0.2">
      <c r="A31" s="8"/>
      <c r="C31" s="167"/>
      <c r="D31" s="168"/>
      <c r="E31" s="741"/>
      <c r="F31" s="406">
        <f>SUM(F19:F30)</f>
        <v>0</v>
      </c>
      <c r="G31" s="406">
        <f>SUM(G19:G30)</f>
        <v>0</v>
      </c>
      <c r="H31" s="406">
        <f>SUM(H19:H30)</f>
        <v>0</v>
      </c>
      <c r="I31" s="218">
        <f>SUM(I19:I30)</f>
        <v>1331</v>
      </c>
      <c r="J31" s="406">
        <f t="shared" ref="J31:U31" si="7">SUM(J19:J30)</f>
        <v>1156</v>
      </c>
      <c r="K31" s="406">
        <f t="shared" si="7"/>
        <v>1172</v>
      </c>
      <c r="L31" s="406">
        <f t="shared" si="7"/>
        <v>853</v>
      </c>
      <c r="M31" s="218">
        <f t="shared" si="7"/>
        <v>967</v>
      </c>
      <c r="N31" s="406"/>
      <c r="O31" s="406"/>
      <c r="P31" s="406"/>
      <c r="Q31" s="218"/>
      <c r="R31" s="406">
        <f t="shared" si="7"/>
        <v>54200</v>
      </c>
      <c r="S31" s="406">
        <f t="shared" si="7"/>
        <v>52012</v>
      </c>
      <c r="T31" s="406">
        <f t="shared" si="7"/>
        <v>38601</v>
      </c>
      <c r="U31" s="218">
        <f t="shared" si="7"/>
        <v>39500</v>
      </c>
      <c r="V31" s="406">
        <v>46835</v>
      </c>
      <c r="W31" s="406">
        <v>42047</v>
      </c>
      <c r="X31" s="406">
        <v>35213</v>
      </c>
      <c r="Y31" s="218">
        <v>35168</v>
      </c>
      <c r="Z31" s="406">
        <v>28967</v>
      </c>
      <c r="AA31" s="406">
        <v>40216</v>
      </c>
      <c r="AB31" s="406">
        <v>35911</v>
      </c>
      <c r="AC31" s="218">
        <v>44683</v>
      </c>
      <c r="AD31" s="176">
        <v>98603</v>
      </c>
      <c r="AE31" s="217">
        <v>48132</v>
      </c>
      <c r="AF31" s="217">
        <v>44039</v>
      </c>
      <c r="AG31" s="217">
        <v>57148</v>
      </c>
      <c r="AH31" s="169">
        <v>55349</v>
      </c>
      <c r="AI31" s="218">
        <v>50178</v>
      </c>
      <c r="AJ31" s="218">
        <v>41346</v>
      </c>
      <c r="AK31" s="218">
        <v>55217</v>
      </c>
      <c r="AL31" s="88"/>
      <c r="AM31" s="818">
        <f>SUM(AM19:AM30)</f>
        <v>2992</v>
      </c>
      <c r="AN31" s="818">
        <f>SUM(AN19:AN30)</f>
        <v>0</v>
      </c>
      <c r="AO31" s="336">
        <f>AR31-AS31</f>
        <v>4148</v>
      </c>
      <c r="AP31" s="472" t="e">
        <f>IF(OR((AO31/AS31)&gt;3,(AO31/AS31)&lt;-3),"n.m.",(AO31/AS31))</f>
        <v>#DIV/0!</v>
      </c>
      <c r="AQ31" s="88"/>
      <c r="AR31" s="218">
        <f>SUM(AR19:AR30)</f>
        <v>4148</v>
      </c>
      <c r="AS31" s="218"/>
      <c r="AT31" s="218"/>
      <c r="AU31" s="246"/>
      <c r="AV31" s="199"/>
      <c r="AW31" s="199"/>
      <c r="AX31" s="199"/>
      <c r="AY31" s="312"/>
      <c r="AZ31" s="312"/>
      <c r="BA31" s="312"/>
      <c r="BB31" s="725"/>
      <c r="BD31" s="722"/>
      <c r="BE31" s="722"/>
      <c r="BF31" s="722"/>
      <c r="BG31" s="722"/>
    </row>
    <row r="32" spans="1:59" s="95" customFormat="1" ht="24.75" customHeight="1" thickBot="1" x14ac:dyDescent="0.25">
      <c r="A32" s="1485" t="s">
        <v>221</v>
      </c>
      <c r="B32" s="1486"/>
      <c r="C32" s="686"/>
      <c r="D32" s="470"/>
      <c r="E32" s="741"/>
      <c r="F32" s="209">
        <f t="shared" ref="F32:L32" si="8">+F15-F31</f>
        <v>0</v>
      </c>
      <c r="G32" s="209">
        <f t="shared" si="8"/>
        <v>0</v>
      </c>
      <c r="H32" s="209">
        <f t="shared" si="8"/>
        <v>0</v>
      </c>
      <c r="I32" s="222">
        <f t="shared" si="8"/>
        <v>-576</v>
      </c>
      <c r="J32" s="176">
        <f t="shared" si="8"/>
        <v>142</v>
      </c>
      <c r="K32" s="217">
        <f t="shared" si="8"/>
        <v>-994</v>
      </c>
      <c r="L32" s="217">
        <f t="shared" si="8"/>
        <v>300</v>
      </c>
      <c r="M32" s="218">
        <f>M15-M31</f>
        <v>-123</v>
      </c>
      <c r="N32" s="176"/>
      <c r="O32" s="217"/>
      <c r="P32" s="217"/>
      <c r="Q32" s="218"/>
      <c r="R32" s="341">
        <f>R15-R31</f>
        <v>18504</v>
      </c>
      <c r="S32" s="341">
        <f>S15-S31</f>
        <v>16587</v>
      </c>
      <c r="T32" s="209">
        <f>T15-T31</f>
        <v>5938</v>
      </c>
      <c r="U32" s="222">
        <f>U15-U31</f>
        <v>7707</v>
      </c>
      <c r="V32" s="209">
        <v>8155</v>
      </c>
      <c r="W32" s="341">
        <v>9686</v>
      </c>
      <c r="X32" s="209">
        <v>4925</v>
      </c>
      <c r="Y32" s="222">
        <v>5017</v>
      </c>
      <c r="Z32" s="341">
        <v>8288</v>
      </c>
      <c r="AA32" s="341">
        <v>-6684</v>
      </c>
      <c r="AB32" s="341">
        <v>7933</v>
      </c>
      <c r="AC32" s="222">
        <v>13170</v>
      </c>
      <c r="AD32" s="223">
        <v>-44140</v>
      </c>
      <c r="AE32" s="218">
        <v>13034</v>
      </c>
      <c r="AF32" s="218">
        <v>13376</v>
      </c>
      <c r="AG32" s="217">
        <v>18935</v>
      </c>
      <c r="AH32" s="217">
        <v>20527</v>
      </c>
      <c r="AI32" s="217">
        <v>18653</v>
      </c>
      <c r="AJ32" s="217">
        <v>14280</v>
      </c>
      <c r="AK32" s="217">
        <v>17069</v>
      </c>
      <c r="AL32" s="88"/>
      <c r="AM32" s="754">
        <f>AM15-AM31</f>
        <v>-817</v>
      </c>
      <c r="AN32" s="754">
        <f>AN15-AN31</f>
        <v>0</v>
      </c>
      <c r="AO32" s="328">
        <f>AR32-AS32</f>
        <v>-675</v>
      </c>
      <c r="AP32" s="489" t="e">
        <f>IF(OR((AO32/AS32)&gt;3,(AO32/AS32)&lt;-3),"n.m.",(AO32/AS32))</f>
        <v>#DIV/0!</v>
      </c>
      <c r="AQ32" s="88"/>
      <c r="AR32" s="169">
        <f>AR15-AR31</f>
        <v>-675</v>
      </c>
      <c r="AS32" s="169"/>
      <c r="AT32" s="169"/>
      <c r="AU32" s="199"/>
      <c r="AV32" s="199"/>
      <c r="AW32" s="233"/>
      <c r="AX32" s="233"/>
      <c r="AY32" s="307"/>
      <c r="AZ32" s="307"/>
      <c r="BA32" s="313"/>
      <c r="BB32" s="725"/>
      <c r="BD32" s="207"/>
      <c r="BE32" s="207"/>
      <c r="BF32" s="207"/>
      <c r="BG32" s="207"/>
    </row>
    <row r="33" spans="1:59" s="207" customFormat="1" ht="12.75" hidden="1" customHeight="1" outlineLevel="1" thickTop="1" x14ac:dyDescent="0.2">
      <c r="A33" s="891"/>
      <c r="B33" s="895" t="s">
        <v>370</v>
      </c>
      <c r="C33" s="469"/>
      <c r="D33" s="884"/>
      <c r="E33" s="741"/>
      <c r="F33" s="478"/>
      <c r="G33" s="232"/>
      <c r="H33" s="232"/>
      <c r="I33" s="923">
        <v>4420</v>
      </c>
      <c r="J33" s="828">
        <v>5251</v>
      </c>
      <c r="K33" s="828">
        <v>5647</v>
      </c>
      <c r="L33" s="828">
        <v>6215</v>
      </c>
      <c r="M33" s="829">
        <v>6579</v>
      </c>
      <c r="N33" s="828"/>
      <c r="O33" s="828"/>
      <c r="P33" s="828"/>
      <c r="Q33" s="829"/>
      <c r="R33" s="232"/>
      <c r="S33" s="232"/>
      <c r="T33" s="232"/>
      <c r="U33" s="233"/>
      <c r="V33" s="232"/>
      <c r="W33" s="232"/>
      <c r="X33" s="232"/>
      <c r="Y33" s="233"/>
      <c r="Z33" s="888"/>
      <c r="AA33" s="885"/>
      <c r="AB33" s="885"/>
      <c r="AC33" s="886"/>
      <c r="AD33" s="885"/>
      <c r="AE33" s="745"/>
      <c r="AF33" s="746"/>
      <c r="AG33" s="745"/>
      <c r="AH33" s="745"/>
      <c r="AI33" s="745"/>
      <c r="AJ33" s="745"/>
      <c r="AK33" s="745"/>
      <c r="AL33" s="200"/>
      <c r="AM33" s="536"/>
      <c r="AN33" s="232"/>
      <c r="AO33" s="251"/>
      <c r="AP33" s="470"/>
      <c r="AQ33" s="240"/>
      <c r="AR33" s="270">
        <f>SUM(J33:M33)</f>
        <v>23692</v>
      </c>
      <c r="AS33" s="898"/>
      <c r="AT33" s="897"/>
      <c r="AU33" s="907"/>
      <c r="AV33" s="474"/>
      <c r="AW33" s="886"/>
      <c r="AX33" s="886"/>
      <c r="AY33" s="887"/>
      <c r="AZ33" s="887"/>
      <c r="BA33" s="251"/>
      <c r="BB33" s="493"/>
      <c r="BC33" s="493"/>
      <c r="BD33" s="493"/>
      <c r="BE33" s="493"/>
    </row>
    <row r="34" spans="1:59" s="207" customFormat="1" ht="12.75" hidden="1" customHeight="1" outlineLevel="1" x14ac:dyDescent="0.2">
      <c r="A34" s="891"/>
      <c r="B34" s="895" t="s">
        <v>371</v>
      </c>
      <c r="C34" s="686"/>
      <c r="D34" s="742"/>
      <c r="E34" s="741"/>
      <c r="F34" s="732"/>
      <c r="G34" s="745"/>
      <c r="H34" s="745"/>
      <c r="I34" s="829">
        <v>-223</v>
      </c>
      <c r="J34" s="828">
        <v>0</v>
      </c>
      <c r="K34" s="828">
        <v>0</v>
      </c>
      <c r="L34" s="828">
        <v>0</v>
      </c>
      <c r="M34" s="829">
        <v>0</v>
      </c>
      <c r="N34" s="828"/>
      <c r="O34" s="828"/>
      <c r="P34" s="828"/>
      <c r="Q34" s="829"/>
      <c r="R34" s="745"/>
      <c r="S34" s="745"/>
      <c r="T34" s="745"/>
      <c r="U34" s="746"/>
      <c r="V34" s="745"/>
      <c r="W34" s="745"/>
      <c r="X34" s="745"/>
      <c r="Y34" s="746"/>
      <c r="Z34" s="892"/>
      <c r="AA34" s="473"/>
      <c r="AB34" s="473"/>
      <c r="AC34" s="474"/>
      <c r="AD34" s="473"/>
      <c r="AE34" s="745"/>
      <c r="AF34" s="746"/>
      <c r="AG34" s="745"/>
      <c r="AH34" s="745"/>
      <c r="AI34" s="745"/>
      <c r="AJ34" s="745"/>
      <c r="AK34" s="745"/>
      <c r="AL34" s="200"/>
      <c r="AM34" s="536"/>
      <c r="AN34" s="745"/>
      <c r="AO34" s="251"/>
      <c r="AP34" s="742"/>
      <c r="AQ34" s="240"/>
      <c r="AR34" s="617">
        <f>SUM(J34:M34)</f>
        <v>0</v>
      </c>
      <c r="AS34" s="617"/>
      <c r="AT34" s="617"/>
      <c r="AU34" s="908"/>
      <c r="AV34" s="474"/>
      <c r="AW34" s="474"/>
      <c r="AX34" s="474"/>
      <c r="AY34" s="496"/>
      <c r="AZ34" s="496"/>
      <c r="BA34" s="251"/>
      <c r="BB34" s="493"/>
      <c r="BC34" s="493"/>
      <c r="BD34" s="493"/>
      <c r="BE34" s="493"/>
    </row>
    <row r="35" spans="1:59" s="207" customFormat="1" ht="12.75" hidden="1" customHeight="1" outlineLevel="1" x14ac:dyDescent="0.2">
      <c r="A35" s="891"/>
      <c r="B35" s="895" t="s">
        <v>372</v>
      </c>
      <c r="C35" s="686"/>
      <c r="D35" s="526"/>
      <c r="E35" s="741"/>
      <c r="F35" s="732"/>
      <c r="G35" s="745"/>
      <c r="H35" s="745"/>
      <c r="I35" s="829">
        <v>611</v>
      </c>
      <c r="J35" s="732">
        <v>1376</v>
      </c>
      <c r="K35" s="745">
        <v>1280</v>
      </c>
      <c r="L35" s="745">
        <v>1398</v>
      </c>
      <c r="M35" s="746">
        <v>1138</v>
      </c>
      <c r="N35" s="828"/>
      <c r="O35" s="828"/>
      <c r="P35" s="828"/>
      <c r="Q35" s="829"/>
      <c r="R35" s="745"/>
      <c r="S35" s="745"/>
      <c r="T35" s="745"/>
      <c r="U35" s="746"/>
      <c r="V35" s="745"/>
      <c r="W35" s="745"/>
      <c r="X35" s="745"/>
      <c r="Y35" s="746"/>
      <c r="Z35" s="892"/>
      <c r="AA35" s="473"/>
      <c r="AB35" s="473"/>
      <c r="AC35" s="474"/>
      <c r="AD35" s="473"/>
      <c r="AE35" s="745"/>
      <c r="AF35" s="746"/>
      <c r="AG35" s="745"/>
      <c r="AH35" s="745"/>
      <c r="AI35" s="745"/>
      <c r="AJ35" s="745"/>
      <c r="AK35" s="745"/>
      <c r="AL35" s="200"/>
      <c r="AM35" s="536"/>
      <c r="AN35" s="745"/>
      <c r="AO35" s="251"/>
      <c r="AP35" s="742"/>
      <c r="AQ35" s="240"/>
      <c r="AR35" s="270">
        <f>SUM(J35:M35)</f>
        <v>5192</v>
      </c>
      <c r="AS35" s="744"/>
      <c r="AT35" s="744"/>
      <c r="AU35" s="908"/>
      <c r="AV35" s="474"/>
      <c r="AW35" s="474"/>
      <c r="AX35" s="474"/>
      <c r="AY35" s="496"/>
      <c r="AZ35" s="496"/>
      <c r="BA35" s="251"/>
      <c r="BB35" s="493"/>
      <c r="BC35" s="493"/>
      <c r="BD35" s="493"/>
      <c r="BE35" s="493"/>
    </row>
    <row r="36" spans="1:59" s="207" customFormat="1" ht="12.75" hidden="1" customHeight="1" outlineLevel="1" x14ac:dyDescent="0.2">
      <c r="A36" s="891"/>
      <c r="B36" s="895" t="s">
        <v>373</v>
      </c>
      <c r="C36" s="686"/>
      <c r="D36" s="526"/>
      <c r="E36" s="741"/>
      <c r="F36" s="732"/>
      <c r="G36" s="745"/>
      <c r="H36" s="745"/>
      <c r="I36" s="829">
        <v>0</v>
      </c>
      <c r="J36" s="732">
        <v>1715</v>
      </c>
      <c r="K36" s="745">
        <v>1579</v>
      </c>
      <c r="L36" s="745">
        <v>1609</v>
      </c>
      <c r="M36" s="746">
        <v>1708</v>
      </c>
      <c r="N36" s="828"/>
      <c r="O36" s="828"/>
      <c r="P36" s="828"/>
      <c r="Q36" s="829"/>
      <c r="R36" s="745"/>
      <c r="S36" s="745"/>
      <c r="T36" s="745"/>
      <c r="U36" s="746"/>
      <c r="V36" s="745"/>
      <c r="W36" s="745"/>
      <c r="X36" s="745"/>
      <c r="Y36" s="746"/>
      <c r="Z36" s="892"/>
      <c r="AA36" s="473"/>
      <c r="AB36" s="473"/>
      <c r="AC36" s="474"/>
      <c r="AD36" s="473"/>
      <c r="AE36" s="745"/>
      <c r="AF36" s="746"/>
      <c r="AG36" s="745"/>
      <c r="AH36" s="745"/>
      <c r="AI36" s="745"/>
      <c r="AJ36" s="745"/>
      <c r="AK36" s="745"/>
      <c r="AL36" s="200"/>
      <c r="AM36" s="536"/>
      <c r="AN36" s="745"/>
      <c r="AO36" s="251"/>
      <c r="AP36" s="742"/>
      <c r="AQ36" s="240"/>
      <c r="AR36" s="418">
        <f>SUM(J36:M36)</f>
        <v>6611</v>
      </c>
      <c r="AS36" s="204"/>
      <c r="AT36" s="204"/>
      <c r="AU36" s="909"/>
      <c r="AV36" s="474"/>
      <c r="AW36" s="893"/>
      <c r="AX36" s="893"/>
      <c r="AY36" s="894"/>
      <c r="AZ36" s="894"/>
      <c r="BA36" s="251"/>
      <c r="BB36" s="493"/>
      <c r="BC36" s="493"/>
      <c r="BD36" s="493"/>
      <c r="BE36" s="493"/>
    </row>
    <row r="37" spans="1:59" s="95" customFormat="1" ht="15" hidden="1" customHeight="1" outlineLevel="1" x14ac:dyDescent="0.2">
      <c r="A37" s="938"/>
      <c r="B37" s="740" t="s">
        <v>351</v>
      </c>
      <c r="C37" s="167"/>
      <c r="D37" s="168"/>
      <c r="E37" s="741"/>
      <c r="F37" s="245"/>
      <c r="G37" s="245"/>
      <c r="H37" s="245"/>
      <c r="I37" s="924">
        <f>+I33+I34+I35+I36</f>
        <v>4808</v>
      </c>
      <c r="J37" s="245">
        <v>8342</v>
      </c>
      <c r="K37" s="245">
        <v>8506</v>
      </c>
      <c r="L37" s="245">
        <v>9222</v>
      </c>
      <c r="M37" s="246">
        <v>9425</v>
      </c>
      <c r="N37" s="245"/>
      <c r="O37" s="245"/>
      <c r="P37" s="245"/>
      <c r="Q37" s="246"/>
      <c r="R37" s="245">
        <v>9382</v>
      </c>
      <c r="S37" s="245">
        <v>8444</v>
      </c>
      <c r="T37" s="245">
        <v>9374</v>
      </c>
      <c r="U37" s="246">
        <v>9404</v>
      </c>
      <c r="V37" s="245">
        <v>9225</v>
      </c>
      <c r="W37" s="245">
        <v>9773</v>
      </c>
      <c r="X37" s="245">
        <v>8219</v>
      </c>
      <c r="Y37" s="246">
        <v>8565</v>
      </c>
      <c r="Z37" s="499" t="s">
        <v>186</v>
      </c>
      <c r="AA37" s="499" t="s">
        <v>186</v>
      </c>
      <c r="AB37" s="499" t="s">
        <v>186</v>
      </c>
      <c r="AC37" s="500" t="s">
        <v>186</v>
      </c>
      <c r="AD37" s="501" t="s">
        <v>186</v>
      </c>
      <c r="AE37" s="474" t="s">
        <v>186</v>
      </c>
      <c r="AF37" s="474" t="s">
        <v>186</v>
      </c>
      <c r="AG37" s="473" t="s">
        <v>186</v>
      </c>
      <c r="AH37" s="473" t="s">
        <v>186</v>
      </c>
      <c r="AI37" s="473" t="s">
        <v>186</v>
      </c>
      <c r="AJ37" s="473" t="s">
        <v>186</v>
      </c>
      <c r="AK37" s="473" t="s">
        <v>186</v>
      </c>
      <c r="AL37" s="482"/>
      <c r="AM37" s="328">
        <f>SUM(K37:M37)</f>
        <v>27153</v>
      </c>
      <c r="AN37" s="328">
        <f>SUM(O37:Q37)</f>
        <v>0</v>
      </c>
      <c r="AO37" s="328">
        <f>AR37-AS37</f>
        <v>35495</v>
      </c>
      <c r="AP37" s="168" t="e">
        <f>IF(OR((AO37/AS37)&gt;3,(AO37/AS37)&lt;-3),"n.m.",(AO37/AS37))</f>
        <v>#DIV/0!</v>
      </c>
      <c r="AQ37" s="482"/>
      <c r="AR37" s="199">
        <f>SUM(J37:M37)</f>
        <v>35495</v>
      </c>
      <c r="AS37" s="199"/>
      <c r="AT37" s="199"/>
      <c r="AU37" s="204"/>
      <c r="AV37" s="501"/>
      <c r="AW37" s="500"/>
      <c r="AX37" s="500"/>
      <c r="AY37" s="502"/>
      <c r="AZ37" s="502"/>
      <c r="BA37" s="9"/>
      <c r="BB37" s="725"/>
      <c r="BD37" s="207"/>
      <c r="BE37" s="207"/>
      <c r="BF37" s="207"/>
      <c r="BG37" s="207"/>
    </row>
    <row r="38" spans="1:59" s="95" customFormat="1" ht="15" customHeight="1" collapsed="1" thickTop="1" x14ac:dyDescent="0.2">
      <c r="A38" s="938"/>
      <c r="B38" s="740" t="s">
        <v>380</v>
      </c>
      <c r="C38" s="167"/>
      <c r="D38" s="168"/>
      <c r="E38" s="741"/>
      <c r="F38" s="232"/>
      <c r="G38" s="232"/>
      <c r="H38" s="232"/>
      <c r="I38" s="923"/>
      <c r="J38" s="232"/>
      <c r="K38" s="232"/>
      <c r="L38" s="232"/>
      <c r="M38" s="233"/>
      <c r="N38" s="232"/>
      <c r="O38" s="232"/>
      <c r="P38" s="232"/>
      <c r="Q38" s="233"/>
      <c r="R38" s="232"/>
      <c r="S38" s="232"/>
      <c r="T38" s="232"/>
      <c r="U38" s="233"/>
      <c r="V38" s="232"/>
      <c r="W38" s="232"/>
      <c r="X38" s="232"/>
      <c r="Y38" s="233"/>
      <c r="Z38" s="885"/>
      <c r="AA38" s="885"/>
      <c r="AB38" s="885"/>
      <c r="AC38" s="886"/>
      <c r="AD38" s="911"/>
      <c r="AE38" s="474"/>
      <c r="AF38" s="474"/>
      <c r="AG38" s="473"/>
      <c r="AH38" s="473"/>
      <c r="AI38" s="473"/>
      <c r="AJ38" s="473"/>
      <c r="AK38" s="473"/>
      <c r="AL38" s="482"/>
      <c r="AM38" s="673"/>
      <c r="AN38" s="673"/>
      <c r="AO38" s="673"/>
      <c r="AP38" s="470"/>
      <c r="AQ38" s="482"/>
      <c r="AR38" s="746">
        <f>+AR37</f>
        <v>35495</v>
      </c>
      <c r="AS38" s="746"/>
      <c r="AT38" s="746"/>
      <c r="AU38" s="746"/>
      <c r="AV38" s="474"/>
      <c r="AW38" s="886"/>
      <c r="AX38" s="886"/>
      <c r="AY38" s="887"/>
      <c r="AZ38" s="887"/>
      <c r="BA38" s="9"/>
      <c r="BB38" s="725"/>
      <c r="BD38" s="207"/>
      <c r="BE38" s="207"/>
      <c r="BF38" s="207"/>
      <c r="BG38" s="207"/>
    </row>
    <row r="39" spans="1:59" s="95" customFormat="1" ht="24.75" customHeight="1" thickBot="1" x14ac:dyDescent="0.25">
      <c r="A39" s="141" t="s">
        <v>77</v>
      </c>
      <c r="B39" s="615"/>
      <c r="C39" s="405"/>
      <c r="D39" s="179"/>
      <c r="E39" s="741"/>
      <c r="F39" s="249">
        <f t="shared" ref="F39:L39" si="9">+F32-F37</f>
        <v>0</v>
      </c>
      <c r="G39" s="249">
        <f t="shared" si="9"/>
        <v>0</v>
      </c>
      <c r="H39" s="249">
        <f t="shared" si="9"/>
        <v>0</v>
      </c>
      <c r="I39" s="250">
        <f t="shared" si="9"/>
        <v>-5384</v>
      </c>
      <c r="J39" s="249">
        <f t="shared" si="9"/>
        <v>-8200</v>
      </c>
      <c r="K39" s="249">
        <f t="shared" si="9"/>
        <v>-9500</v>
      </c>
      <c r="L39" s="249">
        <f t="shared" si="9"/>
        <v>-8922</v>
      </c>
      <c r="M39" s="250">
        <f>M32-M37</f>
        <v>-9548</v>
      </c>
      <c r="N39" s="249"/>
      <c r="O39" s="249"/>
      <c r="P39" s="249"/>
      <c r="Q39" s="250"/>
      <c r="R39" s="249">
        <f>R32-R37</f>
        <v>9122</v>
      </c>
      <c r="S39" s="249">
        <f>S32-S37</f>
        <v>8143</v>
      </c>
      <c r="T39" s="249">
        <f>T32-T37</f>
        <v>-3436</v>
      </c>
      <c r="U39" s="250">
        <f>U32-U37</f>
        <v>-1697</v>
      </c>
      <c r="V39" s="249">
        <v>-1070</v>
      </c>
      <c r="W39" s="249">
        <v>-87</v>
      </c>
      <c r="X39" s="249">
        <v>-3294</v>
      </c>
      <c r="Y39" s="250">
        <v>-3548</v>
      </c>
      <c r="Z39" s="475" t="s">
        <v>186</v>
      </c>
      <c r="AA39" s="475" t="s">
        <v>186</v>
      </c>
      <c r="AB39" s="475" t="s">
        <v>186</v>
      </c>
      <c r="AC39" s="476" t="s">
        <v>186</v>
      </c>
      <c r="AD39" s="497" t="s">
        <v>186</v>
      </c>
      <c r="AE39" s="474"/>
      <c r="AF39" s="474"/>
      <c r="AG39" s="473"/>
      <c r="AH39" s="473"/>
      <c r="AI39" s="473"/>
      <c r="AJ39" s="473"/>
      <c r="AK39" s="473"/>
      <c r="AL39" s="482"/>
      <c r="AM39" s="331">
        <f>AM32-AM37</f>
        <v>-27970</v>
      </c>
      <c r="AN39" s="331">
        <f>AN32-AN37</f>
        <v>0</v>
      </c>
      <c r="AO39" s="331">
        <f>AR39-AS39</f>
        <v>-36170</v>
      </c>
      <c r="AP39" s="179" t="e">
        <f>IF(OR((AO39/AS39)&gt;3,(AO39/AS39)&lt;-3),"n.m.",(AO39/AS39))</f>
        <v>#DIV/0!</v>
      </c>
      <c r="AQ39" s="482"/>
      <c r="AR39" s="250">
        <f>AR32-AR37</f>
        <v>-36170</v>
      </c>
      <c r="AS39" s="250"/>
      <c r="AT39" s="250"/>
      <c r="AU39" s="206"/>
      <c r="AV39" s="497"/>
      <c r="AW39" s="476"/>
      <c r="AX39" s="476"/>
      <c r="AY39" s="498"/>
      <c r="AZ39" s="498"/>
      <c r="BA39" s="9"/>
      <c r="BB39" s="725"/>
      <c r="BD39" s="207"/>
      <c r="BE39" s="207"/>
      <c r="BF39" s="207"/>
      <c r="BG39" s="207"/>
    </row>
    <row r="40" spans="1:59" ht="12.75" customHeight="1" thickTop="1" x14ac:dyDescent="0.2">
      <c r="A40" s="726"/>
      <c r="B40" s="726"/>
      <c r="C40" s="754"/>
      <c r="D40" s="755"/>
      <c r="E40" s="755"/>
      <c r="F40" s="755"/>
      <c r="G40" s="755"/>
      <c r="H40" s="755"/>
      <c r="I40" s="725"/>
      <c r="J40" s="755"/>
      <c r="K40" s="755"/>
      <c r="L40" s="755"/>
      <c r="M40" s="725"/>
      <c r="N40" s="755"/>
      <c r="O40" s="755"/>
      <c r="P40" s="755"/>
      <c r="Q40" s="725"/>
      <c r="R40" s="755"/>
      <c r="S40" s="755"/>
      <c r="T40" s="755"/>
      <c r="U40" s="725"/>
      <c r="V40" s="755"/>
      <c r="W40" s="755"/>
      <c r="X40" s="755"/>
      <c r="Y40" s="725"/>
      <c r="Z40" s="755"/>
      <c r="AA40" s="755"/>
      <c r="AB40" s="755"/>
      <c r="AC40" s="725"/>
      <c r="AD40" s="724"/>
      <c r="AE40" s="724"/>
      <c r="AF40" s="724"/>
      <c r="AG40" s="209"/>
      <c r="AH40" s="209"/>
      <c r="AI40" s="209"/>
      <c r="AJ40" s="209"/>
      <c r="AK40" s="209"/>
      <c r="AL40" s="725"/>
      <c r="AM40" s="725"/>
      <c r="AN40" s="725"/>
      <c r="AO40" s="754"/>
      <c r="AP40" s="755"/>
      <c r="AQ40" s="725"/>
      <c r="AR40" s="725"/>
      <c r="AS40" s="725"/>
      <c r="AT40" s="725"/>
      <c r="AU40" s="725"/>
      <c r="AV40" s="725"/>
      <c r="AW40" s="754"/>
      <c r="AX40" s="754"/>
      <c r="AY40" s="9"/>
      <c r="AZ40" s="9"/>
      <c r="BA40" s="9"/>
      <c r="BB40" s="725"/>
      <c r="BD40" s="722"/>
      <c r="BG40" s="722"/>
    </row>
    <row r="41" spans="1:59" ht="13.5" customHeight="1" x14ac:dyDescent="0.2">
      <c r="A41" s="144"/>
      <c r="B41" s="726"/>
      <c r="C41" s="225"/>
      <c r="D41" s="755"/>
      <c r="E41" s="75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725"/>
      <c r="AM41" s="35"/>
      <c r="AN41" s="35"/>
      <c r="AO41" s="225"/>
      <c r="AP41" s="755"/>
      <c r="AQ41" s="725"/>
      <c r="AR41" s="35"/>
      <c r="AS41" s="35"/>
      <c r="AT41" s="35"/>
      <c r="AU41" s="35"/>
      <c r="AV41" s="35"/>
      <c r="AW41" s="35"/>
      <c r="AX41" s="35"/>
      <c r="AY41" s="314"/>
      <c r="AZ41" s="314"/>
      <c r="BA41" s="314"/>
      <c r="BB41" s="725"/>
      <c r="BD41" s="722"/>
      <c r="BG41" s="722"/>
    </row>
    <row r="42" spans="1:59" ht="13.5" hidden="1" customHeight="1" x14ac:dyDescent="0.2">
      <c r="A42" s="7"/>
      <c r="B42" s="726"/>
      <c r="C42" s="225"/>
      <c r="D42" s="755"/>
      <c r="E42" s="75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725"/>
      <c r="AM42" s="35"/>
      <c r="AN42" s="35"/>
      <c r="AO42" s="225"/>
      <c r="AP42" s="755"/>
      <c r="AQ42" s="725"/>
      <c r="AR42" s="35"/>
      <c r="AS42" s="35"/>
      <c r="AT42" s="35"/>
      <c r="AU42" s="35"/>
      <c r="AV42" s="35"/>
      <c r="AW42" s="35"/>
      <c r="AX42" s="35"/>
      <c r="AY42" s="314"/>
      <c r="AZ42" s="314"/>
      <c r="BA42" s="314"/>
      <c r="BB42" s="725"/>
      <c r="BD42" s="722"/>
      <c r="BG42" s="722"/>
    </row>
    <row r="43" spans="1:59" ht="13.5" hidden="1" customHeight="1" x14ac:dyDescent="0.2">
      <c r="A43" s="7"/>
      <c r="B43" s="726"/>
      <c r="C43" s="225"/>
      <c r="D43" s="755"/>
      <c r="E43" s="75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725"/>
      <c r="AM43" s="35"/>
      <c r="AN43" s="35"/>
      <c r="AO43" s="225"/>
      <c r="AP43" s="755"/>
      <c r="AQ43" s="725"/>
      <c r="AR43" s="35"/>
      <c r="AS43" s="35"/>
      <c r="AT43" s="35"/>
      <c r="AU43" s="35"/>
      <c r="AV43" s="35"/>
      <c r="AW43" s="35"/>
      <c r="AX43" s="35"/>
      <c r="AY43" s="314"/>
      <c r="AZ43" s="314"/>
      <c r="BA43" s="314"/>
      <c r="BB43" s="725"/>
      <c r="BD43" s="722"/>
      <c r="BG43" s="722"/>
    </row>
    <row r="44" spans="1:59" ht="12.75" hidden="1" customHeight="1" x14ac:dyDescent="0.2">
      <c r="A44" s="727"/>
      <c r="B44" s="726"/>
      <c r="C44" s="225"/>
      <c r="D44" s="755"/>
      <c r="E44" s="75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725"/>
      <c r="AM44" s="35"/>
      <c r="AN44" s="35"/>
      <c r="AO44" s="225"/>
      <c r="AP44" s="755"/>
      <c r="AQ44" s="725"/>
      <c r="AR44" s="35"/>
      <c r="AS44" s="35"/>
      <c r="AT44" s="35"/>
      <c r="AU44" s="35"/>
      <c r="AV44" s="35"/>
      <c r="AW44" s="35"/>
      <c r="AX44" s="35"/>
      <c r="AY44" s="305"/>
      <c r="AZ44" s="305"/>
      <c r="BA44" s="305"/>
      <c r="BB44" s="725"/>
      <c r="BD44" s="722"/>
      <c r="BG44" s="722"/>
    </row>
    <row r="45" spans="1:59" ht="13.5" hidden="1" customHeight="1" x14ac:dyDescent="0.2">
      <c r="A45" s="727"/>
      <c r="B45" s="726"/>
      <c r="C45" s="225"/>
      <c r="D45" s="755"/>
      <c r="E45" s="75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725"/>
      <c r="AM45" s="35"/>
      <c r="AN45" s="35"/>
      <c r="AO45" s="225"/>
      <c r="AP45" s="755"/>
      <c r="AQ45" s="725"/>
      <c r="AR45" s="35"/>
      <c r="AS45" s="35"/>
      <c r="AT45" s="35"/>
      <c r="AU45" s="35"/>
      <c r="AV45" s="35"/>
      <c r="AW45" s="35"/>
      <c r="AX45" s="35"/>
      <c r="AY45" s="305"/>
      <c r="AZ45" s="305"/>
      <c r="BA45" s="305"/>
      <c r="BB45" s="725"/>
      <c r="BD45" s="722"/>
      <c r="BG45" s="722"/>
    </row>
    <row r="46" spans="1:59" ht="12.75" hidden="1" customHeight="1" x14ac:dyDescent="0.2">
      <c r="A46" s="726"/>
      <c r="B46" s="726"/>
      <c r="C46" s="225"/>
      <c r="D46" s="755"/>
      <c r="E46" s="75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725"/>
      <c r="AM46" s="35"/>
      <c r="AN46" s="35"/>
      <c r="AO46" s="225"/>
      <c r="AP46" s="755"/>
      <c r="AQ46" s="725"/>
      <c r="AR46" s="35"/>
      <c r="AS46" s="35"/>
      <c r="AT46" s="35"/>
      <c r="AU46" s="35"/>
      <c r="AV46" s="35"/>
      <c r="AW46" s="35"/>
      <c r="AX46" s="35"/>
      <c r="AY46" s="305"/>
      <c r="AZ46" s="305"/>
      <c r="BA46" s="305"/>
      <c r="BB46" s="725"/>
      <c r="BD46" s="722"/>
      <c r="BG46" s="722"/>
    </row>
    <row r="47" spans="1:59" ht="12.75" hidden="1" customHeight="1" x14ac:dyDescent="0.2">
      <c r="A47" s="726"/>
      <c r="B47" s="726"/>
      <c r="C47" s="225"/>
      <c r="D47" s="755"/>
      <c r="E47" s="75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725"/>
      <c r="AM47" s="35"/>
      <c r="AN47" s="35"/>
      <c r="AO47" s="225"/>
      <c r="AP47" s="755"/>
      <c r="AQ47" s="725"/>
      <c r="AR47" s="35"/>
      <c r="AS47" s="35"/>
      <c r="AT47" s="35"/>
      <c r="AU47" s="35"/>
      <c r="AV47" s="35"/>
      <c r="AW47" s="35"/>
      <c r="AX47" s="35"/>
      <c r="AY47" s="305"/>
      <c r="AZ47" s="305"/>
      <c r="BA47" s="305"/>
      <c r="BB47" s="725"/>
      <c r="BD47" s="722"/>
      <c r="BG47" s="722"/>
    </row>
    <row r="48" spans="1:59" ht="12.75" hidden="1" customHeight="1" x14ac:dyDescent="0.2">
      <c r="A48" s="727"/>
      <c r="B48" s="726"/>
      <c r="C48" s="225"/>
      <c r="D48" s="755"/>
      <c r="E48" s="75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725"/>
      <c r="AM48" s="35"/>
      <c r="AN48" s="35"/>
      <c r="AO48" s="225"/>
      <c r="AP48" s="755"/>
      <c r="AQ48" s="725"/>
      <c r="AR48" s="35"/>
      <c r="AS48" s="35"/>
      <c r="AT48" s="35"/>
      <c r="AU48" s="35"/>
      <c r="AV48" s="35"/>
      <c r="AW48" s="35"/>
      <c r="AX48" s="35"/>
      <c r="AY48" s="305"/>
      <c r="AZ48" s="305"/>
      <c r="BA48" s="305"/>
      <c r="BB48" s="725"/>
      <c r="BD48" s="722"/>
      <c r="BG48" s="722"/>
    </row>
    <row r="49" spans="1:59" ht="12.75" hidden="1" customHeight="1" x14ac:dyDescent="0.2">
      <c r="A49" s="727"/>
      <c r="B49" s="726"/>
      <c r="C49" s="225"/>
      <c r="D49" s="755"/>
      <c r="E49" s="755"/>
      <c r="F49" s="35"/>
      <c r="G49" s="35"/>
      <c r="H49" s="35"/>
      <c r="I49" s="35"/>
      <c r="J49" s="35"/>
      <c r="K49" s="35"/>
      <c r="L49" s="35"/>
      <c r="M49" s="35"/>
      <c r="N49" s="35"/>
      <c r="O49" s="35"/>
      <c r="P49" s="35"/>
      <c r="Q49" s="35"/>
      <c r="R49" s="35"/>
      <c r="S49" s="35"/>
      <c r="T49" s="35"/>
      <c r="U49" s="35"/>
      <c r="V49" s="35"/>
      <c r="W49" s="35"/>
      <c r="X49" s="35"/>
      <c r="Y49" s="755"/>
      <c r="Z49" s="755"/>
      <c r="AA49" s="755"/>
      <c r="AB49" s="755"/>
      <c r="AC49" s="755"/>
      <c r="AD49" s="755"/>
      <c r="AE49" s="755"/>
      <c r="AF49" s="755"/>
      <c r="AG49" s="755"/>
      <c r="AH49" s="755"/>
      <c r="AI49" s="755"/>
      <c r="AJ49" s="755"/>
      <c r="AK49" s="755"/>
      <c r="AL49" s="240"/>
      <c r="AM49" s="35"/>
      <c r="AN49" s="35"/>
      <c r="AO49" s="225"/>
      <c r="AP49" s="755"/>
      <c r="AQ49" s="240"/>
      <c r="AR49" s="35"/>
      <c r="AS49" s="35"/>
      <c r="AT49" s="35"/>
      <c r="AU49" s="755"/>
      <c r="AV49" s="755"/>
      <c r="AW49" s="755"/>
      <c r="AX49" s="755"/>
      <c r="AY49" s="755"/>
      <c r="AZ49" s="503"/>
      <c r="BA49" s="305"/>
      <c r="BB49" s="725"/>
      <c r="BD49" s="722"/>
      <c r="BG49" s="722"/>
    </row>
    <row r="50" spans="1:59" ht="12.75" hidden="1" customHeight="1" x14ac:dyDescent="0.2">
      <c r="A50" s="726"/>
      <c r="B50" s="726"/>
      <c r="C50" s="754"/>
      <c r="D50" s="755"/>
      <c r="E50" s="755"/>
      <c r="F50" s="755"/>
      <c r="G50" s="755"/>
      <c r="H50" s="755"/>
      <c r="I50" s="755"/>
      <c r="J50" s="755"/>
      <c r="K50" s="755"/>
      <c r="L50" s="755"/>
      <c r="M50" s="755"/>
      <c r="N50" s="755"/>
      <c r="O50" s="755"/>
      <c r="P50" s="755"/>
      <c r="Q50" s="755"/>
      <c r="R50" s="755"/>
      <c r="S50" s="755"/>
      <c r="T50" s="755"/>
      <c r="U50" s="755"/>
      <c r="V50" s="755"/>
      <c r="W50" s="755"/>
      <c r="X50" s="755"/>
      <c r="Y50" s="755"/>
      <c r="Z50" s="755"/>
      <c r="AA50" s="755"/>
      <c r="AB50" s="755"/>
      <c r="AC50" s="725"/>
      <c r="AD50" s="724"/>
      <c r="AE50" s="724"/>
      <c r="AF50" s="724"/>
      <c r="AG50" s="724"/>
      <c r="AH50" s="183"/>
      <c r="AI50" s="183"/>
      <c r="AJ50" s="183"/>
      <c r="AK50" s="183"/>
      <c r="AL50" s="725"/>
      <c r="AM50" s="725"/>
      <c r="AN50" s="725"/>
      <c r="AO50" s="754"/>
      <c r="AP50" s="755"/>
      <c r="AQ50" s="725"/>
      <c r="AR50" s="35"/>
      <c r="AS50" s="35"/>
      <c r="AT50" s="35"/>
      <c r="AU50" s="35"/>
      <c r="AV50" s="725"/>
      <c r="AW50" s="754"/>
      <c r="AX50" s="754"/>
      <c r="AY50" s="306"/>
      <c r="AZ50" s="306"/>
      <c r="BA50" s="306"/>
      <c r="BB50" s="725"/>
      <c r="BD50" s="722"/>
      <c r="BG50" s="722"/>
    </row>
    <row r="51" spans="1:59" ht="13.5" hidden="1" customHeight="1" x14ac:dyDescent="0.2">
      <c r="A51" s="7"/>
      <c r="B51" s="726"/>
      <c r="C51" s="754"/>
      <c r="D51" s="755"/>
      <c r="E51" s="755"/>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s="754"/>
      <c r="AJ51" s="754"/>
      <c r="AK51" s="754"/>
      <c r="AL51" s="725"/>
      <c r="AM51" s="730"/>
      <c r="AN51" s="730"/>
      <c r="AO51" s="754"/>
      <c r="AP51" s="755"/>
      <c r="AQ51" s="725"/>
      <c r="AR51" s="754"/>
      <c r="AS51" s="754"/>
      <c r="AT51" s="754"/>
      <c r="AU51" s="754"/>
      <c r="AV51" s="754"/>
      <c r="AW51" s="754"/>
      <c r="AX51" s="754"/>
      <c r="AY51" s="306"/>
      <c r="AZ51" s="306"/>
      <c r="BA51" s="306"/>
      <c r="BB51" s="725"/>
      <c r="BD51" s="722"/>
      <c r="BG51" s="722"/>
    </row>
    <row r="52" spans="1:59" ht="13.5" hidden="1" customHeight="1" x14ac:dyDescent="0.2">
      <c r="A52" s="736"/>
      <c r="B52" s="144"/>
      <c r="C52" s="754"/>
      <c r="D52" s="755"/>
      <c r="E52" s="755"/>
      <c r="F52" s="754"/>
      <c r="G52" s="754"/>
      <c r="H52" s="754"/>
      <c r="I52" s="754"/>
      <c r="J52" s="754"/>
      <c r="K52" s="754"/>
      <c r="L52" s="754"/>
      <c r="M52" s="754"/>
      <c r="N52" s="754"/>
      <c r="O52" s="754"/>
      <c r="P52" s="754"/>
      <c r="Q52" s="754"/>
      <c r="R52" s="754"/>
      <c r="S52" s="754"/>
      <c r="T52" s="754"/>
      <c r="U52" s="754"/>
      <c r="V52" s="754"/>
      <c r="W52" s="754"/>
      <c r="X52" s="754"/>
      <c r="Y52" s="754"/>
      <c r="Z52" s="754"/>
      <c r="AA52" s="754"/>
      <c r="AB52" s="754"/>
      <c r="AC52" s="754"/>
      <c r="AD52" s="754"/>
      <c r="AE52" s="754"/>
      <c r="AF52" s="754"/>
      <c r="AG52" s="754"/>
      <c r="AH52" s="754"/>
      <c r="AI52" s="754"/>
      <c r="AJ52" s="754"/>
      <c r="AK52" s="754"/>
      <c r="AL52" s="725"/>
      <c r="AM52" s="730"/>
      <c r="AN52" s="730"/>
      <c r="AO52" s="754"/>
      <c r="AP52" s="755"/>
      <c r="AQ52" s="725"/>
      <c r="AR52" s="754"/>
      <c r="AS52" s="754"/>
      <c r="AT52" s="754"/>
      <c r="AU52" s="754"/>
      <c r="AV52" s="754"/>
      <c r="AW52" s="754"/>
      <c r="AX52" s="754"/>
      <c r="AY52" s="736"/>
      <c r="AZ52" s="736"/>
      <c r="BA52" s="736"/>
      <c r="BB52" s="725"/>
      <c r="BD52" s="722"/>
      <c r="BG52" s="722"/>
    </row>
    <row r="53" spans="1:59" ht="13.5" hidden="1" customHeight="1" x14ac:dyDescent="0.2">
      <c r="A53" s="736"/>
      <c r="B53" s="144"/>
      <c r="C53" s="754"/>
      <c r="D53" s="755"/>
      <c r="E53" s="816"/>
      <c r="F53" s="754"/>
      <c r="G53" s="754"/>
      <c r="H53" s="754"/>
      <c r="I53" s="754"/>
      <c r="J53" s="754"/>
      <c r="K53" s="754"/>
      <c r="L53" s="754"/>
      <c r="M53" s="754"/>
      <c r="N53" s="251"/>
      <c r="O53" s="251"/>
      <c r="P53" s="251"/>
      <c r="Q53" s="251"/>
      <c r="R53" s="251"/>
      <c r="S53" s="251"/>
      <c r="T53" s="251"/>
      <c r="U53" s="251"/>
      <c r="V53" s="754"/>
      <c r="W53" s="754"/>
      <c r="X53" s="754"/>
      <c r="Y53" s="754"/>
      <c r="Z53" s="754"/>
      <c r="AA53" s="754"/>
      <c r="AB53" s="754"/>
      <c r="AC53" s="754"/>
      <c r="AD53" s="754"/>
      <c r="AE53" s="754"/>
      <c r="AF53" s="754"/>
      <c r="AG53" s="754"/>
      <c r="AH53" s="754"/>
      <c r="AI53" s="754"/>
      <c r="AJ53" s="754"/>
      <c r="AK53" s="754"/>
      <c r="AL53" s="817"/>
      <c r="AM53" s="730"/>
      <c r="AN53" s="730"/>
      <c r="AO53" s="754"/>
      <c r="AP53" s="251"/>
      <c r="AQ53" s="817"/>
      <c r="AR53" s="754"/>
      <c r="AS53" s="251"/>
      <c r="AT53" s="251"/>
      <c r="AU53" s="251"/>
      <c r="AV53" s="251"/>
      <c r="AW53" s="251"/>
      <c r="AX53" s="754"/>
      <c r="AY53" s="726"/>
      <c r="AZ53" s="726"/>
      <c r="BA53" s="726"/>
      <c r="BB53" s="725"/>
      <c r="BD53" s="722"/>
      <c r="BG53" s="722"/>
    </row>
    <row r="54" spans="1:59" ht="12.75" hidden="1" customHeight="1" x14ac:dyDescent="0.2">
      <c r="A54" s="736"/>
      <c r="B54" s="144"/>
      <c r="C54" s="754"/>
      <c r="D54" s="755"/>
      <c r="E54" s="755"/>
      <c r="F54" s="754"/>
      <c r="G54" s="754"/>
      <c r="H54" s="754"/>
      <c r="I54" s="754"/>
      <c r="J54" s="754"/>
      <c r="K54" s="754"/>
      <c r="L54" s="754"/>
      <c r="M54" s="754"/>
      <c r="N54" s="754"/>
      <c r="O54" s="754"/>
      <c r="P54" s="754"/>
      <c r="Q54" s="754"/>
      <c r="R54" s="754"/>
      <c r="S54" s="754"/>
      <c r="T54" s="754"/>
      <c r="U54" s="754"/>
      <c r="V54" s="754"/>
      <c r="W54" s="754"/>
      <c r="X54" s="754"/>
      <c r="Y54" s="754"/>
      <c r="Z54" s="754"/>
      <c r="AA54" s="754"/>
      <c r="AB54" s="754"/>
      <c r="AC54" s="754"/>
      <c r="AD54" s="754"/>
      <c r="AE54" s="754"/>
      <c r="AF54" s="754"/>
      <c r="AG54" s="754"/>
      <c r="AH54" s="754"/>
      <c r="AI54" s="754"/>
      <c r="AJ54" s="754"/>
      <c r="AK54" s="754"/>
      <c r="AL54" s="725"/>
      <c r="AM54" s="730"/>
      <c r="AN54" s="730"/>
      <c r="AO54" s="754"/>
      <c r="AP54" s="755"/>
      <c r="AQ54" s="725"/>
      <c r="AR54" s="754"/>
      <c r="AS54" s="754"/>
      <c r="AT54" s="754"/>
      <c r="AU54" s="754"/>
      <c r="AV54" s="754"/>
      <c r="AW54" s="754"/>
      <c r="AX54" s="754"/>
      <c r="AY54" s="726"/>
      <c r="AZ54" s="726"/>
      <c r="BA54" s="726"/>
      <c r="BB54" s="725"/>
      <c r="BD54" s="722"/>
      <c r="BG54" s="722"/>
    </row>
    <row r="55" spans="1:59" ht="12.75" hidden="1" customHeight="1" x14ac:dyDescent="0.2">
      <c r="A55" s="736"/>
      <c r="B55" s="144"/>
      <c r="C55" s="754"/>
      <c r="D55" s="755"/>
      <c r="E55" s="755"/>
      <c r="F55" s="754"/>
      <c r="G55" s="754"/>
      <c r="H55" s="754"/>
      <c r="I55" s="754"/>
      <c r="J55" s="754"/>
      <c r="K55" s="754"/>
      <c r="L55" s="754"/>
      <c r="M55" s="754"/>
      <c r="N55" s="755"/>
      <c r="O55" s="755"/>
      <c r="P55" s="755"/>
      <c r="Q55" s="755"/>
      <c r="R55" s="755"/>
      <c r="S55" s="755"/>
      <c r="T55" s="755"/>
      <c r="U55" s="755"/>
      <c r="V55" s="754"/>
      <c r="W55" s="754"/>
      <c r="X55" s="754"/>
      <c r="Y55" s="754"/>
      <c r="Z55" s="754"/>
      <c r="AA55" s="754"/>
      <c r="AB55" s="754"/>
      <c r="AC55" s="754"/>
      <c r="AD55" s="754"/>
      <c r="AE55" s="754"/>
      <c r="AF55" s="754"/>
      <c r="AG55" s="754"/>
      <c r="AH55" s="754"/>
      <c r="AI55" s="754"/>
      <c r="AJ55" s="754"/>
      <c r="AK55" s="754"/>
      <c r="AL55" s="725"/>
      <c r="AM55" s="725"/>
      <c r="AN55" s="725"/>
      <c r="AO55" s="754"/>
      <c r="AP55" s="755"/>
      <c r="AQ55" s="725"/>
      <c r="AR55" s="755"/>
      <c r="AS55" s="755"/>
      <c r="AT55" s="755"/>
      <c r="AU55" s="755"/>
      <c r="AV55" s="755"/>
      <c r="AW55" s="755"/>
      <c r="AX55" s="754"/>
      <c r="AY55" s="726"/>
      <c r="AZ55" s="726"/>
      <c r="BA55" s="726"/>
      <c r="BB55" s="725"/>
      <c r="BD55" s="722"/>
      <c r="BG55" s="722"/>
    </row>
    <row r="56" spans="1:59" ht="12.75" hidden="1" customHeight="1" x14ac:dyDescent="0.2">
      <c r="A56" s="727"/>
      <c r="B56" s="144"/>
      <c r="C56" s="754"/>
      <c r="D56" s="755"/>
      <c r="E56" s="755"/>
      <c r="F56" s="754"/>
      <c r="G56" s="754"/>
      <c r="H56" s="754"/>
      <c r="I56" s="754"/>
      <c r="J56" s="754"/>
      <c r="K56" s="754"/>
      <c r="L56" s="754"/>
      <c r="M56" s="754"/>
      <c r="N56" s="754"/>
      <c r="O56" s="754"/>
      <c r="P56" s="754"/>
      <c r="Q56" s="754"/>
      <c r="R56" s="754"/>
      <c r="S56" s="754"/>
      <c r="T56" s="754"/>
      <c r="U56" s="754"/>
      <c r="V56" s="754"/>
      <c r="W56" s="754"/>
      <c r="X56" s="754"/>
      <c r="Y56" s="754"/>
      <c r="Z56" s="754"/>
      <c r="AA56" s="754"/>
      <c r="AB56" s="754"/>
      <c r="AC56" s="754"/>
      <c r="AD56" s="754"/>
      <c r="AE56" s="754"/>
      <c r="AF56" s="754"/>
      <c r="AG56" s="754"/>
      <c r="AH56" s="754"/>
      <c r="AI56" s="754"/>
      <c r="AJ56" s="754"/>
      <c r="AK56" s="754"/>
      <c r="AL56" s="725"/>
      <c r="AM56" s="730"/>
      <c r="AN56" s="730"/>
      <c r="AO56" s="754"/>
      <c r="AP56" s="755"/>
      <c r="AQ56" s="725"/>
      <c r="AR56" s="754"/>
      <c r="AS56" s="754"/>
      <c r="AT56" s="754"/>
      <c r="AU56" s="754"/>
      <c r="AV56" s="754"/>
      <c r="AW56" s="754"/>
      <c r="AX56" s="754"/>
      <c r="AY56" s="736"/>
      <c r="AZ56" s="736"/>
      <c r="BA56" s="736"/>
      <c r="BB56" s="725"/>
      <c r="BD56" s="722"/>
      <c r="BG56" s="722"/>
    </row>
    <row r="57" spans="1:59" ht="13.5" hidden="1" customHeight="1" x14ac:dyDescent="0.2">
      <c r="A57" s="731"/>
      <c r="B57" s="727"/>
      <c r="C57" s="754"/>
      <c r="D57" s="755"/>
      <c r="E57" s="755"/>
      <c r="F57" s="754"/>
      <c r="G57" s="754"/>
      <c r="H57" s="754"/>
      <c r="I57" s="754"/>
      <c r="J57" s="754"/>
      <c r="K57" s="754"/>
      <c r="L57" s="754"/>
      <c r="M57" s="754"/>
      <c r="N57" s="754"/>
      <c r="O57" s="754"/>
      <c r="P57" s="754"/>
      <c r="Q57" s="754"/>
      <c r="R57" s="754"/>
      <c r="S57" s="754"/>
      <c r="T57" s="754"/>
      <c r="U57" s="754"/>
      <c r="V57" s="754"/>
      <c r="W57" s="754"/>
      <c r="X57" s="754"/>
      <c r="Y57" s="754"/>
      <c r="Z57" s="754"/>
      <c r="AA57" s="754"/>
      <c r="AB57" s="754"/>
      <c r="AC57" s="754"/>
      <c r="AD57" s="754"/>
      <c r="AE57" s="754"/>
      <c r="AF57" s="754"/>
      <c r="AG57" s="754"/>
      <c r="AH57" s="754"/>
      <c r="AI57" s="754"/>
      <c r="AJ57" s="754"/>
      <c r="AK57" s="754"/>
      <c r="AL57" s="725"/>
      <c r="AM57" s="730"/>
      <c r="AN57" s="730"/>
      <c r="AO57" s="754"/>
      <c r="AP57" s="755"/>
      <c r="AQ57" s="725"/>
      <c r="AR57" s="754"/>
      <c r="AS57" s="754"/>
      <c r="AT57" s="754"/>
      <c r="AU57" s="754"/>
      <c r="AV57" s="754"/>
      <c r="AW57" s="754"/>
      <c r="AX57" s="754"/>
      <c r="AY57" s="736"/>
      <c r="AZ57" s="736"/>
      <c r="BA57" s="736"/>
      <c r="BB57" s="725"/>
      <c r="BD57" s="722"/>
      <c r="BG57" s="722"/>
    </row>
    <row r="58" spans="1:59" ht="12.75" hidden="1" customHeight="1" x14ac:dyDescent="0.2">
      <c r="A58" s="731"/>
      <c r="B58" s="727"/>
      <c r="C58" s="754"/>
      <c r="D58" s="755"/>
      <c r="E58" s="755"/>
      <c r="F58" s="754"/>
      <c r="G58" s="754"/>
      <c r="H58" s="754"/>
      <c r="I58" s="754"/>
      <c r="J58" s="754"/>
      <c r="K58" s="754"/>
      <c r="L58" s="754"/>
      <c r="M58" s="754"/>
      <c r="N58" s="251"/>
      <c r="O58" s="251"/>
      <c r="P58" s="251"/>
      <c r="Q58" s="251"/>
      <c r="R58" s="251"/>
      <c r="S58" s="251"/>
      <c r="T58" s="251"/>
      <c r="U58" s="251"/>
      <c r="V58" s="754"/>
      <c r="W58" s="754"/>
      <c r="X58" s="754"/>
      <c r="Y58" s="754"/>
      <c r="Z58" s="754"/>
      <c r="AA58" s="754"/>
      <c r="AB58" s="754"/>
      <c r="AC58" s="754"/>
      <c r="AD58" s="754"/>
      <c r="AE58" s="754"/>
      <c r="AF58" s="754"/>
      <c r="AG58" s="754"/>
      <c r="AH58" s="754"/>
      <c r="AI58" s="754"/>
      <c r="AJ58" s="754"/>
      <c r="AK58" s="754"/>
      <c r="AL58" s="817"/>
      <c r="AM58" s="730"/>
      <c r="AN58" s="730"/>
      <c r="AO58" s="754"/>
      <c r="AP58" s="755"/>
      <c r="AQ58" s="817"/>
      <c r="AR58" s="754"/>
      <c r="AS58" s="251"/>
      <c r="AT58" s="251"/>
      <c r="AU58" s="251"/>
      <c r="AV58" s="251"/>
      <c r="AW58" s="251"/>
      <c r="AX58" s="754"/>
      <c r="AY58" s="736"/>
      <c r="AZ58" s="736"/>
      <c r="BA58" s="736"/>
      <c r="BB58" s="725"/>
      <c r="BD58" s="722"/>
      <c r="BG58" s="722"/>
    </row>
    <row r="59" spans="1:59" ht="12.75" customHeight="1" x14ac:dyDescent="0.2">
      <c r="A59" s="7"/>
      <c r="B59" s="7"/>
      <c r="C59" s="725"/>
      <c r="D59" s="725"/>
      <c r="E59" s="725"/>
      <c r="F59" s="725"/>
      <c r="G59" s="725"/>
      <c r="H59" s="725"/>
      <c r="I59" s="7"/>
      <c r="J59" s="725"/>
      <c r="K59" s="725"/>
      <c r="L59" s="725"/>
      <c r="M59" s="7"/>
      <c r="N59" s="725"/>
      <c r="O59" s="725"/>
      <c r="P59" s="725"/>
      <c r="Q59" s="7"/>
      <c r="R59" s="725"/>
      <c r="S59" s="725"/>
      <c r="T59" s="725"/>
      <c r="U59" s="7"/>
      <c r="V59" s="725"/>
      <c r="W59" s="725"/>
      <c r="X59" s="725"/>
      <c r="Y59" s="7"/>
      <c r="Z59" s="725"/>
      <c r="AA59" s="725"/>
      <c r="AB59" s="725"/>
      <c r="AC59" s="7"/>
      <c r="AD59" s="725"/>
      <c r="AE59" s="725"/>
      <c r="AF59" s="725"/>
      <c r="AG59" s="725"/>
      <c r="AH59" s="725"/>
      <c r="AI59" s="725"/>
      <c r="AJ59" s="725"/>
      <c r="AK59" s="725"/>
      <c r="AL59" s="725"/>
      <c r="AM59" s="725"/>
      <c r="AN59" s="725"/>
      <c r="AO59" s="725"/>
      <c r="AP59" s="725"/>
      <c r="AQ59" s="725"/>
      <c r="AR59" s="725"/>
      <c r="AS59" s="725"/>
      <c r="AT59" s="725"/>
      <c r="AU59" s="725"/>
      <c r="AV59" s="725"/>
      <c r="AW59" s="725"/>
      <c r="AX59" s="725"/>
      <c r="AY59" s="726"/>
      <c r="AZ59" s="724"/>
      <c r="BA59" s="724"/>
      <c r="BB59" s="725"/>
      <c r="BD59" s="722"/>
      <c r="BG59" s="722"/>
    </row>
    <row r="60" spans="1:59" ht="18" customHeight="1" x14ac:dyDescent="0.2">
      <c r="A60" s="12" t="s">
        <v>267</v>
      </c>
      <c r="B60" s="7"/>
      <c r="C60" s="724"/>
      <c r="D60" s="724"/>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4"/>
      <c r="AG60" s="724"/>
      <c r="AH60" s="724"/>
      <c r="AI60" s="724"/>
      <c r="AJ60" s="724"/>
      <c r="AK60" s="724"/>
      <c r="AL60" s="724"/>
      <c r="AM60" s="724"/>
      <c r="AN60" s="724"/>
      <c r="AO60" s="725"/>
      <c r="AP60" s="725"/>
      <c r="AQ60" s="724"/>
      <c r="AR60" s="724"/>
      <c r="AS60" s="724"/>
      <c r="AT60" s="724"/>
      <c r="AU60" s="724"/>
      <c r="AV60" s="724"/>
      <c r="AW60" s="724"/>
      <c r="AX60" s="724"/>
      <c r="AY60" s="726"/>
      <c r="AZ60" s="724"/>
      <c r="BA60" s="724"/>
      <c r="BB60" s="725"/>
      <c r="BD60" s="722"/>
      <c r="BG60" s="722"/>
    </row>
    <row r="61" spans="1:59" ht="12.75" customHeight="1" x14ac:dyDescent="0.2">
      <c r="A61" s="190"/>
      <c r="B61" s="7"/>
      <c r="C61" s="724"/>
      <c r="D61" s="724"/>
      <c r="E61" s="725"/>
      <c r="F61" s="401"/>
      <c r="G61" s="401"/>
      <c r="H61" s="401"/>
      <c r="I61" s="725"/>
      <c r="J61" s="401"/>
      <c r="K61" s="401"/>
      <c r="L61" s="401"/>
      <c r="M61" s="725"/>
      <c r="N61" s="401"/>
      <c r="O61" s="725"/>
      <c r="P61" s="401"/>
      <c r="Q61" s="725"/>
      <c r="R61" s="401"/>
      <c r="S61" s="725"/>
      <c r="T61" s="401"/>
      <c r="U61" s="725"/>
      <c r="V61" s="401"/>
      <c r="W61" s="725"/>
      <c r="X61" s="401"/>
      <c r="Y61" s="725"/>
      <c r="Z61" s="401"/>
      <c r="AA61" s="725"/>
      <c r="AB61" s="725"/>
      <c r="AC61" s="725"/>
      <c r="AD61" s="725"/>
      <c r="AE61" s="725"/>
      <c r="AF61" s="724"/>
      <c r="AG61" s="724"/>
      <c r="AH61" s="724"/>
      <c r="AI61" s="724"/>
      <c r="AJ61" s="724"/>
      <c r="AK61" s="724"/>
      <c r="AL61" s="724"/>
      <c r="AM61" s="724"/>
      <c r="AN61" s="724"/>
      <c r="AO61" s="725"/>
      <c r="AP61" s="725"/>
      <c r="AQ61" s="724"/>
      <c r="AR61" s="724"/>
      <c r="AS61" s="724"/>
      <c r="AT61" s="724"/>
      <c r="AU61" s="724"/>
      <c r="AV61" s="724"/>
      <c r="AW61" s="724"/>
      <c r="AX61" s="724"/>
      <c r="AY61" s="304"/>
      <c r="AZ61" s="304"/>
      <c r="BA61" s="304"/>
      <c r="BB61" s="725"/>
      <c r="BD61" s="722"/>
      <c r="BG61" s="722"/>
    </row>
    <row r="62" spans="1:59" ht="12.75" customHeight="1" x14ac:dyDescent="0.2">
      <c r="A62" s="6"/>
      <c r="B62" s="7"/>
      <c r="C62" s="1479"/>
      <c r="D62" s="1480"/>
      <c r="E62" s="256"/>
      <c r="F62" s="410"/>
      <c r="G62" s="410"/>
      <c r="H62" s="410"/>
      <c r="I62" s="19"/>
      <c r="J62" s="410"/>
      <c r="K62" s="410"/>
      <c r="L62" s="410"/>
      <c r="M62" s="19"/>
      <c r="N62" s="17"/>
      <c r="O62" s="18"/>
      <c r="P62" s="410"/>
      <c r="Q62" s="19"/>
      <c r="R62" s="17"/>
      <c r="S62" s="18"/>
      <c r="T62" s="410"/>
      <c r="U62" s="19"/>
      <c r="W62" s="18"/>
      <c r="X62" s="2"/>
      <c r="Y62" s="19"/>
      <c r="Z62" s="18"/>
      <c r="AB62" s="410"/>
      <c r="AC62" s="19"/>
      <c r="AD62" s="18"/>
      <c r="AE62" s="18"/>
      <c r="AF62" s="18"/>
      <c r="AG62" s="18"/>
      <c r="AH62" s="22"/>
      <c r="AI62" s="19"/>
      <c r="AJ62" s="19"/>
      <c r="AK62" s="19"/>
      <c r="AL62" s="24"/>
      <c r="AM62" s="661" t="s">
        <v>340</v>
      </c>
      <c r="AN62" s="647"/>
      <c r="AO62" s="647" t="s">
        <v>320</v>
      </c>
      <c r="AP62" s="648"/>
      <c r="AQ62" s="15"/>
      <c r="AR62" s="87"/>
      <c r="AS62" s="87"/>
      <c r="AT62" s="87"/>
      <c r="AU62" s="87"/>
      <c r="AV62" s="87"/>
      <c r="AW62" s="193"/>
      <c r="AX62" s="191"/>
      <c r="AY62" s="87"/>
      <c r="AZ62" s="87"/>
      <c r="BA62" s="87"/>
      <c r="BB62" s="162"/>
      <c r="BD62" s="722"/>
      <c r="BG62" s="722"/>
    </row>
    <row r="63" spans="1:59" ht="12.75" customHeight="1" x14ac:dyDescent="0.2">
      <c r="A63" s="6" t="s">
        <v>101</v>
      </c>
      <c r="B63" s="7"/>
      <c r="C63" s="1481"/>
      <c r="D63" s="1482"/>
      <c r="E63" s="530"/>
      <c r="F63" s="21" t="s">
        <v>363</v>
      </c>
      <c r="G63" s="21" t="s">
        <v>362</v>
      </c>
      <c r="H63" s="21" t="s">
        <v>361</v>
      </c>
      <c r="I63" s="14" t="s">
        <v>359</v>
      </c>
      <c r="J63" s="21" t="s">
        <v>302</v>
      </c>
      <c r="K63" s="21" t="s">
        <v>303</v>
      </c>
      <c r="L63" s="21" t="s">
        <v>304</v>
      </c>
      <c r="M63" s="14" t="s">
        <v>305</v>
      </c>
      <c r="N63" s="20" t="s">
        <v>231</v>
      </c>
      <c r="O63" s="21" t="s">
        <v>232</v>
      </c>
      <c r="P63" s="21" t="s">
        <v>233</v>
      </c>
      <c r="Q63" s="14" t="s">
        <v>230</v>
      </c>
      <c r="R63" s="20" t="s">
        <v>194</v>
      </c>
      <c r="S63" s="21" t="s">
        <v>195</v>
      </c>
      <c r="T63" s="21" t="s">
        <v>196</v>
      </c>
      <c r="U63" s="14" t="s">
        <v>197</v>
      </c>
      <c r="V63" s="21" t="s">
        <v>126</v>
      </c>
      <c r="W63" s="21" t="s">
        <v>125</v>
      </c>
      <c r="X63" s="21" t="s">
        <v>124</v>
      </c>
      <c r="Y63" s="14" t="s">
        <v>123</v>
      </c>
      <c r="Z63" s="21" t="s">
        <v>86</v>
      </c>
      <c r="AA63" s="21" t="s">
        <v>87</v>
      </c>
      <c r="AB63" s="21" t="s">
        <v>88</v>
      </c>
      <c r="AC63" s="14" t="s">
        <v>30</v>
      </c>
      <c r="AD63" s="21" t="s">
        <v>31</v>
      </c>
      <c r="AE63" s="21" t="s">
        <v>32</v>
      </c>
      <c r="AF63" s="21" t="s">
        <v>33</v>
      </c>
      <c r="AG63" s="21" t="s">
        <v>34</v>
      </c>
      <c r="AH63" s="23" t="s">
        <v>35</v>
      </c>
      <c r="AI63" s="14" t="s">
        <v>36</v>
      </c>
      <c r="AJ63" s="14" t="s">
        <v>37</v>
      </c>
      <c r="AK63" s="14" t="s">
        <v>38</v>
      </c>
      <c r="AL63" s="256"/>
      <c r="AM63" s="21" t="s">
        <v>303</v>
      </c>
      <c r="AN63" s="21" t="s">
        <v>232</v>
      </c>
      <c r="AO63" s="1502" t="s">
        <v>39</v>
      </c>
      <c r="AP63" s="1482"/>
      <c r="AQ63" s="194"/>
      <c r="AR63" s="20" t="s">
        <v>307</v>
      </c>
      <c r="AS63" s="20" t="s">
        <v>235</v>
      </c>
      <c r="AT63" s="20"/>
      <c r="AU63" s="20"/>
      <c r="AV63" s="20"/>
      <c r="AW63" s="20"/>
      <c r="AX63" s="23"/>
      <c r="AY63" s="23"/>
      <c r="AZ63" s="23"/>
      <c r="BA63" s="23"/>
      <c r="BB63" s="162"/>
      <c r="BD63" s="722"/>
      <c r="BG63" s="722"/>
    </row>
    <row r="64" spans="1:59" ht="12.75" customHeight="1" x14ac:dyDescent="0.2">
      <c r="A64" s="145"/>
      <c r="B64" s="725" t="s">
        <v>4</v>
      </c>
      <c r="C64" s="397"/>
      <c r="D64" s="742"/>
      <c r="E64" s="88"/>
      <c r="F64" s="738"/>
      <c r="G64" s="738"/>
      <c r="H64" s="738"/>
      <c r="I64" s="739">
        <f>+I15</f>
        <v>755</v>
      </c>
      <c r="J64" s="738">
        <f>+J15</f>
        <v>1298</v>
      </c>
      <c r="K64" s="738">
        <f>+K15</f>
        <v>178</v>
      </c>
      <c r="L64" s="738">
        <f>+L15</f>
        <v>1153</v>
      </c>
      <c r="M64" s="739">
        <f>+M15</f>
        <v>844</v>
      </c>
      <c r="N64" s="738">
        <f t="shared" ref="N64:U64" si="10">N15</f>
        <v>0</v>
      </c>
      <c r="O64" s="738">
        <f t="shared" si="10"/>
        <v>0</v>
      </c>
      <c r="P64" s="738">
        <f t="shared" si="10"/>
        <v>0</v>
      </c>
      <c r="Q64" s="739">
        <f t="shared" si="10"/>
        <v>0</v>
      </c>
      <c r="R64" s="738">
        <f t="shared" si="10"/>
        <v>72704</v>
      </c>
      <c r="S64" s="738">
        <f t="shared" si="10"/>
        <v>68599</v>
      </c>
      <c r="T64" s="738">
        <f t="shared" si="10"/>
        <v>44539</v>
      </c>
      <c r="U64" s="739">
        <f t="shared" si="10"/>
        <v>47207</v>
      </c>
      <c r="V64" s="738">
        <v>54990</v>
      </c>
      <c r="W64" s="738">
        <v>51733</v>
      </c>
      <c r="X64" s="738">
        <v>40138</v>
      </c>
      <c r="Y64" s="739">
        <v>40185</v>
      </c>
      <c r="Z64" s="337">
        <v>37255</v>
      </c>
      <c r="AA64" s="738">
        <v>33532</v>
      </c>
      <c r="AB64" s="738">
        <v>43844</v>
      </c>
      <c r="AC64" s="739">
        <v>57853</v>
      </c>
      <c r="AD64" s="172">
        <v>54463</v>
      </c>
      <c r="AE64" s="209">
        <v>61166</v>
      </c>
      <c r="AF64" s="209">
        <v>57415</v>
      </c>
      <c r="AG64" s="213">
        <v>76083</v>
      </c>
      <c r="AH64" s="223">
        <v>75876</v>
      </c>
      <c r="AI64" s="213">
        <v>68831</v>
      </c>
      <c r="AJ64" s="213">
        <v>55626</v>
      </c>
      <c r="AK64" s="222">
        <v>72286</v>
      </c>
      <c r="AL64" s="88"/>
      <c r="AM64" s="738">
        <f>SUM(K64:M64)</f>
        <v>2175</v>
      </c>
      <c r="AN64" s="738">
        <f>SUM(O64:Q64)</f>
        <v>0</v>
      </c>
      <c r="AO64" s="754">
        <f>AR64-AS64</f>
        <v>3473</v>
      </c>
      <c r="AP64" s="517" t="e">
        <f>IF(OR((AO64/AS64)&gt;3,(AO64/AS64)&lt;-3),"n.m.",(AO64/AS64))</f>
        <v>#DIV/0!</v>
      </c>
      <c r="AQ64" s="724"/>
      <c r="AR64" s="744">
        <f>SUM(J64:M64)</f>
        <v>3473</v>
      </c>
      <c r="AS64" s="729">
        <f>SUM(N64:Q64)</f>
        <v>0</v>
      </c>
      <c r="AT64" s="729"/>
      <c r="AU64" s="729"/>
      <c r="AV64" s="729"/>
      <c r="AW64" s="221"/>
      <c r="AX64" s="223"/>
      <c r="AY64" s="223"/>
      <c r="AZ64" s="223"/>
      <c r="BA64" s="223"/>
      <c r="BB64" s="162"/>
      <c r="BD64" s="722"/>
      <c r="BG64" s="722"/>
    </row>
    <row r="65" spans="1:59" ht="12.75" customHeight="1" x14ac:dyDescent="0.2">
      <c r="A65" s="724"/>
      <c r="B65" s="725" t="s">
        <v>85</v>
      </c>
      <c r="C65" s="83"/>
      <c r="D65" s="45"/>
      <c r="E65" s="533"/>
      <c r="F65" s="399"/>
      <c r="G65" s="399"/>
      <c r="H65" s="399"/>
      <c r="I65" s="739">
        <f>+I31</f>
        <v>1331</v>
      </c>
      <c r="J65" s="399">
        <f>+J31-J28-J29</f>
        <v>1156</v>
      </c>
      <c r="K65" s="399">
        <f>+K31-K28-K29</f>
        <v>1172</v>
      </c>
      <c r="L65" s="399">
        <f>+L31-L28</f>
        <v>853</v>
      </c>
      <c r="M65" s="739">
        <f>+M31</f>
        <v>967</v>
      </c>
      <c r="N65" s="399">
        <f>N31-N28-N29</f>
        <v>0</v>
      </c>
      <c r="O65" s="399">
        <f>O31</f>
        <v>0</v>
      </c>
      <c r="P65" s="399">
        <f>P31</f>
        <v>0</v>
      </c>
      <c r="Q65" s="739">
        <f>Q31-Q30-Q28</f>
        <v>0</v>
      </c>
      <c r="R65" s="399">
        <f>R31-R30-R28</f>
        <v>54200</v>
      </c>
      <c r="S65" s="399">
        <f>S31-S30-S28</f>
        <v>52012</v>
      </c>
      <c r="T65" s="399">
        <f>T31-T30-T28</f>
        <v>38601</v>
      </c>
      <c r="U65" s="739">
        <f>U31-U30-U28</f>
        <v>39500</v>
      </c>
      <c r="V65" s="399">
        <v>46835</v>
      </c>
      <c r="W65" s="399">
        <v>42047</v>
      </c>
      <c r="X65" s="399">
        <v>35213</v>
      </c>
      <c r="Y65" s="739">
        <v>35168</v>
      </c>
      <c r="Z65" s="399">
        <v>28967</v>
      </c>
      <c r="AA65" s="399">
        <v>34689</v>
      </c>
      <c r="AB65" s="399">
        <v>35911</v>
      </c>
      <c r="AC65" s="739">
        <v>44683</v>
      </c>
      <c r="AD65" s="172">
        <v>43703</v>
      </c>
      <c r="AE65" s="209">
        <v>48132</v>
      </c>
      <c r="AF65" s="209">
        <v>44039</v>
      </c>
      <c r="AG65" s="213">
        <v>57148</v>
      </c>
      <c r="AH65" s="728">
        <v>55349</v>
      </c>
      <c r="AI65" s="213">
        <v>50178</v>
      </c>
      <c r="AJ65" s="213">
        <v>41346</v>
      </c>
      <c r="AK65" s="213">
        <v>55217</v>
      </c>
      <c r="AL65" s="88"/>
      <c r="AM65" s="738">
        <f>SUM(K65:M65)</f>
        <v>2992</v>
      </c>
      <c r="AN65" s="738">
        <f>SUM(O65:Q65)</f>
        <v>0</v>
      </c>
      <c r="AO65" s="754">
        <f>AR65-AS65</f>
        <v>4148</v>
      </c>
      <c r="AP65" s="45" t="e">
        <f>IF(OR((AO65/AS65)&gt;3,(AO65/AS65)&lt;-3),"n.m.",(AO65/AS65))</f>
        <v>#DIV/0!</v>
      </c>
      <c r="AQ65" s="724"/>
      <c r="AR65" s="729">
        <f>SUM(J65:M65)</f>
        <v>4148</v>
      </c>
      <c r="AS65" s="729">
        <f>SUM(N65:Q65)</f>
        <v>0</v>
      </c>
      <c r="AT65" s="729"/>
      <c r="AU65" s="729"/>
      <c r="AV65" s="729"/>
      <c r="AW65" s="172"/>
      <c r="AX65" s="728"/>
      <c r="AY65" s="728"/>
      <c r="AZ65" s="728"/>
      <c r="BA65" s="728"/>
      <c r="BB65" s="162"/>
      <c r="BD65" s="722"/>
      <c r="BG65" s="722"/>
    </row>
    <row r="66" spans="1:59" ht="24" x14ac:dyDescent="0.2">
      <c r="A66" s="724"/>
      <c r="B66" s="740" t="s">
        <v>188</v>
      </c>
      <c r="C66" s="83"/>
      <c r="D66" s="45"/>
      <c r="E66" s="533"/>
      <c r="F66" s="399"/>
      <c r="G66" s="399"/>
      <c r="H66" s="399"/>
      <c r="I66" s="739">
        <f>+I64-I65</f>
        <v>-576</v>
      </c>
      <c r="J66" s="399">
        <f>+J64-J65</f>
        <v>142</v>
      </c>
      <c r="K66" s="399">
        <f>+K64-K65</f>
        <v>-994</v>
      </c>
      <c r="L66" s="399">
        <f>+L64-L65</f>
        <v>300</v>
      </c>
      <c r="M66" s="739">
        <f>+M64-M65</f>
        <v>-123</v>
      </c>
      <c r="N66" s="399">
        <f t="shared" ref="N66:U66" si="11">N64-N65</f>
        <v>0</v>
      </c>
      <c r="O66" s="399">
        <f t="shared" si="11"/>
        <v>0</v>
      </c>
      <c r="P66" s="399">
        <f t="shared" si="11"/>
        <v>0</v>
      </c>
      <c r="Q66" s="739">
        <f t="shared" si="11"/>
        <v>0</v>
      </c>
      <c r="R66" s="399">
        <f t="shared" si="11"/>
        <v>18504</v>
      </c>
      <c r="S66" s="399">
        <f t="shared" si="11"/>
        <v>16587</v>
      </c>
      <c r="T66" s="399">
        <f t="shared" si="11"/>
        <v>5938</v>
      </c>
      <c r="U66" s="739">
        <f t="shared" si="11"/>
        <v>7707</v>
      </c>
      <c r="V66" s="399">
        <v>8155</v>
      </c>
      <c r="W66" s="399">
        <v>9686</v>
      </c>
      <c r="X66" s="399">
        <v>4925</v>
      </c>
      <c r="Y66" s="739">
        <v>5017</v>
      </c>
      <c r="Z66" s="399">
        <v>8288</v>
      </c>
      <c r="AA66" s="399">
        <v>-1157</v>
      </c>
      <c r="AB66" s="399">
        <v>7933</v>
      </c>
      <c r="AC66" s="739">
        <v>13170</v>
      </c>
      <c r="AD66" s="172">
        <v>10760</v>
      </c>
      <c r="AE66" s="209">
        <v>13034</v>
      </c>
      <c r="AF66" s="209">
        <v>13376</v>
      </c>
      <c r="AG66" s="213">
        <v>18935</v>
      </c>
      <c r="AH66" s="728">
        <v>20527</v>
      </c>
      <c r="AI66" s="213">
        <v>18653</v>
      </c>
      <c r="AJ66" s="213">
        <v>14280</v>
      </c>
      <c r="AK66" s="213">
        <v>17069</v>
      </c>
      <c r="AL66" s="88"/>
      <c r="AM66" s="738">
        <f>+AM64-AM65</f>
        <v>-817</v>
      </c>
      <c r="AN66" s="738">
        <f>+AN64-AN65</f>
        <v>0</v>
      </c>
      <c r="AO66" s="754">
        <f>AR66-AS66</f>
        <v>-675</v>
      </c>
      <c r="AP66" s="45" t="e">
        <f>IF(OR((AO66/AS66)&gt;3,(AO66/AS66)&lt;-3),"n.m.",(AO66/AS66))</f>
        <v>#DIV/0!</v>
      </c>
      <c r="AQ66" s="724"/>
      <c r="AR66" s="729">
        <f>SUM(J66:M66)</f>
        <v>-675</v>
      </c>
      <c r="AS66" s="729">
        <f>AS64-AS65</f>
        <v>0</v>
      </c>
      <c r="AT66" s="729"/>
      <c r="AU66" s="729"/>
      <c r="AV66" s="729"/>
      <c r="AW66" s="172"/>
      <c r="AX66" s="728"/>
      <c r="AY66" s="728"/>
      <c r="AZ66" s="728"/>
      <c r="BA66" s="728"/>
      <c r="BB66" s="162"/>
      <c r="BD66" s="722"/>
      <c r="BG66" s="722"/>
    </row>
    <row r="67" spans="1:59" x14ac:dyDescent="0.2">
      <c r="A67" s="724"/>
      <c r="B67" s="740" t="s">
        <v>77</v>
      </c>
      <c r="C67" s="152"/>
      <c r="D67" s="483"/>
      <c r="E67" s="533"/>
      <c r="F67" s="407"/>
      <c r="G67" s="407"/>
      <c r="H67" s="407"/>
      <c r="I67" s="370">
        <f>+I66</f>
        <v>-576</v>
      </c>
      <c r="J67" s="407">
        <f>+J66</f>
        <v>142</v>
      </c>
      <c r="K67" s="407">
        <f>+K66</f>
        <v>-994</v>
      </c>
      <c r="L67" s="407">
        <f>+L66</f>
        <v>300</v>
      </c>
      <c r="M67" s="370">
        <f>+M66</f>
        <v>-123</v>
      </c>
      <c r="N67" s="407">
        <f t="shared" ref="N67:S67" si="12">+N66-N37</f>
        <v>0</v>
      </c>
      <c r="O67" s="407">
        <f t="shared" si="12"/>
        <v>0</v>
      </c>
      <c r="P67" s="407">
        <f t="shared" si="12"/>
        <v>0</v>
      </c>
      <c r="Q67" s="370">
        <f t="shared" si="12"/>
        <v>0</v>
      </c>
      <c r="R67" s="407">
        <f t="shared" si="12"/>
        <v>9122</v>
      </c>
      <c r="S67" s="407">
        <f t="shared" si="12"/>
        <v>8143</v>
      </c>
      <c r="T67" s="407"/>
      <c r="U67" s="370"/>
      <c r="V67" s="407"/>
      <c r="W67" s="407"/>
      <c r="X67" s="407"/>
      <c r="Y67" s="370"/>
      <c r="Z67" s="407"/>
      <c r="AA67" s="407"/>
      <c r="AB67" s="407"/>
      <c r="AC67" s="370"/>
      <c r="AD67" s="208"/>
      <c r="AE67" s="215"/>
      <c r="AF67" s="215"/>
      <c r="AG67" s="216"/>
      <c r="AH67" s="203"/>
      <c r="AI67" s="216"/>
      <c r="AJ67" s="216"/>
      <c r="AK67" s="216"/>
      <c r="AL67" s="88"/>
      <c r="AM67" s="407">
        <f>+AM66-AM37</f>
        <v>-27970</v>
      </c>
      <c r="AN67" s="407">
        <f>+AN66-AN37</f>
        <v>0</v>
      </c>
      <c r="AO67" s="407">
        <f>AR67-AS67</f>
        <v>-675</v>
      </c>
      <c r="AP67" s="483" t="e">
        <f>IF(OR((AO67/AS67)&gt;3,(AO67/AS67)&lt;-3),"n.m.",(AO67/AS67))</f>
        <v>#DIV/0!</v>
      </c>
      <c r="AQ67" s="724"/>
      <c r="AR67" s="195">
        <f>SUM(J67:M67)</f>
        <v>-675</v>
      </c>
      <c r="AS67" s="195">
        <f>+AS66-AS37</f>
        <v>0</v>
      </c>
      <c r="AT67" s="195"/>
      <c r="AU67" s="195"/>
      <c r="AV67" s="195"/>
      <c r="AW67" s="208"/>
      <c r="AX67" s="203"/>
      <c r="AY67" s="203"/>
      <c r="AZ67" s="203"/>
      <c r="BA67" s="203"/>
      <c r="BB67" s="162"/>
      <c r="BD67" s="722"/>
      <c r="BG67" s="722"/>
    </row>
    <row r="68" spans="1:59" ht="12.75" customHeight="1" x14ac:dyDescent="0.2">
      <c r="A68" s="724"/>
      <c r="B68" s="725"/>
      <c r="C68" s="151"/>
      <c r="D68" s="11"/>
      <c r="E68" s="11"/>
      <c r="F68" s="11"/>
      <c r="G68" s="11"/>
      <c r="H68" s="11"/>
      <c r="I68" s="725"/>
      <c r="J68" s="11"/>
      <c r="K68" s="11"/>
      <c r="L68" s="11"/>
      <c r="M68" s="725"/>
      <c r="N68" s="421"/>
      <c r="O68" s="11"/>
      <c r="P68" s="11"/>
      <c r="Q68" s="725"/>
      <c r="R68" s="11"/>
      <c r="S68" s="11"/>
      <c r="T68" s="11"/>
      <c r="U68" s="725"/>
      <c r="V68" s="11"/>
      <c r="W68" s="11"/>
      <c r="X68" s="11"/>
      <c r="Y68" s="725"/>
      <c r="Z68" s="11"/>
      <c r="AA68" s="11"/>
      <c r="AB68" s="11"/>
      <c r="AC68" s="725"/>
      <c r="AD68" s="724"/>
      <c r="AE68" s="724"/>
      <c r="AF68" s="724"/>
      <c r="AG68" s="724"/>
      <c r="AH68" s="724"/>
      <c r="AI68" s="724"/>
      <c r="AJ68" s="724"/>
      <c r="AK68" s="724"/>
      <c r="AL68" s="725"/>
      <c r="AM68" s="725"/>
      <c r="AN68" s="725"/>
      <c r="AO68" s="151"/>
      <c r="AP68" s="11"/>
      <c r="AQ68" s="725"/>
      <c r="AR68" s="725"/>
      <c r="AS68" s="725"/>
      <c r="AT68" s="725"/>
      <c r="AU68" s="725"/>
      <c r="AV68" s="725"/>
      <c r="AW68" s="724"/>
      <c r="AX68" s="724"/>
      <c r="AY68" s="754"/>
      <c r="AZ68" s="754"/>
      <c r="BA68" s="754"/>
      <c r="BB68" s="725"/>
      <c r="BD68" s="722"/>
      <c r="BG68" s="722"/>
    </row>
    <row r="69" spans="1:59" ht="12.75" customHeight="1" x14ac:dyDescent="0.2">
      <c r="A69" s="724"/>
      <c r="B69" s="727" t="s">
        <v>80</v>
      </c>
      <c r="C69" s="225"/>
      <c r="D69" s="11"/>
      <c r="E69" s="11"/>
      <c r="F69" s="11"/>
      <c r="G69" s="11"/>
      <c r="H69" s="11"/>
      <c r="I69" s="11">
        <f>+(I65-I19-I20)/I15</f>
        <v>0.85298013245033111</v>
      </c>
      <c r="J69" s="11">
        <f>+(J65-J19-J20)/J15</f>
        <v>0.27041602465331277</v>
      </c>
      <c r="K69" s="11">
        <f>+(K65-K19-K20)/K15</f>
        <v>1.848314606741573</v>
      </c>
      <c r="L69" s="11">
        <f>+(L65-L19-L20)/L15</f>
        <v>0.45186470078057239</v>
      </c>
      <c r="M69" s="11">
        <f t="shared" ref="M69:U69" si="13">(M21+M22+M23+M24+M25+M26+M27)/M64</f>
        <v>0.46919431279620855</v>
      </c>
      <c r="N69" s="11" t="e">
        <f t="shared" si="13"/>
        <v>#DIV/0!</v>
      </c>
      <c r="O69" s="11" t="e">
        <f t="shared" si="13"/>
        <v>#DIV/0!</v>
      </c>
      <c r="P69" s="11" t="e">
        <f t="shared" si="13"/>
        <v>#DIV/0!</v>
      </c>
      <c r="Q69" s="11" t="e">
        <f t="shared" si="13"/>
        <v>#DIV/0!</v>
      </c>
      <c r="R69" s="11">
        <f t="shared" si="13"/>
        <v>0.18037522007042253</v>
      </c>
      <c r="S69" s="11">
        <f t="shared" si="13"/>
        <v>0.18236417440487471</v>
      </c>
      <c r="T69" s="11">
        <f t="shared" si="13"/>
        <v>0.27443364242573925</v>
      </c>
      <c r="U69" s="11">
        <f t="shared" si="13"/>
        <v>0.26133836083631667</v>
      </c>
      <c r="V69" s="11">
        <v>0.27384979087106748</v>
      </c>
      <c r="W69" s="11">
        <v>0.26397077300755806</v>
      </c>
      <c r="X69" s="11">
        <v>0.28613782450545616</v>
      </c>
      <c r="Y69" s="11">
        <v>0.3055617767823815</v>
      </c>
      <c r="Z69" s="11">
        <v>0.30438867266138775</v>
      </c>
      <c r="AA69" s="11">
        <v>0.52001073601336034</v>
      </c>
      <c r="AB69" s="11">
        <v>0.28095064318949003</v>
      </c>
      <c r="AC69" s="11">
        <v>0.24116294747031269</v>
      </c>
      <c r="AD69" s="35">
        <v>0.27273561867689994</v>
      </c>
      <c r="AE69" s="35">
        <v>0.26800000000000002</v>
      </c>
      <c r="AF69" s="35">
        <v>0.26400000000000001</v>
      </c>
      <c r="AG69" s="35">
        <v>0.20299999999999996</v>
      </c>
      <c r="AH69" s="35">
        <v>0.19</v>
      </c>
      <c r="AI69" s="35">
        <v>0.22199999999999998</v>
      </c>
      <c r="AJ69" s="35">
        <v>0.24399999999999999</v>
      </c>
      <c r="AK69" s="35">
        <v>0.255</v>
      </c>
      <c r="AL69" s="725"/>
      <c r="AM69" s="11">
        <f>+(AM65-AM19-AM20)/AM15</f>
        <v>0.57287356321839078</v>
      </c>
      <c r="AN69" s="11" t="e">
        <f>(AN21+AN22+AN23+AN24+AN25+AN26+AN27)/AN64</f>
        <v>#DIV/0!</v>
      </c>
      <c r="AO69" s="225" t="e">
        <f>(AR69-AS69)*100</f>
        <v>#DIV/0!</v>
      </c>
      <c r="AP69" s="11"/>
      <c r="AQ69" s="725"/>
      <c r="AR69" s="11">
        <f>(AR21+AR22+AR23+AR24+AR25+AR26+AR27)/AR64</f>
        <v>0.45983299740858047</v>
      </c>
      <c r="AS69" s="11" t="e">
        <f>(AS21+AS22+AS23+AS24+AS25+AS26+AS27)/AS64</f>
        <v>#DIV/0!</v>
      </c>
      <c r="AT69" s="11"/>
      <c r="AU69" s="35"/>
      <c r="AV69" s="35"/>
      <c r="AW69" s="35"/>
      <c r="AX69" s="35"/>
      <c r="AY69" s="305"/>
      <c r="AZ69" s="305"/>
      <c r="BA69" s="305"/>
      <c r="BB69" s="725"/>
      <c r="BD69" s="722"/>
      <c r="BG69" s="722"/>
    </row>
    <row r="70" spans="1:59" ht="12.75" customHeight="1" x14ac:dyDescent="0.2">
      <c r="A70" s="724"/>
      <c r="B70" s="727" t="s">
        <v>81</v>
      </c>
      <c r="C70" s="225"/>
      <c r="D70" s="11"/>
      <c r="E70" s="11"/>
      <c r="F70" s="11"/>
      <c r="G70" s="11"/>
      <c r="H70" s="11"/>
      <c r="I70" s="11">
        <f>I65/I64</f>
        <v>1.7629139072847682</v>
      </c>
      <c r="J70" s="11">
        <f>J65/J64</f>
        <v>0.89060092449922956</v>
      </c>
      <c r="K70" s="11">
        <f>K65/K64</f>
        <v>6.584269662921348</v>
      </c>
      <c r="L70" s="11">
        <f>L65/L64</f>
        <v>0.7398091934084996</v>
      </c>
      <c r="M70" s="11">
        <f t="shared" ref="M70:U70" si="14">M65/M64</f>
        <v>1.1457345971563981</v>
      </c>
      <c r="N70" s="11" t="e">
        <f t="shared" si="14"/>
        <v>#DIV/0!</v>
      </c>
      <c r="O70" s="11" t="e">
        <f t="shared" si="14"/>
        <v>#DIV/0!</v>
      </c>
      <c r="P70" s="11" t="e">
        <f t="shared" si="14"/>
        <v>#DIV/0!</v>
      </c>
      <c r="Q70" s="11" t="e">
        <f t="shared" si="14"/>
        <v>#DIV/0!</v>
      </c>
      <c r="R70" s="11">
        <f t="shared" si="14"/>
        <v>0.74548855633802813</v>
      </c>
      <c r="S70" s="11">
        <f t="shared" si="14"/>
        <v>0.75820347235382435</v>
      </c>
      <c r="T70" s="11">
        <f t="shared" si="14"/>
        <v>0.86667864119086646</v>
      </c>
      <c r="U70" s="11">
        <f t="shared" si="14"/>
        <v>0.83674031393649251</v>
      </c>
      <c r="V70" s="11">
        <v>0.8517003091471177</v>
      </c>
      <c r="W70" s="11">
        <v>0.81276941217404752</v>
      </c>
      <c r="X70" s="11">
        <v>0.8772983207932632</v>
      </c>
      <c r="Y70" s="11">
        <v>0.87515242005723526</v>
      </c>
      <c r="Z70" s="11">
        <v>0.77753321701784994</v>
      </c>
      <c r="AA70" s="11">
        <v>1.0345043540498629</v>
      </c>
      <c r="AB70" s="11">
        <v>0.81906304169327615</v>
      </c>
      <c r="AC70" s="11">
        <v>0.77235406979759047</v>
      </c>
      <c r="AD70" s="35">
        <v>0.8024346804252428</v>
      </c>
      <c r="AE70" s="35">
        <v>0.78700000000000003</v>
      </c>
      <c r="AF70" s="35">
        <v>0.76700000000000002</v>
      </c>
      <c r="AG70" s="35">
        <v>0.751</v>
      </c>
      <c r="AH70" s="35">
        <v>0.72899999999999998</v>
      </c>
      <c r="AI70" s="35">
        <v>0.72899999999999998</v>
      </c>
      <c r="AJ70" s="35">
        <v>0.74299999999999999</v>
      </c>
      <c r="AK70" s="35">
        <v>0.76400000000000001</v>
      </c>
      <c r="AL70" s="725"/>
      <c r="AM70" s="11">
        <f>AM65/AM64</f>
        <v>1.3756321839080459</v>
      </c>
      <c r="AN70" s="11" t="e">
        <f>AN65/AN64</f>
        <v>#DIV/0!</v>
      </c>
      <c r="AO70" s="225" t="e">
        <f>(AR70-AS70)*100</f>
        <v>#DIV/0!</v>
      </c>
      <c r="AP70" s="11"/>
      <c r="AQ70" s="725"/>
      <c r="AR70" s="11">
        <f>AR65/AR64</f>
        <v>1.1943564641520299</v>
      </c>
      <c r="AS70" s="11" t="e">
        <f>AS65/AS64</f>
        <v>#DIV/0!</v>
      </c>
      <c r="AT70" s="11"/>
      <c r="AU70" s="35"/>
      <c r="AV70" s="35"/>
      <c r="AW70" s="35"/>
      <c r="AX70" s="35"/>
      <c r="AY70" s="305"/>
      <c r="AZ70" s="305"/>
      <c r="BA70" s="305"/>
      <c r="BB70" s="725"/>
      <c r="BD70" s="722"/>
      <c r="BG70" s="722"/>
    </row>
    <row r="71" spans="1:59" ht="12.75" customHeight="1" x14ac:dyDescent="0.2">
      <c r="A71" s="724"/>
      <c r="B71" s="727" t="s">
        <v>187</v>
      </c>
      <c r="C71" s="225"/>
      <c r="D71" s="11"/>
      <c r="E71" s="11"/>
      <c r="F71" s="11"/>
      <c r="G71" s="11"/>
      <c r="H71" s="11"/>
      <c r="I71" s="11">
        <f t="shared" ref="I71:U71" si="15">I66/I64</f>
        <v>-0.76291390728476827</v>
      </c>
      <c r="J71" s="11">
        <f t="shared" si="15"/>
        <v>0.10939907550077041</v>
      </c>
      <c r="K71" s="11">
        <f t="shared" si="15"/>
        <v>-5.584269662921348</v>
      </c>
      <c r="L71" s="11">
        <f>L66/L64</f>
        <v>0.26019080659150046</v>
      </c>
      <c r="M71" s="11">
        <f>M66/M64</f>
        <v>-0.14573459715639811</v>
      </c>
      <c r="N71" s="11" t="e">
        <f t="shared" si="15"/>
        <v>#DIV/0!</v>
      </c>
      <c r="O71" s="11" t="e">
        <f>O66/O64</f>
        <v>#DIV/0!</v>
      </c>
      <c r="P71" s="11" t="e">
        <f t="shared" si="15"/>
        <v>#DIV/0!</v>
      </c>
      <c r="Q71" s="11" t="e">
        <f t="shared" si="15"/>
        <v>#DIV/0!</v>
      </c>
      <c r="R71" s="11">
        <f t="shared" si="15"/>
        <v>0.25451144366197181</v>
      </c>
      <c r="S71" s="11">
        <f t="shared" si="15"/>
        <v>0.2417965276461756</v>
      </c>
      <c r="T71" s="11">
        <f t="shared" si="15"/>
        <v>0.13332135880913357</v>
      </c>
      <c r="U71" s="11">
        <f t="shared" si="15"/>
        <v>0.16325968606350752</v>
      </c>
      <c r="V71" s="11">
        <v>0.14829969085288233</v>
      </c>
      <c r="W71" s="11">
        <v>0.18723058782595248</v>
      </c>
      <c r="X71" s="11">
        <v>0.12270167920673676</v>
      </c>
      <c r="Y71" s="11">
        <v>0.12484757994276471</v>
      </c>
      <c r="Z71" s="11">
        <v>0.22246678298215006</v>
      </c>
      <c r="AA71" s="11">
        <v>-3.4504354049862816E-2</v>
      </c>
      <c r="AB71" s="11">
        <v>0.18093695830672385</v>
      </c>
      <c r="AC71" s="11">
        <v>0.22764593020240956</v>
      </c>
      <c r="AD71" s="35">
        <v>0.19756531957475718</v>
      </c>
      <c r="AE71" s="35">
        <v>0.21299999999999997</v>
      </c>
      <c r="AF71" s="35">
        <v>0.23299999999999998</v>
      </c>
      <c r="AG71" s="35">
        <v>0.249</v>
      </c>
      <c r="AH71" s="35">
        <v>0.27100000000000002</v>
      </c>
      <c r="AI71" s="35">
        <v>0.27100000000000002</v>
      </c>
      <c r="AJ71" s="35">
        <v>0.25700000000000001</v>
      </c>
      <c r="AK71" s="35">
        <v>0.23599999999999999</v>
      </c>
      <c r="AL71" s="725"/>
      <c r="AM71" s="11">
        <f>AM66/AM64</f>
        <v>-0.37563218390804598</v>
      </c>
      <c r="AN71" s="11" t="e">
        <f>AN66/AN64</f>
        <v>#DIV/0!</v>
      </c>
      <c r="AO71" s="225" t="e">
        <f>(AR71-AS71)*100</f>
        <v>#DIV/0!</v>
      </c>
      <c r="AP71" s="11"/>
      <c r="AQ71" s="725"/>
      <c r="AR71" s="11">
        <f>AR66/AR64</f>
        <v>-0.19435646415202995</v>
      </c>
      <c r="AS71" s="11" t="e">
        <f>AS66/AS64</f>
        <v>#DIV/0!</v>
      </c>
      <c r="AT71" s="11"/>
      <c r="AU71" s="35"/>
      <c r="AV71" s="35"/>
      <c r="AW71" s="35"/>
      <c r="AX71" s="35"/>
      <c r="AY71" s="305"/>
      <c r="AZ71" s="305"/>
      <c r="BA71" s="305"/>
      <c r="BB71" s="725"/>
      <c r="BD71" s="722"/>
    </row>
    <row r="72" spans="1:59" ht="12.75" customHeight="1" x14ac:dyDescent="0.2">
      <c r="A72" s="724"/>
      <c r="B72" s="727"/>
      <c r="C72" s="225"/>
      <c r="D72" s="11"/>
      <c r="E72" s="11"/>
      <c r="F72" s="11"/>
      <c r="G72" s="11"/>
      <c r="H72" s="11"/>
      <c r="I72" s="11"/>
      <c r="J72" s="11"/>
      <c r="K72" s="11"/>
      <c r="L72" s="11"/>
      <c r="M72" s="11"/>
      <c r="P72" s="11"/>
      <c r="Q72" s="11"/>
      <c r="R72" s="11"/>
      <c r="S72" s="11"/>
      <c r="T72" s="11"/>
      <c r="U72" s="11"/>
      <c r="V72" s="11"/>
      <c r="W72" s="11"/>
      <c r="X72" s="11"/>
      <c r="Y72" s="11"/>
      <c r="Z72" s="11"/>
      <c r="AA72" s="11"/>
      <c r="AB72" s="11"/>
      <c r="AC72" s="11"/>
      <c r="AD72" s="35"/>
      <c r="AE72" s="35"/>
      <c r="AF72" s="35"/>
      <c r="AG72" s="35"/>
      <c r="AH72" s="35"/>
      <c r="AI72" s="35"/>
      <c r="AJ72" s="35"/>
      <c r="AK72" s="35"/>
      <c r="AL72" s="725"/>
      <c r="AM72" s="725"/>
      <c r="AN72" s="725"/>
      <c r="AO72" s="225"/>
      <c r="AP72" s="11"/>
      <c r="AQ72" s="725"/>
      <c r="AR72" s="35"/>
      <c r="AS72" s="35"/>
      <c r="AT72" s="35"/>
      <c r="AU72" s="35"/>
      <c r="AV72" s="35"/>
      <c r="AW72" s="35"/>
      <c r="AX72" s="35"/>
      <c r="AY72" s="305"/>
      <c r="AZ72" s="305"/>
      <c r="BA72" s="305"/>
      <c r="BB72" s="725"/>
      <c r="BD72" s="722"/>
    </row>
    <row r="73" spans="1:59" ht="12.75" customHeight="1" x14ac:dyDescent="0.2">
      <c r="A73" s="12" t="s">
        <v>199</v>
      </c>
      <c r="B73" s="727"/>
      <c r="C73" s="725"/>
      <c r="D73" s="725"/>
      <c r="E73" s="725"/>
      <c r="F73" s="725"/>
      <c r="G73" s="725"/>
      <c r="H73" s="725"/>
      <c r="I73" s="725"/>
      <c r="J73" s="725"/>
      <c r="K73" s="725"/>
      <c r="L73" s="725"/>
      <c r="M73" s="725"/>
      <c r="N73" s="725"/>
      <c r="O73" s="725"/>
      <c r="P73" s="725"/>
      <c r="Q73" s="725"/>
      <c r="R73" s="725"/>
      <c r="S73" s="725"/>
      <c r="T73" s="725"/>
      <c r="U73" s="725"/>
      <c r="V73" s="725"/>
      <c r="W73" s="725"/>
      <c r="X73" s="725"/>
      <c r="Y73" s="725"/>
      <c r="Z73" s="725"/>
      <c r="AA73" s="725"/>
      <c r="AB73" s="725"/>
      <c r="AC73" s="725"/>
      <c r="AD73" s="725"/>
      <c r="AE73" s="725"/>
      <c r="AF73" s="725"/>
      <c r="AG73" s="7"/>
      <c r="AH73" s="725"/>
      <c r="AI73" s="7"/>
      <c r="AJ73" s="7"/>
      <c r="AK73" s="725"/>
      <c r="AL73" s="725"/>
      <c r="AM73" s="725"/>
      <c r="AN73" s="725"/>
      <c r="AO73" s="725"/>
      <c r="AP73" s="725"/>
      <c r="AQ73" s="725"/>
      <c r="AR73" s="725"/>
      <c r="AS73" s="725"/>
      <c r="AT73" s="725"/>
      <c r="AU73" s="725"/>
      <c r="AV73" s="725"/>
      <c r="AW73" s="725"/>
      <c r="AX73" s="725"/>
      <c r="AY73" s="754"/>
      <c r="AZ73" s="305"/>
      <c r="BA73" s="305"/>
      <c r="BB73" s="725"/>
      <c r="BD73" s="722"/>
    </row>
    <row r="74" spans="1:59" ht="12.75" customHeight="1" x14ac:dyDescent="0.2">
      <c r="C74" s="1479"/>
      <c r="D74" s="1480"/>
      <c r="E74" s="256"/>
      <c r="F74" s="410"/>
      <c r="G74" s="410"/>
      <c r="H74" s="410"/>
      <c r="I74" s="19"/>
      <c r="J74" s="410"/>
      <c r="K74" s="410"/>
      <c r="L74" s="410"/>
      <c r="M74" s="19"/>
      <c r="N74" s="17"/>
      <c r="O74" s="18"/>
      <c r="P74" s="410"/>
      <c r="Q74" s="19"/>
      <c r="R74" s="17"/>
      <c r="S74" s="18"/>
      <c r="T74" s="410"/>
      <c r="U74" s="19"/>
      <c r="W74" s="18"/>
      <c r="X74" s="2"/>
      <c r="Y74" s="19"/>
      <c r="Z74" s="18"/>
      <c r="AB74" s="410"/>
      <c r="AC74" s="19"/>
      <c r="AD74" s="18"/>
      <c r="AE74" s="18"/>
      <c r="AF74" s="18"/>
      <c r="AG74" s="18"/>
      <c r="AH74" s="22"/>
      <c r="AI74" s="19"/>
      <c r="AJ74" s="19"/>
      <c r="AK74" s="19"/>
      <c r="AL74" s="24"/>
      <c r="AM74" s="661" t="s">
        <v>340</v>
      </c>
      <c r="AN74" s="647"/>
      <c r="AO74" s="647" t="s">
        <v>320</v>
      </c>
      <c r="AP74" s="648"/>
      <c r="AQ74" s="725"/>
      <c r="AR74" s="87"/>
      <c r="AS74" s="87"/>
      <c r="AT74" s="87"/>
      <c r="AU74" s="87"/>
      <c r="AV74" s="87"/>
      <c r="AW74" s="193"/>
      <c r="AX74" s="191"/>
      <c r="AY74" s="87"/>
      <c r="AZ74" s="305"/>
      <c r="BA74" s="305"/>
      <c r="BB74" s="162"/>
      <c r="BD74" s="722"/>
    </row>
    <row r="75" spans="1:59" ht="12.75" customHeight="1" x14ac:dyDescent="0.2">
      <c r="C75" s="1481"/>
      <c r="D75" s="1482"/>
      <c r="E75" s="530"/>
      <c r="F75" s="21" t="s">
        <v>363</v>
      </c>
      <c r="G75" s="21" t="s">
        <v>362</v>
      </c>
      <c r="H75" s="21" t="s">
        <v>361</v>
      </c>
      <c r="I75" s="14" t="s">
        <v>359</v>
      </c>
      <c r="J75" s="21" t="s">
        <v>302</v>
      </c>
      <c r="K75" s="21" t="s">
        <v>303</v>
      </c>
      <c r="L75" s="21" t="s">
        <v>304</v>
      </c>
      <c r="M75" s="14" t="s">
        <v>305</v>
      </c>
      <c r="N75" s="20" t="s">
        <v>231</v>
      </c>
      <c r="O75" s="21" t="s">
        <v>232</v>
      </c>
      <c r="P75" s="21" t="s">
        <v>233</v>
      </c>
      <c r="Q75" s="14" t="s">
        <v>230</v>
      </c>
      <c r="R75" s="20" t="s">
        <v>194</v>
      </c>
      <c r="S75" s="21" t="s">
        <v>195</v>
      </c>
      <c r="T75" s="21" t="s">
        <v>196</v>
      </c>
      <c r="U75" s="14" t="s">
        <v>197</v>
      </c>
      <c r="V75" s="21" t="s">
        <v>126</v>
      </c>
      <c r="W75" s="21" t="s">
        <v>125</v>
      </c>
      <c r="X75" s="21" t="s">
        <v>124</v>
      </c>
      <c r="Y75" s="14" t="s">
        <v>123</v>
      </c>
      <c r="Z75" s="21" t="s">
        <v>86</v>
      </c>
      <c r="AA75" s="21" t="s">
        <v>87</v>
      </c>
      <c r="AB75" s="21" t="s">
        <v>88</v>
      </c>
      <c r="AC75" s="14" t="s">
        <v>30</v>
      </c>
      <c r="AD75" s="21" t="s">
        <v>31</v>
      </c>
      <c r="AE75" s="21" t="s">
        <v>32</v>
      </c>
      <c r="AF75" s="21" t="s">
        <v>33</v>
      </c>
      <c r="AG75" s="21" t="s">
        <v>34</v>
      </c>
      <c r="AH75" s="23" t="s">
        <v>35</v>
      </c>
      <c r="AI75" s="14" t="s">
        <v>36</v>
      </c>
      <c r="AJ75" s="14" t="s">
        <v>37</v>
      </c>
      <c r="AK75" s="14" t="s">
        <v>38</v>
      </c>
      <c r="AL75" s="256"/>
      <c r="AM75" s="21" t="s">
        <v>303</v>
      </c>
      <c r="AN75" s="21" t="s">
        <v>232</v>
      </c>
      <c r="AO75" s="1502" t="s">
        <v>39</v>
      </c>
      <c r="AP75" s="1482"/>
      <c r="AQ75" s="725"/>
      <c r="AR75" s="20" t="s">
        <v>307</v>
      </c>
      <c r="AS75" s="20" t="s">
        <v>235</v>
      </c>
      <c r="AT75" s="20"/>
      <c r="AU75" s="20"/>
      <c r="AV75" s="20"/>
      <c r="AW75" s="20"/>
      <c r="AX75" s="23"/>
      <c r="AY75" s="23"/>
      <c r="AZ75" s="305"/>
      <c r="BA75" s="305"/>
      <c r="BB75" s="162"/>
      <c r="BD75" s="722"/>
    </row>
    <row r="76" spans="1:59" ht="12.75" customHeight="1" x14ac:dyDescent="0.2">
      <c r="A76" s="724"/>
      <c r="B76" s="7" t="s">
        <v>341</v>
      </c>
      <c r="C76" s="83"/>
      <c r="D76" s="45"/>
      <c r="E76" s="88"/>
      <c r="F76" s="399"/>
      <c r="G76" s="399"/>
      <c r="H76" s="399"/>
      <c r="I76" s="619">
        <v>628</v>
      </c>
      <c r="J76" s="399">
        <v>802</v>
      </c>
      <c r="K76" s="399">
        <v>73</v>
      </c>
      <c r="L76" s="399">
        <v>929</v>
      </c>
      <c r="M76" s="619">
        <v>776</v>
      </c>
      <c r="N76" s="399"/>
      <c r="O76" s="399"/>
      <c r="P76" s="399"/>
      <c r="Q76" s="619"/>
      <c r="R76" s="399">
        <v>46851</v>
      </c>
      <c r="S76" s="399">
        <v>45775</v>
      </c>
      <c r="T76" s="399">
        <v>32880</v>
      </c>
      <c r="U76" s="619">
        <v>34953</v>
      </c>
      <c r="V76" s="399">
        <v>38197</v>
      </c>
      <c r="W76" s="399">
        <v>34040</v>
      </c>
      <c r="X76" s="399">
        <v>30370</v>
      </c>
      <c r="Y76" s="619">
        <v>29756</v>
      </c>
      <c r="Z76" s="228">
        <v>24593</v>
      </c>
      <c r="AA76" s="429">
        <v>27916</v>
      </c>
      <c r="AB76" s="538">
        <v>32886</v>
      </c>
      <c r="AC76" s="619">
        <v>42504</v>
      </c>
      <c r="AD76" s="739">
        <v>29584</v>
      </c>
      <c r="AE76" s="725"/>
      <c r="AF76" s="725"/>
      <c r="AG76" s="7"/>
      <c r="AH76" s="725"/>
      <c r="AI76" s="7"/>
      <c r="AJ76" s="7"/>
      <c r="AK76" s="725"/>
      <c r="AL76" s="88"/>
      <c r="AM76" s="738">
        <f t="shared" ref="AM76:AM81" si="16">SUM(K76:M76)</f>
        <v>1778</v>
      </c>
      <c r="AN76" s="738">
        <f t="shared" ref="AN76:AN81" si="17">SUM(O76:Q76)</f>
        <v>0</v>
      </c>
      <c r="AO76" s="421">
        <f t="shared" ref="AO76:AO82" si="18">AR76-AS76</f>
        <v>2580</v>
      </c>
      <c r="AP76" s="45" t="e">
        <f t="shared" ref="AP76:AP82" si="19">IF(OR((AO76/AS76)&gt;3,(AO76/AS76)&lt;-3),"n.m.",(AO76/AS76))</f>
        <v>#DIV/0!</v>
      </c>
      <c r="AQ76" s="725"/>
      <c r="AR76" s="729">
        <f t="shared" ref="AR76:AR81" si="20">SUM(J76:M76)</f>
        <v>2580</v>
      </c>
      <c r="AS76" s="729">
        <f t="shared" ref="AS76:AS81" si="21">SUM(N76:Q76)</f>
        <v>0</v>
      </c>
      <c r="AT76" s="729"/>
      <c r="AU76" s="729"/>
      <c r="AV76" s="729"/>
      <c r="AW76" s="221"/>
      <c r="AX76" s="223"/>
      <c r="AY76" s="307"/>
      <c r="AZ76" s="305"/>
      <c r="BA76" s="305"/>
      <c r="BB76" s="162"/>
      <c r="BD76" s="722"/>
    </row>
    <row r="77" spans="1:59" ht="12.75" customHeight="1" x14ac:dyDescent="0.2">
      <c r="A77" s="724"/>
      <c r="B77" s="7" t="s">
        <v>65</v>
      </c>
      <c r="C77" s="83"/>
      <c r="D77" s="45"/>
      <c r="E77" s="88"/>
      <c r="F77" s="399"/>
      <c r="G77" s="399"/>
      <c r="H77" s="399"/>
      <c r="I77" s="619">
        <v>-50</v>
      </c>
      <c r="J77" s="399">
        <v>330</v>
      </c>
      <c r="K77" s="399">
        <v>-22</v>
      </c>
      <c r="L77" s="399">
        <v>136</v>
      </c>
      <c r="M77" s="619">
        <v>-23</v>
      </c>
      <c r="N77" s="399"/>
      <c r="O77" s="399"/>
      <c r="P77" s="399"/>
      <c r="Q77" s="619"/>
      <c r="R77" s="399">
        <v>19176</v>
      </c>
      <c r="S77" s="399">
        <v>18914</v>
      </c>
      <c r="T77" s="399">
        <v>8124</v>
      </c>
      <c r="U77" s="619">
        <v>9445</v>
      </c>
      <c r="V77" s="399">
        <v>10808</v>
      </c>
      <c r="W77" s="399">
        <v>10384</v>
      </c>
      <c r="X77" s="399">
        <v>6254</v>
      </c>
      <c r="Y77" s="619">
        <v>5954</v>
      </c>
      <c r="Z77" s="228">
        <v>5426</v>
      </c>
      <c r="AA77" s="399">
        <v>1798</v>
      </c>
      <c r="AB77" s="619">
        <v>5110</v>
      </c>
      <c r="AC77" s="619">
        <v>8533</v>
      </c>
      <c r="AD77" s="739">
        <v>68274</v>
      </c>
      <c r="AE77" s="725"/>
      <c r="AF77" s="725"/>
      <c r="AG77" s="7"/>
      <c r="AH77" s="725"/>
      <c r="AI77" s="7"/>
      <c r="AJ77" s="7"/>
      <c r="AK77" s="725"/>
      <c r="AL77" s="88"/>
      <c r="AM77" s="738">
        <f t="shared" si="16"/>
        <v>91</v>
      </c>
      <c r="AN77" s="738">
        <f t="shared" si="17"/>
        <v>0</v>
      </c>
      <c r="AO77" s="536">
        <f t="shared" si="18"/>
        <v>421</v>
      </c>
      <c r="AP77" s="45" t="e">
        <f t="shared" si="19"/>
        <v>#DIV/0!</v>
      </c>
      <c r="AQ77" s="725"/>
      <c r="AR77" s="729">
        <f t="shared" si="20"/>
        <v>421</v>
      </c>
      <c r="AS77" s="729">
        <f t="shared" si="21"/>
        <v>0</v>
      </c>
      <c r="AT77" s="729"/>
      <c r="AU77" s="729"/>
      <c r="AV77" s="729"/>
      <c r="AW77" s="172"/>
      <c r="AX77" s="728"/>
      <c r="AY77" s="43"/>
      <c r="AZ77" s="305"/>
      <c r="BA77" s="305"/>
      <c r="BB77" s="162"/>
      <c r="BD77" s="722"/>
    </row>
    <row r="78" spans="1:59" ht="12.75" customHeight="1" x14ac:dyDescent="0.2">
      <c r="A78" s="724"/>
      <c r="B78" s="7" t="s">
        <v>213</v>
      </c>
      <c r="C78" s="83"/>
      <c r="D78" s="45"/>
      <c r="E78" s="88"/>
      <c r="F78" s="399"/>
      <c r="G78" s="399"/>
      <c r="H78" s="399"/>
      <c r="I78" s="166">
        <v>0</v>
      </c>
      <c r="J78" s="399">
        <v>0</v>
      </c>
      <c r="K78" s="399">
        <v>0</v>
      </c>
      <c r="L78" s="399">
        <v>0</v>
      </c>
      <c r="M78" s="166">
        <v>0</v>
      </c>
      <c r="N78" s="730"/>
      <c r="O78" s="730"/>
      <c r="P78" s="399"/>
      <c r="Q78" s="166"/>
      <c r="R78" s="730">
        <v>0</v>
      </c>
      <c r="S78" s="730">
        <v>50</v>
      </c>
      <c r="T78" s="399">
        <v>250</v>
      </c>
      <c r="U78" s="166">
        <v>70</v>
      </c>
      <c r="V78" s="730">
        <v>0</v>
      </c>
      <c r="W78" s="730">
        <v>0</v>
      </c>
      <c r="X78" s="730">
        <v>0</v>
      </c>
      <c r="Y78" s="166">
        <v>0</v>
      </c>
      <c r="Z78" s="730">
        <v>0</v>
      </c>
      <c r="AA78" s="730">
        <v>0</v>
      </c>
      <c r="AB78" s="166">
        <v>0</v>
      </c>
      <c r="AC78" s="166">
        <v>0</v>
      </c>
      <c r="AD78" s="730">
        <v>0</v>
      </c>
      <c r="AE78" s="730"/>
      <c r="AF78" s="730"/>
      <c r="AG78" s="730"/>
      <c r="AH78" s="730"/>
      <c r="AI78" s="730"/>
      <c r="AJ78" s="730"/>
      <c r="AK78" s="730"/>
      <c r="AL78" s="616"/>
      <c r="AM78" s="738">
        <f t="shared" si="16"/>
        <v>0</v>
      </c>
      <c r="AN78" s="738">
        <f t="shared" si="17"/>
        <v>0</v>
      </c>
      <c r="AO78" s="536">
        <f t="shared" si="18"/>
        <v>0</v>
      </c>
      <c r="AP78" s="485" t="e">
        <f t="shared" si="19"/>
        <v>#DIV/0!</v>
      </c>
      <c r="AQ78" s="730"/>
      <c r="AR78" s="729">
        <f t="shared" si="20"/>
        <v>0</v>
      </c>
      <c r="AS78" s="616">
        <f t="shared" si="21"/>
        <v>0</v>
      </c>
      <c r="AT78" s="616"/>
      <c r="AU78" s="616"/>
      <c r="AV78" s="730"/>
      <c r="AW78" s="616"/>
      <c r="AX78" s="616"/>
      <c r="AY78" s="616"/>
      <c r="AZ78" s="305"/>
      <c r="BA78" s="305"/>
      <c r="BB78" s="162"/>
      <c r="BD78" s="722"/>
    </row>
    <row r="79" spans="1:59" ht="12.75" customHeight="1" x14ac:dyDescent="0.2">
      <c r="A79" s="724"/>
      <c r="B79" s="7" t="s">
        <v>66</v>
      </c>
      <c r="C79" s="83"/>
      <c r="D79" s="485"/>
      <c r="E79" s="88"/>
      <c r="F79" s="399"/>
      <c r="G79" s="399"/>
      <c r="H79" s="399"/>
      <c r="I79" s="619">
        <v>0</v>
      </c>
      <c r="J79" s="399">
        <v>0</v>
      </c>
      <c r="K79" s="399">
        <v>0</v>
      </c>
      <c r="L79" s="399">
        <v>0</v>
      </c>
      <c r="M79" s="619">
        <v>0</v>
      </c>
      <c r="N79" s="399"/>
      <c r="O79" s="399"/>
      <c r="P79" s="399"/>
      <c r="Q79" s="619"/>
      <c r="R79" s="399">
        <v>714</v>
      </c>
      <c r="S79" s="399">
        <v>526</v>
      </c>
      <c r="T79" s="399">
        <v>321</v>
      </c>
      <c r="U79" s="619">
        <v>104</v>
      </c>
      <c r="V79" s="399">
        <v>408</v>
      </c>
      <c r="W79" s="399">
        <v>4280</v>
      </c>
      <c r="X79" s="399">
        <v>850</v>
      </c>
      <c r="Y79" s="619">
        <v>1696</v>
      </c>
      <c r="Z79" s="228">
        <v>198</v>
      </c>
      <c r="AA79" s="399">
        <v>-649</v>
      </c>
      <c r="AB79" s="619">
        <v>-226</v>
      </c>
      <c r="AC79" s="619">
        <v>548</v>
      </c>
      <c r="AD79" s="739">
        <v>5363</v>
      </c>
      <c r="AE79" s="725"/>
      <c r="AF79" s="725"/>
      <c r="AG79" s="7"/>
      <c r="AH79" s="725"/>
      <c r="AI79" s="7"/>
      <c r="AJ79" s="7"/>
      <c r="AK79" s="725"/>
      <c r="AL79" s="88"/>
      <c r="AM79" s="738">
        <f t="shared" si="16"/>
        <v>0</v>
      </c>
      <c r="AN79" s="738">
        <f t="shared" si="17"/>
        <v>0</v>
      </c>
      <c r="AO79" s="536">
        <f t="shared" si="18"/>
        <v>0</v>
      </c>
      <c r="AP79" s="485" t="e">
        <f t="shared" si="19"/>
        <v>#DIV/0!</v>
      </c>
      <c r="AQ79" s="725"/>
      <c r="AR79" s="729">
        <f t="shared" si="20"/>
        <v>0</v>
      </c>
      <c r="AS79" s="729">
        <f t="shared" si="21"/>
        <v>0</v>
      </c>
      <c r="AT79" s="729"/>
      <c r="AU79" s="729"/>
      <c r="AV79" s="729"/>
      <c r="AW79" s="172"/>
      <c r="AX79" s="728"/>
      <c r="AY79" s="43"/>
      <c r="AZ79" s="305"/>
      <c r="BA79" s="305"/>
      <c r="BB79" s="162"/>
      <c r="BD79" s="722"/>
    </row>
    <row r="80" spans="1:59" ht="12.75" customHeight="1" x14ac:dyDescent="0.2">
      <c r="A80" s="724"/>
      <c r="B80" s="7" t="s">
        <v>67</v>
      </c>
      <c r="C80" s="83"/>
      <c r="D80" s="45"/>
      <c r="E80" s="88"/>
      <c r="F80" s="399"/>
      <c r="G80" s="399"/>
      <c r="H80" s="399"/>
      <c r="I80" s="619">
        <v>177</v>
      </c>
      <c r="J80" s="399">
        <v>166</v>
      </c>
      <c r="K80" s="399">
        <v>127</v>
      </c>
      <c r="L80" s="399">
        <v>76</v>
      </c>
      <c r="M80" s="619">
        <v>86</v>
      </c>
      <c r="N80" s="399"/>
      <c r="O80" s="399"/>
      <c r="P80" s="399"/>
      <c r="Q80" s="619"/>
      <c r="R80" s="399">
        <v>3221</v>
      </c>
      <c r="S80" s="399">
        <v>2965</v>
      </c>
      <c r="T80" s="399">
        <v>2556</v>
      </c>
      <c r="U80" s="619">
        <v>2302</v>
      </c>
      <c r="V80" s="399">
        <v>2191</v>
      </c>
      <c r="W80" s="399">
        <v>2171</v>
      </c>
      <c r="X80" s="399">
        <v>2224</v>
      </c>
      <c r="Y80" s="619">
        <v>2325</v>
      </c>
      <c r="Z80" s="228">
        <v>6358</v>
      </c>
      <c r="AA80" s="399">
        <v>4010</v>
      </c>
      <c r="AB80" s="619">
        <v>5644</v>
      </c>
      <c r="AC80" s="619">
        <v>5891</v>
      </c>
      <c r="AD80" s="739">
        <v>1512</v>
      </c>
      <c r="AE80" s="725"/>
      <c r="AF80" s="725"/>
      <c r="AG80" s="7"/>
      <c r="AH80" s="725"/>
      <c r="AI80" s="7"/>
      <c r="AJ80" s="7"/>
      <c r="AK80" s="725"/>
      <c r="AL80" s="88"/>
      <c r="AM80" s="738">
        <f t="shared" si="16"/>
        <v>289</v>
      </c>
      <c r="AN80" s="738">
        <f t="shared" si="17"/>
        <v>0</v>
      </c>
      <c r="AO80" s="536">
        <f t="shared" si="18"/>
        <v>455</v>
      </c>
      <c r="AP80" s="45" t="e">
        <f t="shared" si="19"/>
        <v>#DIV/0!</v>
      </c>
      <c r="AQ80" s="725"/>
      <c r="AR80" s="729">
        <f>SUM(J80:M80)</f>
        <v>455</v>
      </c>
      <c r="AS80" s="729">
        <f t="shared" si="21"/>
        <v>0</v>
      </c>
      <c r="AT80" s="729"/>
      <c r="AU80" s="729"/>
      <c r="AV80" s="729"/>
      <c r="AW80" s="172"/>
      <c r="AX80" s="728"/>
      <c r="AY80" s="43"/>
      <c r="AZ80" s="305"/>
      <c r="BA80" s="305"/>
      <c r="BB80" s="162"/>
      <c r="BD80" s="722"/>
    </row>
    <row r="81" spans="1:56" ht="12.75" customHeight="1" x14ac:dyDescent="0.2">
      <c r="A81" s="190"/>
      <c r="B81" s="7" t="s">
        <v>68</v>
      </c>
      <c r="C81" s="83"/>
      <c r="D81" s="45"/>
      <c r="E81" s="534"/>
      <c r="F81" s="407"/>
      <c r="G81" s="407"/>
      <c r="H81" s="407"/>
      <c r="I81" s="371">
        <v>0</v>
      </c>
      <c r="J81" s="407">
        <v>0</v>
      </c>
      <c r="K81" s="407">
        <v>0</v>
      </c>
      <c r="L81" s="407">
        <v>12</v>
      </c>
      <c r="M81" s="371">
        <v>5</v>
      </c>
      <c r="N81" s="399"/>
      <c r="O81" s="399"/>
      <c r="P81" s="407"/>
      <c r="Q81" s="371"/>
      <c r="R81" s="399">
        <v>2742</v>
      </c>
      <c r="S81" s="399">
        <v>369</v>
      </c>
      <c r="T81" s="407">
        <v>408</v>
      </c>
      <c r="U81" s="371">
        <v>333</v>
      </c>
      <c r="V81" s="399">
        <v>3386</v>
      </c>
      <c r="W81" s="399">
        <v>858</v>
      </c>
      <c r="X81" s="407">
        <v>440</v>
      </c>
      <c r="Y81" s="371">
        <v>454</v>
      </c>
      <c r="Z81" s="228">
        <v>680</v>
      </c>
      <c r="AA81" s="407">
        <v>457</v>
      </c>
      <c r="AB81" s="371">
        <v>430</v>
      </c>
      <c r="AC81" s="371">
        <v>377</v>
      </c>
      <c r="AD81" s="370">
        <v>60</v>
      </c>
      <c r="AE81" s="15"/>
      <c r="AF81" s="15"/>
      <c r="AG81" s="15"/>
      <c r="AH81" s="15"/>
      <c r="AI81" s="15"/>
      <c r="AJ81" s="15"/>
      <c r="AK81" s="15"/>
      <c r="AL81" s="88"/>
      <c r="AM81" s="738">
        <f t="shared" si="16"/>
        <v>17</v>
      </c>
      <c r="AN81" s="738">
        <f t="shared" si="17"/>
        <v>0</v>
      </c>
      <c r="AO81" s="537">
        <f t="shared" si="18"/>
        <v>17</v>
      </c>
      <c r="AP81" s="153" t="e">
        <f t="shared" si="19"/>
        <v>#DIV/0!</v>
      </c>
      <c r="AQ81" s="724"/>
      <c r="AR81" s="729">
        <f t="shared" si="20"/>
        <v>17</v>
      </c>
      <c r="AS81" s="195">
        <f t="shared" si="21"/>
        <v>0</v>
      </c>
      <c r="AT81" s="195"/>
      <c r="AU81" s="195"/>
      <c r="AV81" s="195"/>
      <c r="AW81" s="208"/>
      <c r="AX81" s="203"/>
      <c r="AY81" s="158"/>
      <c r="AZ81" s="305"/>
      <c r="BA81" s="305"/>
      <c r="BB81" s="162"/>
      <c r="BD81" s="722"/>
    </row>
    <row r="82" spans="1:56" ht="12.75" customHeight="1" x14ac:dyDescent="0.2">
      <c r="A82" s="190"/>
      <c r="B82" s="7"/>
      <c r="C82" s="507"/>
      <c r="D82" s="508"/>
      <c r="E82" s="24"/>
      <c r="F82" s="330">
        <f t="shared" ref="F82:Q82" si="22">SUM(F76:F81)</f>
        <v>0</v>
      </c>
      <c r="G82" s="330">
        <f t="shared" si="22"/>
        <v>0</v>
      </c>
      <c r="H82" s="330">
        <f t="shared" si="22"/>
        <v>0</v>
      </c>
      <c r="I82" s="510">
        <f t="shared" si="22"/>
        <v>755</v>
      </c>
      <c r="J82" s="330">
        <f t="shared" si="22"/>
        <v>1298</v>
      </c>
      <c r="K82" s="330">
        <f t="shared" si="22"/>
        <v>178</v>
      </c>
      <c r="L82" s="330">
        <f t="shared" si="22"/>
        <v>1153</v>
      </c>
      <c r="M82" s="510">
        <f t="shared" si="22"/>
        <v>844</v>
      </c>
      <c r="N82" s="330">
        <f t="shared" si="22"/>
        <v>0</v>
      </c>
      <c r="O82" s="330">
        <f t="shared" si="22"/>
        <v>0</v>
      </c>
      <c r="P82" s="330">
        <f t="shared" si="22"/>
        <v>0</v>
      </c>
      <c r="Q82" s="510">
        <f t="shared" si="22"/>
        <v>0</v>
      </c>
      <c r="R82" s="330">
        <v>72704</v>
      </c>
      <c r="S82" s="330">
        <v>68599</v>
      </c>
      <c r="T82" s="330">
        <v>44539</v>
      </c>
      <c r="U82" s="510">
        <v>47207</v>
      </c>
      <c r="V82" s="330">
        <v>54990</v>
      </c>
      <c r="W82" s="330">
        <v>51733</v>
      </c>
      <c r="X82" s="330">
        <v>40138</v>
      </c>
      <c r="Y82" s="510">
        <v>40185</v>
      </c>
      <c r="Z82" s="329">
        <v>37255</v>
      </c>
      <c r="AA82" s="330">
        <v>33532</v>
      </c>
      <c r="AB82" s="510">
        <v>43844</v>
      </c>
      <c r="AC82" s="510">
        <v>57853</v>
      </c>
      <c r="AD82" s="510">
        <v>104793</v>
      </c>
      <c r="AE82" s="2"/>
      <c r="AF82" s="2"/>
      <c r="AG82" s="2"/>
      <c r="AH82" s="2"/>
      <c r="AI82" s="2"/>
      <c r="AJ82" s="2"/>
      <c r="AK82" s="2"/>
      <c r="AL82" s="24"/>
      <c r="AM82" s="330">
        <f>SUM(AM76:AM81)</f>
        <v>2175</v>
      </c>
      <c r="AN82" s="330">
        <f>SUM(AN76:AN81)</f>
        <v>0</v>
      </c>
      <c r="AO82" s="549">
        <f t="shared" si="18"/>
        <v>3473</v>
      </c>
      <c r="AP82" s="508" t="e">
        <f t="shared" si="19"/>
        <v>#DIV/0!</v>
      </c>
      <c r="AR82" s="329">
        <f>SUM(AR76:AR81)</f>
        <v>3473</v>
      </c>
      <c r="AS82" s="329">
        <f>SUM(AS76:AS81)</f>
        <v>0</v>
      </c>
      <c r="AT82" s="329"/>
      <c r="AU82" s="329"/>
      <c r="AV82" s="509"/>
      <c r="AW82" s="330"/>
      <c r="AX82" s="509"/>
      <c r="AY82" s="171"/>
      <c r="AZ82" s="305"/>
      <c r="BA82" s="305"/>
      <c r="BB82" s="162"/>
      <c r="BD82" s="722"/>
    </row>
    <row r="83" spans="1:56" ht="12.75" customHeight="1" x14ac:dyDescent="0.2">
      <c r="A83" s="7" t="s">
        <v>339</v>
      </c>
      <c r="B83" s="13"/>
      <c r="C83" s="13"/>
      <c r="D83" s="13"/>
      <c r="E83" s="13"/>
      <c r="F83" s="13"/>
      <c r="G83" s="13"/>
      <c r="H83" s="13"/>
      <c r="I83" s="15"/>
      <c r="J83" s="13"/>
      <c r="K83" s="13"/>
      <c r="L83" s="13"/>
      <c r="M83" s="15"/>
      <c r="N83" s="13"/>
      <c r="O83" s="13"/>
      <c r="P83" s="13"/>
      <c r="Q83" s="15"/>
      <c r="R83" s="13"/>
      <c r="S83" s="13"/>
      <c r="T83" s="13"/>
      <c r="U83" s="15"/>
      <c r="V83" s="13"/>
      <c r="W83" s="13"/>
      <c r="X83" s="13"/>
      <c r="Y83" s="15"/>
      <c r="Z83" s="13"/>
      <c r="AA83" s="13"/>
      <c r="AB83" s="13"/>
      <c r="AC83" s="15"/>
      <c r="AD83" s="15"/>
      <c r="AE83" s="15"/>
      <c r="AF83" s="15"/>
      <c r="AG83" s="15"/>
      <c r="AH83" s="15"/>
      <c r="AI83" s="15"/>
      <c r="AJ83" s="15"/>
      <c r="AK83" s="15"/>
      <c r="AL83" s="722"/>
      <c r="AM83" s="722"/>
      <c r="AN83" s="722"/>
      <c r="AO83" s="724"/>
      <c r="AP83" s="724"/>
      <c r="AW83" s="2"/>
      <c r="AX83" s="2"/>
      <c r="BA83" s="722"/>
      <c r="BB83" s="722"/>
      <c r="BD83" s="722"/>
    </row>
    <row r="84" spans="1:56" x14ac:dyDescent="0.2">
      <c r="A84" s="722"/>
      <c r="B84" s="722"/>
      <c r="C84" s="722"/>
      <c r="D84" s="722"/>
      <c r="F84" s="754"/>
      <c r="G84" s="754"/>
      <c r="H84" s="754"/>
      <c r="I84" s="754"/>
      <c r="J84" s="754"/>
      <c r="K84" s="754"/>
      <c r="L84" s="754"/>
      <c r="M84" s="754"/>
      <c r="N84" s="754"/>
      <c r="O84" s="754"/>
      <c r="P84" s="754"/>
      <c r="Q84" s="754"/>
      <c r="R84" s="754"/>
      <c r="S84" s="754"/>
      <c r="T84" s="754"/>
      <c r="U84" s="754"/>
      <c r="V84" s="754"/>
      <c r="W84" s="754"/>
      <c r="X84" s="754"/>
      <c r="Y84" s="754"/>
      <c r="Z84" s="754"/>
      <c r="AA84" s="754"/>
      <c r="AB84" s="754"/>
      <c r="AC84" s="754"/>
      <c r="AD84" s="754"/>
      <c r="AE84" s="754"/>
      <c r="AF84" s="754"/>
      <c r="AG84" s="754"/>
      <c r="AH84" s="754"/>
      <c r="AI84" s="754"/>
      <c r="AJ84" s="754"/>
      <c r="AK84" s="754"/>
      <c r="AL84" s="754"/>
      <c r="AM84" s="754"/>
      <c r="AN84" s="754"/>
      <c r="AO84" s="754"/>
      <c r="AP84" s="754"/>
      <c r="AQ84" s="754"/>
      <c r="AR84" s="754"/>
      <c r="AS84" s="754"/>
      <c r="AT84" s="754"/>
      <c r="AU84" s="754"/>
      <c r="AV84" s="754"/>
      <c r="AW84" s="754"/>
      <c r="AX84" s="754"/>
      <c r="AY84" s="754"/>
      <c r="AZ84" s="724"/>
      <c r="BA84" s="722"/>
      <c r="BB84" s="722"/>
      <c r="BD84" s="722"/>
    </row>
    <row r="85" spans="1:56" x14ac:dyDescent="0.2">
      <c r="I85" s="754"/>
      <c r="M85" s="754"/>
      <c r="Q85" s="754"/>
      <c r="U85" s="754"/>
      <c r="Y85" s="754"/>
      <c r="AC85" s="754"/>
      <c r="AK85" s="754"/>
      <c r="AL85" s="722"/>
      <c r="AM85" s="722"/>
      <c r="AN85" s="722"/>
      <c r="AW85" s="754"/>
      <c r="AX85" s="754"/>
      <c r="AY85" s="105"/>
      <c r="AZ85" s="105"/>
      <c r="BA85" s="722"/>
      <c r="BB85" s="722"/>
      <c r="BD85" s="722"/>
    </row>
    <row r="86" spans="1:56" x14ac:dyDescent="0.2">
      <c r="I86" s="754"/>
      <c r="M86" s="754"/>
      <c r="Q86" s="754"/>
      <c r="U86" s="754"/>
      <c r="Y86" s="754"/>
      <c r="AC86" s="754"/>
      <c r="AK86" s="754"/>
      <c r="AL86" s="722"/>
      <c r="AM86" s="722"/>
      <c r="AN86" s="722"/>
      <c r="AW86" s="754"/>
      <c r="AX86" s="754"/>
      <c r="AY86" s="105"/>
      <c r="AZ86" s="105"/>
      <c r="BA86" s="722"/>
      <c r="BB86" s="722"/>
      <c r="BD86" s="722"/>
    </row>
    <row r="87" spans="1:56" x14ac:dyDescent="0.2">
      <c r="I87" s="754"/>
      <c r="M87" s="754"/>
      <c r="Q87" s="754"/>
      <c r="U87" s="754"/>
      <c r="Y87" s="754"/>
      <c r="AC87" s="754"/>
      <c r="AK87" s="754"/>
      <c r="AL87" s="722"/>
      <c r="AM87" s="722"/>
      <c r="AN87" s="722"/>
      <c r="AW87" s="754"/>
      <c r="AX87" s="754"/>
      <c r="AZ87" s="105"/>
    </row>
    <row r="88" spans="1:56" x14ac:dyDescent="0.2">
      <c r="I88" s="754"/>
      <c r="M88" s="754"/>
      <c r="Q88" s="754"/>
      <c r="U88" s="754"/>
      <c r="Y88" s="754"/>
      <c r="AC88" s="754"/>
      <c r="AK88" s="754"/>
      <c r="AL88" s="722"/>
      <c r="AM88" s="722"/>
      <c r="AN88" s="722"/>
      <c r="AW88" s="2"/>
      <c r="AX88" s="2"/>
      <c r="AZ88" s="105"/>
    </row>
    <row r="89" spans="1:56" x14ac:dyDescent="0.2">
      <c r="I89" s="2"/>
      <c r="M89" s="2"/>
      <c r="Q89" s="2"/>
      <c r="U89" s="2"/>
      <c r="Y89" s="2"/>
      <c r="AC89" s="2"/>
      <c r="AK89" s="148"/>
      <c r="AL89" s="722"/>
      <c r="AM89" s="722"/>
      <c r="AN89" s="722"/>
      <c r="AW89" s="2"/>
      <c r="AX89" s="2"/>
      <c r="AZ89" s="105"/>
    </row>
    <row r="90" spans="1:56" x14ac:dyDescent="0.2">
      <c r="I90" s="2"/>
      <c r="M90" s="2"/>
      <c r="Q90" s="2"/>
      <c r="U90" s="2"/>
      <c r="Y90" s="2"/>
      <c r="AC90" s="2"/>
      <c r="AK90" s="149"/>
      <c r="AL90" s="722"/>
      <c r="AM90" s="722"/>
      <c r="AN90" s="722"/>
      <c r="AW90" s="2"/>
      <c r="AX90" s="2"/>
    </row>
    <row r="91" spans="1:56" x14ac:dyDescent="0.2">
      <c r="I91" s="2"/>
      <c r="M91" s="2"/>
      <c r="Q91" s="2"/>
      <c r="U91" s="2"/>
      <c r="Y91" s="2"/>
      <c r="AC91" s="2"/>
      <c r="AK91" s="149"/>
      <c r="AL91" s="722"/>
      <c r="AM91" s="722"/>
      <c r="AN91" s="722"/>
      <c r="AW91" s="32"/>
      <c r="AX91" s="32"/>
    </row>
    <row r="92" spans="1:56" x14ac:dyDescent="0.2">
      <c r="E92" s="721"/>
      <c r="F92" s="721"/>
      <c r="G92" s="721"/>
      <c r="H92" s="721"/>
      <c r="J92" s="721"/>
      <c r="K92" s="721"/>
      <c r="L92" s="721"/>
      <c r="AC92" s="11"/>
      <c r="AD92" s="35"/>
      <c r="AE92" s="35"/>
      <c r="AF92" s="35"/>
      <c r="AG92" s="35"/>
      <c r="AH92" s="35"/>
      <c r="AI92" s="35"/>
      <c r="AJ92" s="35"/>
      <c r="AK92" s="47"/>
      <c r="AL92" s="722"/>
      <c r="AM92" s="722"/>
      <c r="AN92" s="722"/>
      <c r="AW92" s="35"/>
      <c r="AX92" s="35"/>
    </row>
    <row r="93" spans="1:56" x14ac:dyDescent="0.2">
      <c r="E93" s="721"/>
      <c r="F93" s="721"/>
      <c r="G93" s="721"/>
      <c r="H93" s="721"/>
      <c r="J93" s="721"/>
      <c r="K93" s="721"/>
      <c r="L93" s="721"/>
      <c r="AC93" s="11"/>
      <c r="AD93" s="35"/>
      <c r="AE93" s="35"/>
      <c r="AF93" s="35"/>
      <c r="AG93" s="35"/>
      <c r="AH93" s="35"/>
      <c r="AI93" s="35"/>
      <c r="AJ93" s="35"/>
      <c r="AK93" s="755"/>
      <c r="AL93" s="722"/>
      <c r="AM93" s="722"/>
      <c r="AN93" s="722"/>
      <c r="AW93" s="35"/>
      <c r="AX93" s="35"/>
    </row>
    <row r="94" spans="1:56" x14ac:dyDescent="0.2">
      <c r="E94" s="721"/>
      <c r="F94" s="721"/>
      <c r="G94" s="721"/>
      <c r="H94" s="721"/>
      <c r="J94" s="721"/>
      <c r="K94" s="721"/>
      <c r="L94" s="721"/>
      <c r="AC94" s="35"/>
      <c r="AD94" s="35"/>
      <c r="AE94" s="35"/>
      <c r="AF94" s="35"/>
      <c r="AG94" s="35"/>
      <c r="AH94" s="35"/>
      <c r="AI94" s="35"/>
      <c r="AJ94" s="35"/>
      <c r="AK94" s="35"/>
      <c r="AL94" s="722"/>
      <c r="AM94" s="722"/>
      <c r="AN94" s="722"/>
      <c r="AW94" s="36"/>
      <c r="AX94" s="36"/>
    </row>
    <row r="95" spans="1:56" x14ac:dyDescent="0.2">
      <c r="E95" s="721"/>
      <c r="F95" s="721"/>
      <c r="G95" s="721"/>
      <c r="H95" s="721"/>
      <c r="J95" s="721"/>
      <c r="K95" s="721"/>
      <c r="L95" s="721"/>
      <c r="AC95" s="36"/>
      <c r="AD95" s="36"/>
      <c r="AE95" s="36"/>
      <c r="AF95" s="36"/>
      <c r="AG95" s="36"/>
      <c r="AH95" s="36"/>
      <c r="AI95" s="36"/>
      <c r="AJ95" s="36"/>
      <c r="AK95" s="36"/>
      <c r="AL95" s="722"/>
      <c r="AM95" s="722"/>
      <c r="AN95" s="722"/>
      <c r="AW95" s="36"/>
      <c r="AX95" s="36"/>
    </row>
    <row r="96" spans="1:56" x14ac:dyDescent="0.2">
      <c r="E96" s="721"/>
      <c r="F96" s="721"/>
      <c r="G96" s="721"/>
      <c r="H96" s="721"/>
      <c r="J96" s="721"/>
      <c r="K96" s="721"/>
      <c r="L96" s="721"/>
      <c r="AC96" s="36"/>
      <c r="AD96" s="36"/>
      <c r="AE96" s="36"/>
      <c r="AF96" s="36"/>
      <c r="AG96" s="36"/>
      <c r="AH96" s="36"/>
      <c r="AI96" s="36"/>
      <c r="AJ96" s="36"/>
      <c r="AK96" s="36"/>
      <c r="AL96" s="722"/>
      <c r="AM96" s="722"/>
      <c r="AN96" s="722"/>
      <c r="AW96" s="722"/>
      <c r="AX96" s="722"/>
    </row>
    <row r="97" spans="5:50" x14ac:dyDescent="0.2">
      <c r="E97" s="721"/>
      <c r="F97" s="721"/>
      <c r="G97" s="721"/>
      <c r="H97" s="721"/>
      <c r="J97" s="721"/>
      <c r="K97" s="721"/>
      <c r="L97" s="721"/>
      <c r="AC97" s="722"/>
      <c r="AD97" s="722"/>
      <c r="AE97" s="722"/>
      <c r="AF97" s="722"/>
      <c r="AG97" s="722"/>
      <c r="AH97" s="722"/>
      <c r="AI97" s="722"/>
      <c r="AJ97" s="722"/>
      <c r="AK97" s="722"/>
      <c r="AL97" s="722"/>
      <c r="AM97" s="722"/>
      <c r="AN97" s="722"/>
      <c r="AW97" s="722"/>
      <c r="AX97" s="722"/>
    </row>
    <row r="98" spans="5:50" x14ac:dyDescent="0.2">
      <c r="E98" s="721"/>
      <c r="F98" s="721"/>
      <c r="G98" s="721"/>
      <c r="H98" s="721"/>
      <c r="J98" s="721"/>
      <c r="K98" s="721"/>
      <c r="L98" s="721"/>
      <c r="AC98" s="722"/>
      <c r="AD98" s="722"/>
      <c r="AE98" s="722"/>
      <c r="AF98" s="722"/>
      <c r="AG98" s="722"/>
      <c r="AH98" s="722"/>
      <c r="AI98" s="722"/>
      <c r="AJ98" s="722"/>
      <c r="AK98" s="722"/>
      <c r="AL98" s="722"/>
      <c r="AM98" s="722"/>
      <c r="AN98" s="722"/>
      <c r="AW98" s="722"/>
      <c r="AX98" s="722"/>
    </row>
    <row r="99" spans="5:50" x14ac:dyDescent="0.2">
      <c r="E99" s="721"/>
      <c r="F99" s="721"/>
      <c r="G99" s="721"/>
      <c r="H99" s="721"/>
      <c r="J99" s="721"/>
      <c r="K99" s="721"/>
      <c r="L99" s="721"/>
      <c r="AC99" s="722"/>
      <c r="AD99" s="722"/>
      <c r="AE99" s="722"/>
      <c r="AF99" s="722"/>
      <c r="AG99" s="722"/>
      <c r="AH99" s="722"/>
      <c r="AI99" s="722"/>
      <c r="AJ99" s="722"/>
      <c r="AK99" s="722"/>
      <c r="AL99" s="722"/>
      <c r="AM99" s="722"/>
      <c r="AN99" s="722"/>
      <c r="AW99" s="722"/>
      <c r="AX99" s="722"/>
    </row>
    <row r="100" spans="5:50" x14ac:dyDescent="0.2">
      <c r="E100" s="721"/>
      <c r="F100" s="721"/>
      <c r="G100" s="721"/>
      <c r="H100" s="721"/>
      <c r="J100" s="721"/>
      <c r="K100" s="721"/>
      <c r="L100" s="721"/>
      <c r="AC100" s="722"/>
      <c r="AD100" s="722"/>
      <c r="AE100" s="722"/>
      <c r="AF100" s="722"/>
      <c r="AG100" s="722"/>
      <c r="AH100" s="722"/>
      <c r="AI100" s="722"/>
      <c r="AJ100" s="722"/>
      <c r="AK100" s="722"/>
      <c r="AL100" s="722"/>
      <c r="AM100" s="722"/>
      <c r="AN100" s="722"/>
      <c r="AW100" s="722"/>
      <c r="AX100" s="722"/>
    </row>
    <row r="101" spans="5:50" x14ac:dyDescent="0.2">
      <c r="E101" s="721"/>
      <c r="F101" s="721"/>
      <c r="G101" s="721"/>
      <c r="H101" s="721"/>
      <c r="J101" s="721"/>
      <c r="K101" s="721"/>
      <c r="L101" s="721"/>
      <c r="AC101" s="722"/>
      <c r="AD101" s="722"/>
      <c r="AE101" s="722"/>
      <c r="AF101" s="722"/>
      <c r="AG101" s="722"/>
      <c r="AH101" s="722"/>
      <c r="AI101" s="722"/>
      <c r="AJ101" s="722"/>
      <c r="AK101" s="722"/>
      <c r="AL101" s="722"/>
      <c r="AM101" s="722"/>
      <c r="AN101" s="722"/>
    </row>
  </sheetData>
  <mergeCells count="10">
    <mergeCell ref="A32:B32"/>
    <mergeCell ref="C62:D62"/>
    <mergeCell ref="C63:D63"/>
    <mergeCell ref="AO63:AP63"/>
    <mergeCell ref="C74:D74"/>
    <mergeCell ref="C75:D75"/>
    <mergeCell ref="AO75:AP75"/>
    <mergeCell ref="C10:D10"/>
    <mergeCell ref="C11:D11"/>
    <mergeCell ref="AO11:AP11"/>
  </mergeCells>
  <conditionalFormatting sqref="A73 AD69:AK72 A81:A82 AU69:AX72 AS72:AT72 A60:A61 AV49:AZ49 AV41:AX48 A44:A47 A50 AS41:AU50 A40 B40:B55 AS55:AW55 N55:U55 AM41:AN49 J41:AK49 AR42:AR49 F42:I49">
    <cfRule type="cellIs" dxfId="16" priority="3" stopIfTrue="1" operator="equal">
      <formula>0</formula>
    </cfRule>
  </conditionalFormatting>
  <conditionalFormatting sqref="AR72 AR41 AR55 AR50">
    <cfRule type="cellIs" dxfId="15" priority="2" stopIfTrue="1" operator="equal">
      <formula>0</formula>
    </cfRule>
  </conditionalFormatting>
  <conditionalFormatting sqref="F41:I41">
    <cfRule type="cellIs" dxfId="14" priority="1" stopIfTrue="1" operator="equal">
      <formula>0</formula>
    </cfRule>
  </conditionalFormatting>
  <printOptions horizontalCentered="1"/>
  <pageMargins left="0.3" right="0.3" top="0.4" bottom="0.6" header="0" footer="0.3"/>
  <pageSetup scale="65" orientation="landscape" r:id="rId1"/>
  <headerFooter alignWithMargins="0">
    <oddFooter>&amp;L&amp;F&amp;CPage 4</oddFooter>
  </headerFooter>
  <colBreaks count="1" manualBreakCount="1">
    <brk id="51" max="7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BO79"/>
  <sheetViews>
    <sheetView topLeftCell="A19" zoomScaleNormal="100" zoomScaleSheetLayoutView="90" workbookViewId="0">
      <selection activeCell="A41" sqref="A41:XFD43"/>
    </sheetView>
  </sheetViews>
  <sheetFormatPr defaultRowHeight="12.75" x14ac:dyDescent="0.2"/>
  <cols>
    <col min="1" max="1" width="2.7109375" customWidth="1"/>
    <col min="2" max="2" width="40.5703125" customWidth="1"/>
    <col min="3" max="3" width="9.5703125" customWidth="1"/>
    <col min="4" max="4" width="9.7109375" customWidth="1"/>
    <col min="5" max="5" width="1.5703125" style="3" customWidth="1"/>
    <col min="6" max="6" width="9.7109375" style="722" customWidth="1"/>
    <col min="7" max="7" width="7.5703125" style="722" bestFit="1" customWidth="1"/>
    <col min="8" max="14" width="9.28515625" style="722" customWidth="1"/>
    <col min="15" max="17" width="9.28515625" style="722" hidden="1" customWidth="1"/>
    <col min="18" max="28" width="9.28515625" style="3" hidden="1" customWidth="1"/>
    <col min="29" max="29" width="7.7109375" style="3" hidden="1" customWidth="1"/>
    <col min="30" max="32" width="7.85546875" style="3" hidden="1" customWidth="1"/>
    <col min="33" max="33" width="7.85546875" hidden="1" customWidth="1"/>
    <col min="34" max="34" width="8" hidden="1" customWidth="1"/>
    <col min="35" max="35" width="7.5703125" hidden="1" customWidth="1"/>
    <col min="36" max="38" width="7" hidden="1" customWidth="1"/>
    <col min="39" max="41" width="7.5703125" hidden="1" customWidth="1"/>
    <col min="42" max="42" width="1.5703125" style="613" customWidth="1"/>
    <col min="43" max="44" width="10.42578125" style="613" hidden="1" customWidth="1"/>
    <col min="45" max="46" width="10.42578125" customWidth="1"/>
    <col min="47" max="47" width="1.5703125" customWidth="1"/>
    <col min="48" max="50" width="9.7109375" style="721" customWidth="1"/>
    <col min="51" max="51" width="9.7109375" style="613" customWidth="1"/>
    <col min="52" max="52" width="9.7109375" customWidth="1"/>
    <col min="53" max="59" width="9.7109375" hidden="1" customWidth="1"/>
    <col min="60" max="60" width="1.5703125" customWidth="1"/>
  </cols>
  <sheetData>
    <row r="5" spans="1:67" x14ac:dyDescent="0.2">
      <c r="A5" s="3"/>
      <c r="B5" s="3"/>
      <c r="C5" s="3"/>
      <c r="D5" s="3"/>
      <c r="AG5" s="3"/>
      <c r="AH5" s="3"/>
      <c r="AI5" s="3"/>
    </row>
    <row r="6" spans="1:67" ht="18" customHeight="1" x14ac:dyDescent="0.2">
      <c r="A6" s="132" t="s">
        <v>96</v>
      </c>
      <c r="B6" s="3"/>
      <c r="C6" s="3"/>
      <c r="D6" s="3"/>
      <c r="F6" s="874"/>
      <c r="G6" s="874"/>
      <c r="J6" s="874"/>
      <c r="K6" s="874"/>
      <c r="N6" s="874"/>
      <c r="O6" s="874"/>
      <c r="AG6" s="3"/>
      <c r="AH6" s="3"/>
      <c r="AI6" s="3"/>
    </row>
    <row r="7" spans="1:67" ht="18" customHeight="1" x14ac:dyDescent="0.2">
      <c r="A7" s="132" t="s">
        <v>409</v>
      </c>
      <c r="B7" s="3"/>
      <c r="C7" s="3"/>
      <c r="D7" s="3"/>
      <c r="AG7" s="3"/>
      <c r="AH7" s="3"/>
      <c r="AI7" s="3"/>
    </row>
    <row r="8" spans="1:67" ht="9.75" customHeight="1" x14ac:dyDescent="0.2">
      <c r="A8" s="2"/>
      <c r="B8" s="2"/>
      <c r="C8" s="2"/>
      <c r="D8" s="2"/>
      <c r="E8" s="2"/>
      <c r="F8" s="2"/>
      <c r="G8" s="2"/>
      <c r="H8" s="2"/>
      <c r="I8" s="2"/>
      <c r="J8" s="2"/>
      <c r="K8" s="2"/>
      <c r="L8" s="2"/>
      <c r="M8" s="2"/>
      <c r="N8" s="2"/>
      <c r="O8" s="2"/>
      <c r="P8" s="2"/>
      <c r="Q8" s="2"/>
      <c r="R8" s="424"/>
      <c r="S8" s="2"/>
      <c r="T8" s="2"/>
      <c r="U8" s="2"/>
      <c r="V8" s="424"/>
      <c r="W8" s="2"/>
      <c r="X8" s="424"/>
      <c r="Y8" s="2"/>
      <c r="Z8" s="424"/>
      <c r="AA8" s="2"/>
      <c r="AB8" s="424"/>
      <c r="AC8" s="2"/>
      <c r="AD8" s="424"/>
      <c r="AE8" s="2"/>
      <c r="AF8" s="2"/>
      <c r="AG8" s="3"/>
      <c r="AH8" s="3"/>
      <c r="AI8" s="3"/>
      <c r="AS8" s="552"/>
      <c r="AT8" s="552"/>
      <c r="BE8" s="3"/>
      <c r="BF8" s="3"/>
      <c r="BG8" s="3"/>
    </row>
    <row r="9" spans="1:67" x14ac:dyDescent="0.2">
      <c r="A9" s="6" t="s">
        <v>1</v>
      </c>
      <c r="B9" s="7"/>
      <c r="C9" s="1479" t="s">
        <v>447</v>
      </c>
      <c r="D9" s="1480"/>
      <c r="E9" s="256"/>
      <c r="F9" s="410"/>
      <c r="G9" s="410"/>
      <c r="H9" s="410"/>
      <c r="I9" s="19"/>
      <c r="J9" s="410"/>
      <c r="K9" s="410"/>
      <c r="L9" s="410"/>
      <c r="M9" s="19"/>
      <c r="N9" s="410"/>
      <c r="O9" s="410"/>
      <c r="P9" s="410"/>
      <c r="Q9" s="19"/>
      <c r="R9" s="17"/>
      <c r="S9" s="18"/>
      <c r="T9" s="410"/>
      <c r="U9" s="19"/>
      <c r="V9" s="17"/>
      <c r="W9" s="18"/>
      <c r="X9" s="410"/>
      <c r="Y9" s="19"/>
      <c r="Z9" s="722"/>
      <c r="AA9" s="18"/>
      <c r="AB9" s="2"/>
      <c r="AC9" s="19"/>
      <c r="AD9" s="18"/>
      <c r="AE9" s="722"/>
      <c r="AF9" s="410"/>
      <c r="AG9" s="19"/>
      <c r="AH9" s="18"/>
      <c r="AI9" s="18"/>
      <c r="AJ9" s="18"/>
      <c r="AK9" s="18"/>
      <c r="AL9" s="22"/>
      <c r="AM9" s="19"/>
      <c r="AN9" s="19"/>
      <c r="AO9" s="19"/>
      <c r="AP9" s="24"/>
      <c r="AQ9" s="661" t="s">
        <v>340</v>
      </c>
      <c r="AR9" s="647"/>
      <c r="AS9" s="647" t="s">
        <v>432</v>
      </c>
      <c r="AT9" s="648"/>
      <c r="AU9" s="15"/>
      <c r="AV9" s="87"/>
      <c r="AW9" s="87"/>
      <c r="AX9" s="87"/>
      <c r="AY9" s="87"/>
      <c r="AZ9" s="87"/>
      <c r="BA9" s="87"/>
      <c r="BB9" s="87"/>
      <c r="BC9" s="22"/>
      <c r="BD9" s="22"/>
      <c r="BE9" s="87"/>
      <c r="BF9" s="87"/>
      <c r="BG9" s="87"/>
      <c r="BH9" s="25"/>
    </row>
    <row r="10" spans="1:67" ht="13.5" x14ac:dyDescent="0.2">
      <c r="A10" s="6" t="s">
        <v>2</v>
      </c>
      <c r="B10" s="7"/>
      <c r="C10" s="1481" t="s">
        <v>39</v>
      </c>
      <c r="D10" s="1482"/>
      <c r="E10" s="530"/>
      <c r="F10" s="21" t="s">
        <v>425</v>
      </c>
      <c r="G10" s="21" t="s">
        <v>426</v>
      </c>
      <c r="H10" s="21" t="s">
        <v>427</v>
      </c>
      <c r="I10" s="14" t="s">
        <v>428</v>
      </c>
      <c r="J10" s="21" t="s">
        <v>363</v>
      </c>
      <c r="K10" s="21" t="s">
        <v>362</v>
      </c>
      <c r="L10" s="21" t="s">
        <v>361</v>
      </c>
      <c r="M10" s="14" t="s">
        <v>359</v>
      </c>
      <c r="N10" s="21" t="s">
        <v>302</v>
      </c>
      <c r="O10" s="21" t="s">
        <v>303</v>
      </c>
      <c r="P10" s="21" t="s">
        <v>304</v>
      </c>
      <c r="Q10" s="14" t="s">
        <v>305</v>
      </c>
      <c r="R10" s="20" t="s">
        <v>231</v>
      </c>
      <c r="S10" s="21" t="s">
        <v>232</v>
      </c>
      <c r="T10" s="21" t="s">
        <v>233</v>
      </c>
      <c r="U10" s="14" t="s">
        <v>230</v>
      </c>
      <c r="V10" s="20" t="s">
        <v>194</v>
      </c>
      <c r="W10" s="21" t="s">
        <v>195</v>
      </c>
      <c r="X10" s="21" t="s">
        <v>196</v>
      </c>
      <c r="Y10" s="14" t="s">
        <v>197</v>
      </c>
      <c r="Z10" s="21" t="s">
        <v>126</v>
      </c>
      <c r="AA10" s="21" t="s">
        <v>125</v>
      </c>
      <c r="AB10" s="21" t="s">
        <v>124</v>
      </c>
      <c r="AC10" s="14" t="s">
        <v>123</v>
      </c>
      <c r="AD10" s="21" t="s">
        <v>86</v>
      </c>
      <c r="AE10" s="21" t="s">
        <v>87</v>
      </c>
      <c r="AF10" s="21" t="s">
        <v>88</v>
      </c>
      <c r="AG10" s="14" t="s">
        <v>30</v>
      </c>
      <c r="AH10" s="21" t="s">
        <v>31</v>
      </c>
      <c r="AI10" s="21" t="s">
        <v>32</v>
      </c>
      <c r="AJ10" s="21" t="s">
        <v>33</v>
      </c>
      <c r="AK10" s="21" t="s">
        <v>34</v>
      </c>
      <c r="AL10" s="23" t="s">
        <v>35</v>
      </c>
      <c r="AM10" s="14" t="s">
        <v>36</v>
      </c>
      <c r="AN10" s="14" t="s">
        <v>37</v>
      </c>
      <c r="AO10" s="14" t="s">
        <v>38</v>
      </c>
      <c r="AP10" s="256"/>
      <c r="AQ10" s="21" t="s">
        <v>426</v>
      </c>
      <c r="AR10" s="21" t="s">
        <v>362</v>
      </c>
      <c r="AS10" s="1494" t="s">
        <v>39</v>
      </c>
      <c r="AT10" s="1482"/>
      <c r="AU10" s="16"/>
      <c r="AV10" s="20" t="s">
        <v>446</v>
      </c>
      <c r="AW10" s="20" t="s">
        <v>365</v>
      </c>
      <c r="AX10" s="20" t="s">
        <v>307</v>
      </c>
      <c r="AY10" s="20" t="s">
        <v>235</v>
      </c>
      <c r="AZ10" s="20" t="s">
        <v>128</v>
      </c>
      <c r="BA10" s="20" t="s">
        <v>127</v>
      </c>
      <c r="BB10" s="20" t="s">
        <v>43</v>
      </c>
      <c r="BC10" s="23" t="s">
        <v>40</v>
      </c>
      <c r="BD10" s="23" t="s">
        <v>41</v>
      </c>
      <c r="BE10" s="23" t="s">
        <v>146</v>
      </c>
      <c r="BF10" s="23" t="s">
        <v>147</v>
      </c>
      <c r="BG10" s="23" t="s">
        <v>148</v>
      </c>
      <c r="BH10" s="25"/>
      <c r="BI10" s="3"/>
      <c r="BJ10" s="3"/>
      <c r="BM10" s="3"/>
      <c r="BN10" s="3"/>
      <c r="BO10" s="3"/>
    </row>
    <row r="11" spans="1:67" s="613" customFormat="1" x14ac:dyDescent="0.2">
      <c r="A11" s="6"/>
      <c r="B11" s="7"/>
      <c r="C11" s="629"/>
      <c r="D11" s="631"/>
      <c r="E11" s="530"/>
      <c r="F11" s="633" t="s">
        <v>254</v>
      </c>
      <c r="G11" s="633" t="s">
        <v>254</v>
      </c>
      <c r="H11" s="633" t="s">
        <v>254</v>
      </c>
      <c r="I11" s="634" t="s">
        <v>254</v>
      </c>
      <c r="J11" s="633" t="s">
        <v>254</v>
      </c>
      <c r="K11" s="633" t="s">
        <v>254</v>
      </c>
      <c r="L11" s="633" t="s">
        <v>254</v>
      </c>
      <c r="M11" s="634" t="s">
        <v>254</v>
      </c>
      <c r="N11" s="633" t="s">
        <v>254</v>
      </c>
      <c r="O11" s="633" t="s">
        <v>254</v>
      </c>
      <c r="P11" s="633" t="s">
        <v>254</v>
      </c>
      <c r="Q11" s="634" t="s">
        <v>254</v>
      </c>
      <c r="R11" s="632" t="s">
        <v>254</v>
      </c>
      <c r="S11" s="633" t="s">
        <v>254</v>
      </c>
      <c r="T11" s="633" t="s">
        <v>254</v>
      </c>
      <c r="U11" s="634" t="s">
        <v>254</v>
      </c>
      <c r="V11" s="632" t="s">
        <v>254</v>
      </c>
      <c r="W11" s="633" t="s">
        <v>254</v>
      </c>
      <c r="X11" s="633" t="s">
        <v>254</v>
      </c>
      <c r="Y11" s="634" t="s">
        <v>254</v>
      </c>
      <c r="Z11" s="632" t="s">
        <v>255</v>
      </c>
      <c r="AA11" s="633" t="s">
        <v>255</v>
      </c>
      <c r="AB11" s="634" t="s">
        <v>255</v>
      </c>
      <c r="AC11" s="634" t="s">
        <v>255</v>
      </c>
      <c r="AD11" s="15"/>
      <c r="AE11" s="15"/>
      <c r="AF11" s="15"/>
      <c r="AG11" s="230"/>
      <c r="AH11" s="15"/>
      <c r="AI11" s="15"/>
      <c r="AJ11" s="15"/>
      <c r="AK11" s="15"/>
      <c r="AL11" s="256"/>
      <c r="AM11" s="230"/>
      <c r="AN11" s="230"/>
      <c r="AO11" s="230"/>
      <c r="AP11" s="256"/>
      <c r="AQ11" s="632" t="s">
        <v>254</v>
      </c>
      <c r="AR11" s="633" t="s">
        <v>254</v>
      </c>
      <c r="AS11" s="649"/>
      <c r="AT11" s="650"/>
      <c r="AU11" s="627"/>
      <c r="AV11" s="632" t="s">
        <v>254</v>
      </c>
      <c r="AW11" s="632" t="s">
        <v>254</v>
      </c>
      <c r="AX11" s="632" t="s">
        <v>254</v>
      </c>
      <c r="AY11" s="632" t="s">
        <v>254</v>
      </c>
      <c r="AZ11" s="632" t="s">
        <v>254</v>
      </c>
      <c r="BA11" s="632" t="s">
        <v>255</v>
      </c>
      <c r="BB11" s="632" t="s">
        <v>255</v>
      </c>
      <c r="BC11" s="635" t="s">
        <v>255</v>
      </c>
      <c r="BD11" s="635" t="s">
        <v>255</v>
      </c>
      <c r="BE11" s="256"/>
      <c r="BF11" s="256"/>
      <c r="BG11" s="256"/>
      <c r="BH11" s="25"/>
      <c r="BI11" s="3"/>
      <c r="BJ11" s="3"/>
      <c r="BM11" s="3"/>
      <c r="BN11" s="3"/>
      <c r="BO11" s="3"/>
    </row>
    <row r="12" spans="1:67" ht="12.75" customHeight="1" x14ac:dyDescent="0.2">
      <c r="A12" s="140" t="s">
        <v>64</v>
      </c>
      <c r="B12" s="8"/>
      <c r="C12" s="162"/>
      <c r="D12" s="164"/>
      <c r="E12" s="88"/>
      <c r="F12" s="192"/>
      <c r="G12" s="192"/>
      <c r="H12" s="192"/>
      <c r="I12" s="164"/>
      <c r="J12" s="192"/>
      <c r="K12" s="192"/>
      <c r="L12" s="192"/>
      <c r="M12" s="164"/>
      <c r="N12" s="192"/>
      <c r="O12" s="192"/>
      <c r="P12" s="192"/>
      <c r="Q12" s="164"/>
      <c r="R12" s="146"/>
      <c r="S12" s="192"/>
      <c r="T12" s="192"/>
      <c r="U12" s="164"/>
      <c r="V12" s="146"/>
      <c r="W12" s="192"/>
      <c r="X12" s="7"/>
      <c r="Y12" s="164"/>
      <c r="Z12" s="146"/>
      <c r="AA12" s="192"/>
      <c r="AB12" s="412"/>
      <c r="AC12" s="164"/>
      <c r="AD12" s="146"/>
      <c r="AE12" s="192"/>
      <c r="AF12" s="146"/>
      <c r="AG12" s="164"/>
      <c r="AH12" s="192"/>
      <c r="AI12" s="146"/>
      <c r="AJ12" s="146"/>
      <c r="AL12" s="22"/>
      <c r="AM12" s="26"/>
      <c r="AN12" s="26"/>
      <c r="AO12" s="18"/>
      <c r="AP12" s="88"/>
      <c r="AQ12" s="146"/>
      <c r="AR12" s="146"/>
      <c r="AS12" s="146"/>
      <c r="AT12" s="164"/>
      <c r="AU12" s="82"/>
      <c r="AV12" s="88"/>
      <c r="AW12" s="88"/>
      <c r="AX12" s="88"/>
      <c r="AY12" s="88"/>
      <c r="AZ12" s="88"/>
      <c r="BA12" s="88"/>
      <c r="BB12" s="88"/>
      <c r="BC12" s="88"/>
      <c r="BD12" s="191"/>
      <c r="BE12" s="315"/>
      <c r="BF12" s="315"/>
      <c r="BG12" s="315"/>
      <c r="BH12" s="25"/>
      <c r="BI12" s="3"/>
      <c r="BJ12" s="3"/>
      <c r="BM12" s="3"/>
    </row>
    <row r="13" spans="1:67" ht="12.75" customHeight="1" x14ac:dyDescent="0.2">
      <c r="A13" s="7"/>
      <c r="B13" s="224" t="s">
        <v>89</v>
      </c>
      <c r="C13" s="38">
        <v>2482</v>
      </c>
      <c r="D13" s="742">
        <v>1.3394495412844036</v>
      </c>
      <c r="E13" s="520"/>
      <c r="F13" s="408">
        <v>4335</v>
      </c>
      <c r="G13" s="408">
        <v>4373</v>
      </c>
      <c r="H13" s="408">
        <v>4233</v>
      </c>
      <c r="I13" s="213">
        <v>3827</v>
      </c>
      <c r="J13" s="408">
        <v>1853</v>
      </c>
      <c r="K13" s="408">
        <v>4988</v>
      </c>
      <c r="L13" s="408">
        <v>6372</v>
      </c>
      <c r="M13" s="213">
        <v>2205</v>
      </c>
      <c r="N13" s="408">
        <v>5045</v>
      </c>
      <c r="O13" s="408">
        <v>4535</v>
      </c>
      <c r="P13" s="408">
        <v>10003</v>
      </c>
      <c r="Q13" s="213">
        <v>4894</v>
      </c>
      <c r="R13" s="398">
        <v>10101</v>
      </c>
      <c r="S13" s="408">
        <v>9737</v>
      </c>
      <c r="T13" s="408">
        <v>2636</v>
      </c>
      <c r="U13" s="213">
        <v>7623</v>
      </c>
      <c r="V13" s="398">
        <v>11120</v>
      </c>
      <c r="W13" s="408">
        <v>8477</v>
      </c>
      <c r="X13" s="398">
        <v>7783</v>
      </c>
      <c r="Y13" s="213">
        <v>4558</v>
      </c>
      <c r="Z13" s="398">
        <v>4647</v>
      </c>
      <c r="AA13" s="408">
        <v>5374</v>
      </c>
      <c r="AB13" s="269">
        <v>5131</v>
      </c>
      <c r="AC13" s="213">
        <v>11781</v>
      </c>
      <c r="AD13" s="398">
        <v>4769</v>
      </c>
      <c r="AE13" s="408">
        <v>4406</v>
      </c>
      <c r="AF13" s="408">
        <v>8649</v>
      </c>
      <c r="AG13" s="213">
        <v>10062</v>
      </c>
      <c r="AH13" s="210">
        <v>11018</v>
      </c>
      <c r="AI13" s="343">
        <v>12605</v>
      </c>
      <c r="AJ13" s="343">
        <v>12383</v>
      </c>
      <c r="AK13" s="166">
        <v>14764</v>
      </c>
      <c r="AL13" s="175">
        <v>10416</v>
      </c>
      <c r="AM13" s="166">
        <v>8017</v>
      </c>
      <c r="AN13" s="166">
        <v>6975</v>
      </c>
      <c r="AO13" s="210">
        <v>8665</v>
      </c>
      <c r="AP13" s="88"/>
      <c r="AQ13" s="327">
        <v>12433</v>
      </c>
      <c r="AR13" s="327">
        <v>13565</v>
      </c>
      <c r="AS13" s="31">
        <v>1350</v>
      </c>
      <c r="AT13" s="30">
        <v>8.7559994811259562E-2</v>
      </c>
      <c r="AU13" s="82"/>
      <c r="AV13" s="744">
        <v>16768</v>
      </c>
      <c r="AW13" s="744">
        <v>15418</v>
      </c>
      <c r="AX13" s="744">
        <v>24477</v>
      </c>
      <c r="AY13" s="198">
        <v>30097</v>
      </c>
      <c r="AZ13" s="198">
        <v>31938</v>
      </c>
      <c r="BA13" s="198">
        <v>26933</v>
      </c>
      <c r="BB13" s="198">
        <v>27886</v>
      </c>
      <c r="BC13" s="198">
        <v>50770</v>
      </c>
      <c r="BD13" s="198">
        <v>34578</v>
      </c>
      <c r="BE13" s="84">
        <v>24555</v>
      </c>
      <c r="BF13" s="84">
        <v>14948</v>
      </c>
      <c r="BG13" s="84">
        <v>14416</v>
      </c>
      <c r="BH13" s="3"/>
      <c r="BI13" s="3"/>
      <c r="BJ13" s="3"/>
      <c r="BM13" s="3"/>
    </row>
    <row r="14" spans="1:67" ht="12.75" hidden="1" customHeight="1" x14ac:dyDescent="0.2">
      <c r="A14" s="7"/>
      <c r="B14" s="224" t="s">
        <v>159</v>
      </c>
      <c r="C14" s="38">
        <v>0</v>
      </c>
      <c r="D14" s="742">
        <v>0</v>
      </c>
      <c r="E14" s="520"/>
      <c r="F14" s="748"/>
      <c r="G14" s="748"/>
      <c r="H14" s="748"/>
      <c r="I14" s="213"/>
      <c r="J14" s="748"/>
      <c r="K14" s="748"/>
      <c r="L14" s="748"/>
      <c r="M14" s="213"/>
      <c r="N14" s="748"/>
      <c r="O14" s="748"/>
      <c r="P14" s="748"/>
      <c r="Q14" s="213"/>
      <c r="R14" s="398"/>
      <c r="S14" s="398"/>
      <c r="T14" s="398"/>
      <c r="U14" s="213"/>
      <c r="V14" s="398"/>
      <c r="W14" s="398"/>
      <c r="X14" s="398"/>
      <c r="Y14" s="213"/>
      <c r="Z14" s="398"/>
      <c r="AA14" s="398"/>
      <c r="AB14" s="269"/>
      <c r="AC14" s="213"/>
      <c r="AD14" s="398">
        <v>10</v>
      </c>
      <c r="AE14" s="398">
        <v>53</v>
      </c>
      <c r="AF14" s="398">
        <v>25</v>
      </c>
      <c r="AG14" s="213">
        <v>20</v>
      </c>
      <c r="AH14" s="209">
        <v>27</v>
      </c>
      <c r="AI14" s="209">
        <v>28</v>
      </c>
      <c r="AJ14" s="209">
        <v>83</v>
      </c>
      <c r="AK14" s="210">
        <v>48</v>
      </c>
      <c r="AL14" s="175">
        <v>81</v>
      </c>
      <c r="AM14" s="166">
        <v>38</v>
      </c>
      <c r="AN14" s="166">
        <v>397</v>
      </c>
      <c r="AO14" s="210">
        <v>70</v>
      </c>
      <c r="AP14" s="88"/>
      <c r="AQ14" s="146"/>
      <c r="AR14" s="146"/>
      <c r="AS14" s="31">
        <v>0</v>
      </c>
      <c r="AT14" s="30" t="e">
        <v>#DIV/0!</v>
      </c>
      <c r="AU14" s="82"/>
      <c r="AV14" s="744"/>
      <c r="AW14" s="744"/>
      <c r="AX14" s="744"/>
      <c r="AY14" s="198"/>
      <c r="AZ14" s="198">
        <v>0</v>
      </c>
      <c r="BA14" s="198"/>
      <c r="BB14" s="198">
        <v>108</v>
      </c>
      <c r="BC14" s="198">
        <v>186</v>
      </c>
      <c r="BD14" s="198">
        <v>586</v>
      </c>
      <c r="BE14" s="84">
        <v>75</v>
      </c>
      <c r="BF14" s="154">
        <v>0</v>
      </c>
      <c r="BG14" s="154">
        <v>0</v>
      </c>
      <c r="BH14" s="3"/>
      <c r="BI14" s="3"/>
      <c r="BJ14" s="3"/>
      <c r="BM14" s="3"/>
    </row>
    <row r="15" spans="1:67" ht="12.75" customHeight="1" x14ac:dyDescent="0.2">
      <c r="A15" s="8"/>
      <c r="B15" s="7"/>
      <c r="C15" s="167">
        <v>2482</v>
      </c>
      <c r="D15" s="168">
        <v>1.3394495412844036</v>
      </c>
      <c r="E15" s="520"/>
      <c r="F15" s="215">
        <v>4335</v>
      </c>
      <c r="G15" s="215">
        <v>4373</v>
      </c>
      <c r="H15" s="215">
        <v>4233</v>
      </c>
      <c r="I15" s="218">
        <v>3827</v>
      </c>
      <c r="J15" s="215">
        <v>1853</v>
      </c>
      <c r="K15" s="215">
        <v>4988</v>
      </c>
      <c r="L15" s="215">
        <v>6372</v>
      </c>
      <c r="M15" s="218">
        <v>2205</v>
      </c>
      <c r="N15" s="215">
        <v>5045</v>
      </c>
      <c r="O15" s="215">
        <v>4535</v>
      </c>
      <c r="P15" s="215">
        <v>10003</v>
      </c>
      <c r="Q15" s="218">
        <v>4894</v>
      </c>
      <c r="R15" s="217">
        <v>10101</v>
      </c>
      <c r="S15" s="215">
        <v>9737</v>
      </c>
      <c r="T15" s="215">
        <v>2636</v>
      </c>
      <c r="U15" s="218">
        <v>7623</v>
      </c>
      <c r="V15" s="217">
        <v>11120</v>
      </c>
      <c r="W15" s="215">
        <v>8477</v>
      </c>
      <c r="X15" s="217">
        <v>7783</v>
      </c>
      <c r="Y15" s="218">
        <v>4558</v>
      </c>
      <c r="Z15" s="217">
        <v>4647</v>
      </c>
      <c r="AA15" s="215">
        <v>5374</v>
      </c>
      <c r="AB15" s="218">
        <v>5131</v>
      </c>
      <c r="AC15" s="218">
        <v>11781</v>
      </c>
      <c r="AD15" s="217">
        <v>4769</v>
      </c>
      <c r="AE15" s="215">
        <v>4406</v>
      </c>
      <c r="AF15" s="215">
        <v>8649</v>
      </c>
      <c r="AG15" s="217">
        <v>10062</v>
      </c>
      <c r="AH15" s="176">
        <v>11018</v>
      </c>
      <c r="AI15" s="215">
        <v>12605</v>
      </c>
      <c r="AJ15" s="215">
        <v>12383</v>
      </c>
      <c r="AK15" s="217">
        <v>14764</v>
      </c>
      <c r="AL15" s="176">
        <v>10416</v>
      </c>
      <c r="AM15" s="218">
        <v>8055</v>
      </c>
      <c r="AN15" s="218">
        <v>7372</v>
      </c>
      <c r="AO15" s="217">
        <v>8735</v>
      </c>
      <c r="AP15" s="159"/>
      <c r="AQ15" s="217">
        <v>12433</v>
      </c>
      <c r="AR15" s="217">
        <v>13565</v>
      </c>
      <c r="AS15" s="336">
        <v>1350</v>
      </c>
      <c r="AT15" s="168">
        <v>8.7559994811259562E-2</v>
      </c>
      <c r="AU15" s="82"/>
      <c r="AV15" s="176">
        <v>16768</v>
      </c>
      <c r="AW15" s="176">
        <v>15418</v>
      </c>
      <c r="AX15" s="176">
        <v>24477</v>
      </c>
      <c r="AY15" s="176">
        <v>30097</v>
      </c>
      <c r="AZ15" s="176">
        <v>31938</v>
      </c>
      <c r="BA15" s="176">
        <v>26933</v>
      </c>
      <c r="BB15" s="176">
        <v>27886</v>
      </c>
      <c r="BC15" s="169">
        <v>50770</v>
      </c>
      <c r="BD15" s="169">
        <v>34578</v>
      </c>
      <c r="BE15" s="169">
        <v>24555</v>
      </c>
      <c r="BF15" s="169">
        <v>14948</v>
      </c>
      <c r="BG15" s="316">
        <v>4749</v>
      </c>
      <c r="BH15" s="25"/>
      <c r="BI15" s="3"/>
      <c r="BJ15" s="3"/>
      <c r="BM15" s="3"/>
    </row>
    <row r="16" spans="1:67" ht="12.75" customHeight="1" x14ac:dyDescent="0.2">
      <c r="A16" s="140" t="s">
        <v>5</v>
      </c>
      <c r="B16" s="7"/>
      <c r="C16" s="38"/>
      <c r="D16" s="742"/>
      <c r="E16" s="520"/>
      <c r="F16" s="748"/>
      <c r="G16" s="748"/>
      <c r="H16" s="748"/>
      <c r="I16" s="213"/>
      <c r="J16" s="748"/>
      <c r="K16" s="748"/>
      <c r="L16" s="748"/>
      <c r="M16" s="213"/>
      <c r="N16" s="748"/>
      <c r="O16" s="748"/>
      <c r="P16" s="748"/>
      <c r="Q16" s="213"/>
      <c r="R16" s="398"/>
      <c r="S16" s="398"/>
      <c r="T16" s="398"/>
      <c r="U16" s="213"/>
      <c r="V16" s="398"/>
      <c r="W16" s="398"/>
      <c r="X16" s="398"/>
      <c r="Y16" s="213"/>
      <c r="Z16" s="398"/>
      <c r="AA16" s="398"/>
      <c r="AB16" s="269"/>
      <c r="AC16" s="213"/>
      <c r="AD16" s="398"/>
      <c r="AE16" s="398"/>
      <c r="AF16" s="398"/>
      <c r="AG16" s="213"/>
      <c r="AH16" s="209"/>
      <c r="AI16" s="209"/>
      <c r="AJ16" s="209"/>
      <c r="AK16" s="209"/>
      <c r="AL16" s="159"/>
      <c r="AM16" s="213"/>
      <c r="AN16" s="213"/>
      <c r="AO16" s="209"/>
      <c r="AP16" s="88"/>
      <c r="AQ16" s="146"/>
      <c r="AR16" s="146"/>
      <c r="AS16" s="31"/>
      <c r="AT16" s="30"/>
      <c r="AU16" s="82"/>
      <c r="AV16" s="298"/>
      <c r="AW16" s="298"/>
      <c r="AX16" s="298"/>
      <c r="AY16" s="298"/>
      <c r="AZ16" s="298"/>
      <c r="BA16" s="298"/>
      <c r="BB16" s="298"/>
      <c r="BC16" s="198"/>
      <c r="BD16" s="198"/>
      <c r="BE16" s="84"/>
      <c r="BF16" s="84"/>
      <c r="BG16" s="84"/>
      <c r="BH16" s="3"/>
      <c r="BI16" s="3"/>
      <c r="BJ16" s="3"/>
      <c r="BM16" s="3"/>
    </row>
    <row r="17" spans="1:65" s="721" customFormat="1" ht="12.75" customHeight="1" x14ac:dyDescent="0.2">
      <c r="A17" s="615"/>
      <c r="B17" s="7" t="s">
        <v>333</v>
      </c>
      <c r="C17" s="686">
        <v>-282</v>
      </c>
      <c r="D17" s="742">
        <v>-6.6951566951566954E-2</v>
      </c>
      <c r="E17" s="741"/>
      <c r="F17" s="748">
        <v>3930</v>
      </c>
      <c r="G17" s="748">
        <v>31</v>
      </c>
      <c r="H17" s="750">
        <v>3085</v>
      </c>
      <c r="I17" s="703">
        <v>1255</v>
      </c>
      <c r="J17" s="748">
        <v>4212</v>
      </c>
      <c r="K17" s="748">
        <v>3195</v>
      </c>
      <c r="L17" s="750">
        <v>866</v>
      </c>
      <c r="M17" s="703">
        <v>776</v>
      </c>
      <c r="N17" s="750">
        <v>2137</v>
      </c>
      <c r="O17" s="750">
        <v>2260</v>
      </c>
      <c r="P17" s="750">
        <v>97</v>
      </c>
      <c r="Q17" s="703">
        <v>219</v>
      </c>
      <c r="R17" s="750">
        <v>2591</v>
      </c>
      <c r="S17" s="750">
        <v>1870</v>
      </c>
      <c r="T17" s="750">
        <v>10</v>
      </c>
      <c r="U17" s="703">
        <v>2877</v>
      </c>
      <c r="V17" s="750">
        <v>8396</v>
      </c>
      <c r="W17" s="750">
        <v>9070</v>
      </c>
      <c r="X17" s="750">
        <v>2498</v>
      </c>
      <c r="Y17" s="703"/>
      <c r="Z17" s="750"/>
      <c r="AA17" s="750"/>
      <c r="AB17" s="749"/>
      <c r="AC17" s="703"/>
      <c r="AD17" s="750"/>
      <c r="AE17" s="750"/>
      <c r="AF17" s="750"/>
      <c r="AG17" s="703"/>
      <c r="AH17" s="421"/>
      <c r="AI17" s="421"/>
      <c r="AJ17" s="421"/>
      <c r="AK17" s="421"/>
      <c r="AL17" s="705"/>
      <c r="AM17" s="703"/>
      <c r="AN17" s="703"/>
      <c r="AO17" s="421"/>
      <c r="AP17" s="751"/>
      <c r="AQ17" s="421">
        <v>4371</v>
      </c>
      <c r="AR17" s="536">
        <v>4837</v>
      </c>
      <c r="AS17" s="421">
        <v>-748</v>
      </c>
      <c r="AT17" s="742">
        <v>-8.2661067521273071E-2</v>
      </c>
      <c r="AU17" s="724"/>
      <c r="AV17" s="744">
        <v>8301</v>
      </c>
      <c r="AW17" s="744">
        <v>9049</v>
      </c>
      <c r="AX17" s="744">
        <v>4713</v>
      </c>
      <c r="AY17" s="616">
        <v>7348</v>
      </c>
      <c r="AZ17" s="616">
        <v>23083</v>
      </c>
      <c r="BA17" s="616">
        <v>12870</v>
      </c>
      <c r="BB17" s="616">
        <v>5114</v>
      </c>
      <c r="BC17" s="744">
        <v>12561</v>
      </c>
      <c r="BD17" s="744"/>
      <c r="BE17" s="84"/>
      <c r="BF17" s="84"/>
      <c r="BG17" s="84"/>
      <c r="BH17" s="722"/>
      <c r="BI17" s="722"/>
      <c r="BJ17" s="722"/>
      <c r="BM17" s="722"/>
    </row>
    <row r="18" spans="1:65" s="721" customFormat="1" ht="12.75" customHeight="1" x14ac:dyDescent="0.2">
      <c r="A18" s="615"/>
      <c r="B18" s="7" t="s">
        <v>334</v>
      </c>
      <c r="C18" s="404">
        <v>172</v>
      </c>
      <c r="D18" s="147">
        <v>0.51497005988023947</v>
      </c>
      <c r="E18" s="741"/>
      <c r="F18" s="408">
        <v>506</v>
      </c>
      <c r="G18" s="408">
        <v>751</v>
      </c>
      <c r="H18" s="836">
        <v>1247</v>
      </c>
      <c r="I18" s="837">
        <v>939</v>
      </c>
      <c r="J18" s="408">
        <v>334</v>
      </c>
      <c r="K18" s="408">
        <v>140</v>
      </c>
      <c r="L18" s="836">
        <v>269</v>
      </c>
      <c r="M18" s="837">
        <v>141</v>
      </c>
      <c r="N18" s="836">
        <v>313</v>
      </c>
      <c r="O18" s="836">
        <v>433</v>
      </c>
      <c r="P18" s="836">
        <v>-51</v>
      </c>
      <c r="Q18" s="837">
        <v>-377</v>
      </c>
      <c r="R18" s="836">
        <v>91</v>
      </c>
      <c r="S18" s="836">
        <v>168</v>
      </c>
      <c r="T18" s="836">
        <v>1176</v>
      </c>
      <c r="U18" s="837">
        <v>356</v>
      </c>
      <c r="V18" s="836">
        <v>-386</v>
      </c>
      <c r="W18" s="836">
        <v>-1374</v>
      </c>
      <c r="X18" s="836">
        <v>224</v>
      </c>
      <c r="Y18" s="703"/>
      <c r="Z18" s="750"/>
      <c r="AA18" s="750"/>
      <c r="AB18" s="749"/>
      <c r="AC18" s="703"/>
      <c r="AD18" s="750"/>
      <c r="AE18" s="750"/>
      <c r="AF18" s="750"/>
      <c r="AG18" s="703"/>
      <c r="AH18" s="421"/>
      <c r="AI18" s="421"/>
      <c r="AJ18" s="421"/>
      <c r="AK18" s="421"/>
      <c r="AL18" s="705"/>
      <c r="AM18" s="703"/>
      <c r="AN18" s="703"/>
      <c r="AO18" s="421"/>
      <c r="AP18" s="751"/>
      <c r="AQ18" s="836">
        <v>2937</v>
      </c>
      <c r="AR18" s="836">
        <v>550</v>
      </c>
      <c r="AS18" s="1322">
        <v>2559</v>
      </c>
      <c r="AT18" s="147">
        <v>2.8947963800904977</v>
      </c>
      <c r="AU18" s="724"/>
      <c r="AV18" s="427">
        <v>3443</v>
      </c>
      <c r="AW18" s="427">
        <v>884</v>
      </c>
      <c r="AX18" s="427">
        <v>318</v>
      </c>
      <c r="AY18" s="427">
        <v>1791</v>
      </c>
      <c r="AZ18" s="427">
        <v>-1621</v>
      </c>
      <c r="BA18" s="427">
        <v>2420</v>
      </c>
      <c r="BB18" s="427">
        <v>915</v>
      </c>
      <c r="BC18" s="204">
        <v>2142</v>
      </c>
      <c r="BD18" s="744"/>
      <c r="BE18" s="84"/>
      <c r="BF18" s="84"/>
      <c r="BG18" s="84"/>
      <c r="BH18" s="722"/>
      <c r="BI18" s="722"/>
      <c r="BJ18" s="722"/>
      <c r="BM18" s="722"/>
    </row>
    <row r="19" spans="1:65" ht="12.75" customHeight="1" x14ac:dyDescent="0.2">
      <c r="A19" s="8"/>
      <c r="B19" s="724" t="s">
        <v>218</v>
      </c>
      <c r="C19" s="38">
        <v>-110</v>
      </c>
      <c r="D19" s="742">
        <v>-2.4197096348438186E-2</v>
      </c>
      <c r="E19" s="520"/>
      <c r="F19" s="748">
        <v>4436</v>
      </c>
      <c r="G19" s="748">
        <v>782</v>
      </c>
      <c r="H19" s="750">
        <v>4332</v>
      </c>
      <c r="I19" s="703">
        <v>2194</v>
      </c>
      <c r="J19" s="748">
        <v>4546</v>
      </c>
      <c r="K19" s="748">
        <v>3335</v>
      </c>
      <c r="L19" s="750">
        <v>1135</v>
      </c>
      <c r="M19" s="703">
        <v>917</v>
      </c>
      <c r="N19" s="750">
        <v>2450</v>
      </c>
      <c r="O19" s="750">
        <v>2693</v>
      </c>
      <c r="P19" s="750">
        <v>46</v>
      </c>
      <c r="Q19" s="703">
        <v>-158</v>
      </c>
      <c r="R19" s="750">
        <v>2682</v>
      </c>
      <c r="S19" s="750">
        <v>2038</v>
      </c>
      <c r="T19" s="750">
        <v>1186</v>
      </c>
      <c r="U19" s="703">
        <v>3233</v>
      </c>
      <c r="V19" s="750">
        <v>8010</v>
      </c>
      <c r="W19" s="750">
        <v>7696</v>
      </c>
      <c r="X19" s="750">
        <v>2722</v>
      </c>
      <c r="Y19" s="703">
        <v>3034</v>
      </c>
      <c r="Z19" s="750">
        <v>2935</v>
      </c>
      <c r="AA19" s="750">
        <v>5929</v>
      </c>
      <c r="AB19" s="749">
        <v>1837</v>
      </c>
      <c r="AC19" s="703">
        <v>4589</v>
      </c>
      <c r="AD19" s="750">
        <v>1671</v>
      </c>
      <c r="AE19" s="750">
        <v>247</v>
      </c>
      <c r="AF19" s="750">
        <v>863</v>
      </c>
      <c r="AG19" s="703">
        <v>3248</v>
      </c>
      <c r="AH19" s="421">
        <v>-1082</v>
      </c>
      <c r="AI19" s="421">
        <v>4402</v>
      </c>
      <c r="AJ19" s="421">
        <v>3860</v>
      </c>
      <c r="AK19" s="421">
        <v>7523</v>
      </c>
      <c r="AL19" s="705">
        <v>6152</v>
      </c>
      <c r="AM19" s="703">
        <v>6072</v>
      </c>
      <c r="AN19" s="703">
        <v>4784</v>
      </c>
      <c r="AO19" s="421">
        <v>5639</v>
      </c>
      <c r="AP19" s="751"/>
      <c r="AQ19" s="750">
        <v>7308</v>
      </c>
      <c r="AR19" s="750">
        <v>5387</v>
      </c>
      <c r="AS19" s="421">
        <v>1811</v>
      </c>
      <c r="AT19" s="742">
        <v>0.18232155441457767</v>
      </c>
      <c r="AU19" s="82"/>
      <c r="AV19" s="616">
        <v>11744</v>
      </c>
      <c r="AW19" s="616">
        <v>9933</v>
      </c>
      <c r="AX19" s="616">
        <v>5031</v>
      </c>
      <c r="AY19" s="616">
        <v>9139</v>
      </c>
      <c r="AZ19" s="175">
        <v>21462</v>
      </c>
      <c r="BA19" s="175">
        <v>15290</v>
      </c>
      <c r="BB19" s="175">
        <v>6029</v>
      </c>
      <c r="BC19" s="198">
        <v>14703</v>
      </c>
      <c r="BD19" s="198">
        <v>22647</v>
      </c>
      <c r="BE19" s="84">
        <v>18301</v>
      </c>
      <c r="BF19" s="84">
        <v>11028</v>
      </c>
      <c r="BG19" s="84">
        <v>15746</v>
      </c>
      <c r="BH19" s="3"/>
      <c r="BI19" s="3"/>
      <c r="BJ19" s="3"/>
      <c r="BM19" s="3"/>
    </row>
    <row r="20" spans="1:65" ht="12.75" customHeight="1" x14ac:dyDescent="0.2">
      <c r="A20" s="8"/>
      <c r="B20" s="82" t="s">
        <v>69</v>
      </c>
      <c r="C20" s="38">
        <v>409</v>
      </c>
      <c r="D20" s="742">
        <v>5.5002689618074231E-2</v>
      </c>
      <c r="E20" s="520"/>
      <c r="F20" s="748">
        <v>7845</v>
      </c>
      <c r="G20" s="748">
        <v>6983</v>
      </c>
      <c r="H20" s="750">
        <v>6789</v>
      </c>
      <c r="I20" s="703">
        <v>7739</v>
      </c>
      <c r="J20" s="748">
        <v>7436</v>
      </c>
      <c r="K20" s="748">
        <v>6892</v>
      </c>
      <c r="L20" s="750">
        <v>6709</v>
      </c>
      <c r="M20" s="703">
        <v>7393</v>
      </c>
      <c r="N20" s="750">
        <v>7518</v>
      </c>
      <c r="O20" s="750">
        <v>6990</v>
      </c>
      <c r="P20" s="750">
        <v>7062</v>
      </c>
      <c r="Q20" s="703">
        <v>8131</v>
      </c>
      <c r="R20" s="750">
        <v>7918</v>
      </c>
      <c r="S20" s="750">
        <v>7331</v>
      </c>
      <c r="T20" s="750">
        <v>7454</v>
      </c>
      <c r="U20" s="703">
        <v>7968</v>
      </c>
      <c r="V20" s="750">
        <v>7667</v>
      </c>
      <c r="W20" s="750">
        <v>7242</v>
      </c>
      <c r="X20" s="750">
        <v>7351</v>
      </c>
      <c r="Y20" s="703">
        <v>7913</v>
      </c>
      <c r="Z20" s="750">
        <v>7024</v>
      </c>
      <c r="AA20" s="750">
        <v>6489</v>
      </c>
      <c r="AB20" s="749">
        <v>6247</v>
      </c>
      <c r="AC20" s="703">
        <v>6152</v>
      </c>
      <c r="AD20" s="750">
        <v>6298</v>
      </c>
      <c r="AE20" s="750">
        <v>6347</v>
      </c>
      <c r="AF20" s="750">
        <v>6799</v>
      </c>
      <c r="AG20" s="703">
        <v>7439</v>
      </c>
      <c r="AH20" s="421">
        <v>6729</v>
      </c>
      <c r="AI20" s="421">
        <v>6111</v>
      </c>
      <c r="AJ20" s="421">
        <v>5945</v>
      </c>
      <c r="AK20" s="421">
        <v>6201</v>
      </c>
      <c r="AL20" s="705">
        <v>5940</v>
      </c>
      <c r="AM20" s="703">
        <v>5413</v>
      </c>
      <c r="AN20" s="703">
        <v>5561</v>
      </c>
      <c r="AO20" s="421">
        <v>5875</v>
      </c>
      <c r="AP20" s="751"/>
      <c r="AQ20" s="750">
        <v>21511</v>
      </c>
      <c r="AR20" s="750">
        <v>20994</v>
      </c>
      <c r="AS20" s="421">
        <v>926</v>
      </c>
      <c r="AT20" s="742">
        <v>3.2571227576503693E-2</v>
      </c>
      <c r="AU20" s="82"/>
      <c r="AV20" s="616">
        <v>29356</v>
      </c>
      <c r="AW20" s="616">
        <v>28430</v>
      </c>
      <c r="AX20" s="616">
        <v>29701</v>
      </c>
      <c r="AY20" s="616">
        <v>30671</v>
      </c>
      <c r="AZ20" s="616">
        <v>30173</v>
      </c>
      <c r="BA20" s="175">
        <v>25912</v>
      </c>
      <c r="BB20" s="175">
        <v>26883</v>
      </c>
      <c r="BC20" s="198">
        <v>24986</v>
      </c>
      <c r="BD20" s="198">
        <v>22789</v>
      </c>
      <c r="BE20" s="84">
        <v>20531</v>
      </c>
      <c r="BF20" s="84">
        <v>17980</v>
      </c>
      <c r="BG20" s="84">
        <v>14519</v>
      </c>
      <c r="BH20" s="3"/>
      <c r="BI20" s="3"/>
      <c r="BJ20" s="3"/>
      <c r="BM20" s="3"/>
    </row>
    <row r="21" spans="1:65" ht="12.75" hidden="1" customHeight="1" x14ac:dyDescent="0.2">
      <c r="A21" s="8"/>
      <c r="B21" s="7" t="s">
        <v>200</v>
      </c>
      <c r="C21" s="38">
        <v>0</v>
      </c>
      <c r="D21" s="742" t="e">
        <v>#DIV/0!</v>
      </c>
      <c r="E21" s="520"/>
      <c r="F21" s="754"/>
      <c r="G21" s="754"/>
      <c r="H21" s="421"/>
      <c r="I21" s="703"/>
      <c r="J21" s="754"/>
      <c r="K21" s="754"/>
      <c r="L21" s="421"/>
      <c r="M21" s="703"/>
      <c r="N21" s="421"/>
      <c r="O21" s="421"/>
      <c r="P21" s="421"/>
      <c r="Q21" s="703"/>
      <c r="R21" s="421"/>
      <c r="S21" s="421"/>
      <c r="T21" s="421"/>
      <c r="U21" s="703"/>
      <c r="V21" s="421"/>
      <c r="W21" s="421"/>
      <c r="X21" s="421"/>
      <c r="Y21" s="703"/>
      <c r="Z21" s="421">
        <v>0</v>
      </c>
      <c r="AA21" s="421">
        <v>0</v>
      </c>
      <c r="AB21" s="703">
        <v>0</v>
      </c>
      <c r="AC21" s="703">
        <v>0</v>
      </c>
      <c r="AD21" s="421">
        <v>0</v>
      </c>
      <c r="AE21" s="421">
        <v>0</v>
      </c>
      <c r="AF21" s="421">
        <v>0</v>
      </c>
      <c r="AG21" s="703">
        <v>0</v>
      </c>
      <c r="AH21" s="750"/>
      <c r="AI21" s="750"/>
      <c r="AJ21" s="750"/>
      <c r="AK21" s="749"/>
      <c r="AL21" s="752"/>
      <c r="AM21" s="749"/>
      <c r="AN21" s="749"/>
      <c r="AO21" s="749"/>
      <c r="AP21" s="834"/>
      <c r="AQ21" s="421">
        <v>0</v>
      </c>
      <c r="AR21" s="421">
        <v>0</v>
      </c>
      <c r="AS21" s="750">
        <v>0</v>
      </c>
      <c r="AT21" s="742" t="e">
        <v>#DIV/0!</v>
      </c>
      <c r="AU21" s="240"/>
      <c r="AV21" s="616">
        <v>0</v>
      </c>
      <c r="AW21" s="616">
        <v>0</v>
      </c>
      <c r="AX21" s="616">
        <v>0</v>
      </c>
      <c r="AY21" s="616">
        <v>0</v>
      </c>
      <c r="AZ21" s="616">
        <v>0</v>
      </c>
      <c r="BA21" s="43">
        <v>0</v>
      </c>
      <c r="BB21" s="43">
        <v>0</v>
      </c>
      <c r="BC21" s="43">
        <v>0</v>
      </c>
      <c r="BD21" s="43">
        <v>0</v>
      </c>
      <c r="BE21" s="43">
        <v>0</v>
      </c>
      <c r="BF21" s="84"/>
      <c r="BG21" s="84"/>
      <c r="BH21" s="3"/>
      <c r="BI21" s="3"/>
      <c r="BJ21" s="3"/>
      <c r="BM21" s="3"/>
    </row>
    <row r="22" spans="1:65" ht="12.75" customHeight="1" x14ac:dyDescent="0.2">
      <c r="A22" s="8"/>
      <c r="B22" s="82" t="s">
        <v>156</v>
      </c>
      <c r="C22" s="38">
        <v>-131</v>
      </c>
      <c r="D22" s="742">
        <v>3.7676157607132582E-2</v>
      </c>
      <c r="E22" s="520"/>
      <c r="F22" s="750">
        <v>-3608</v>
      </c>
      <c r="G22" s="750">
        <v>-3625</v>
      </c>
      <c r="H22" s="750">
        <v>-2673</v>
      </c>
      <c r="I22" s="703">
        <v>-3047</v>
      </c>
      <c r="J22" s="750">
        <v>-3477</v>
      </c>
      <c r="K22" s="750">
        <v>-3342</v>
      </c>
      <c r="L22" s="750">
        <v>-3416</v>
      </c>
      <c r="M22" s="703">
        <v>-2996</v>
      </c>
      <c r="N22" s="750">
        <v>412</v>
      </c>
      <c r="O22" s="750">
        <v>379</v>
      </c>
      <c r="P22" s="750">
        <v>288</v>
      </c>
      <c r="Q22" s="703">
        <v>367</v>
      </c>
      <c r="R22" s="750">
        <v>378</v>
      </c>
      <c r="S22" s="750">
        <v>309</v>
      </c>
      <c r="T22" s="750">
        <v>345</v>
      </c>
      <c r="U22" s="703">
        <v>453</v>
      </c>
      <c r="V22" s="750">
        <v>540</v>
      </c>
      <c r="W22" s="750">
        <v>325</v>
      </c>
      <c r="X22" s="750">
        <v>536</v>
      </c>
      <c r="Y22" s="703">
        <v>596</v>
      </c>
      <c r="Z22" s="750">
        <v>615</v>
      </c>
      <c r="AA22" s="750">
        <v>569</v>
      </c>
      <c r="AB22" s="749">
        <v>607</v>
      </c>
      <c r="AC22" s="703">
        <v>298</v>
      </c>
      <c r="AD22" s="750">
        <v>250</v>
      </c>
      <c r="AE22" s="750">
        <v>265</v>
      </c>
      <c r="AF22" s="750">
        <v>-7</v>
      </c>
      <c r="AG22" s="703">
        <v>-68</v>
      </c>
      <c r="AH22" s="421">
        <v>108</v>
      </c>
      <c r="AI22" s="421">
        <v>68</v>
      </c>
      <c r="AJ22" s="421">
        <v>185</v>
      </c>
      <c r="AK22" s="421">
        <v>118</v>
      </c>
      <c r="AL22" s="705">
        <v>63</v>
      </c>
      <c r="AM22" s="703">
        <v>18</v>
      </c>
      <c r="AN22" s="703">
        <v>47</v>
      </c>
      <c r="AO22" s="421">
        <v>185</v>
      </c>
      <c r="AP22" s="751"/>
      <c r="AQ22" s="750">
        <v>-9345</v>
      </c>
      <c r="AR22" s="750">
        <v>-9754</v>
      </c>
      <c r="AS22" s="421">
        <v>278</v>
      </c>
      <c r="AT22" s="742">
        <v>-2.1011261431486659E-2</v>
      </c>
      <c r="AU22" s="82"/>
      <c r="AV22" s="616">
        <v>-12953</v>
      </c>
      <c r="AW22" s="616">
        <v>-13231</v>
      </c>
      <c r="AX22" s="616">
        <v>1446</v>
      </c>
      <c r="AY22" s="616">
        <v>1485</v>
      </c>
      <c r="AZ22" s="616">
        <v>1997</v>
      </c>
      <c r="BA22" s="175">
        <v>2089</v>
      </c>
      <c r="BB22" s="175">
        <v>440</v>
      </c>
      <c r="BC22" s="198">
        <v>479</v>
      </c>
      <c r="BD22" s="198">
        <v>313</v>
      </c>
      <c r="BE22" s="84">
        <v>1507</v>
      </c>
      <c r="BF22" s="84">
        <v>1110</v>
      </c>
      <c r="BG22" s="84">
        <v>12562</v>
      </c>
      <c r="BH22" s="3"/>
      <c r="BI22" s="3"/>
      <c r="BJ22" s="3"/>
      <c r="BM22" s="3"/>
    </row>
    <row r="23" spans="1:65" ht="12.75" customHeight="1" x14ac:dyDescent="0.2">
      <c r="A23" s="8"/>
      <c r="B23" s="82" t="s">
        <v>71</v>
      </c>
      <c r="C23" s="38">
        <v>12</v>
      </c>
      <c r="D23" s="742">
        <v>1.0265183917878529E-2</v>
      </c>
      <c r="E23" s="520"/>
      <c r="F23" s="748">
        <v>1181</v>
      </c>
      <c r="G23" s="748">
        <v>960</v>
      </c>
      <c r="H23" s="750">
        <v>847</v>
      </c>
      <c r="I23" s="703">
        <v>965</v>
      </c>
      <c r="J23" s="748">
        <v>1169</v>
      </c>
      <c r="K23" s="748">
        <v>1294</v>
      </c>
      <c r="L23" s="750">
        <v>1217</v>
      </c>
      <c r="M23" s="703">
        <v>1306</v>
      </c>
      <c r="N23" s="750">
        <v>1406</v>
      </c>
      <c r="O23" s="750">
        <v>1377</v>
      </c>
      <c r="P23" s="750">
        <v>1064</v>
      </c>
      <c r="Q23" s="703">
        <v>1086</v>
      </c>
      <c r="R23" s="750">
        <v>1368</v>
      </c>
      <c r="S23" s="750">
        <v>1283</v>
      </c>
      <c r="T23" s="750">
        <v>853</v>
      </c>
      <c r="U23" s="703">
        <v>1871</v>
      </c>
      <c r="V23" s="750">
        <v>1951</v>
      </c>
      <c r="W23" s="750">
        <v>1667</v>
      </c>
      <c r="X23" s="750">
        <v>1625</v>
      </c>
      <c r="Y23" s="703">
        <v>1488</v>
      </c>
      <c r="Z23" s="750">
        <v>1290</v>
      </c>
      <c r="AA23" s="750">
        <v>1170</v>
      </c>
      <c r="AB23" s="749">
        <v>1057</v>
      </c>
      <c r="AC23" s="703">
        <v>1047</v>
      </c>
      <c r="AD23" s="750">
        <v>1476</v>
      </c>
      <c r="AE23" s="750">
        <v>1595</v>
      </c>
      <c r="AF23" s="750">
        <v>1151</v>
      </c>
      <c r="AG23" s="703">
        <v>1285</v>
      </c>
      <c r="AH23" s="421">
        <v>1273</v>
      </c>
      <c r="AI23" s="421">
        <v>1165</v>
      </c>
      <c r="AJ23" s="421">
        <v>1220</v>
      </c>
      <c r="AK23" s="421">
        <v>1111</v>
      </c>
      <c r="AL23" s="705">
        <v>1003</v>
      </c>
      <c r="AM23" s="703">
        <v>1099</v>
      </c>
      <c r="AN23" s="703">
        <v>1396</v>
      </c>
      <c r="AO23" s="421">
        <v>1393</v>
      </c>
      <c r="AP23" s="751"/>
      <c r="AQ23" s="750">
        <v>2772</v>
      </c>
      <c r="AR23" s="750">
        <v>3817</v>
      </c>
      <c r="AS23" s="421">
        <v>-1033</v>
      </c>
      <c r="AT23" s="742">
        <v>-0.20718010429201764</v>
      </c>
      <c r="AU23" s="82"/>
      <c r="AV23" s="616">
        <v>3953</v>
      </c>
      <c r="AW23" s="616">
        <v>4986</v>
      </c>
      <c r="AX23" s="616">
        <v>4933</v>
      </c>
      <c r="AY23" s="616">
        <v>5375</v>
      </c>
      <c r="AZ23" s="616">
        <v>6731</v>
      </c>
      <c r="BA23" s="175">
        <v>4564</v>
      </c>
      <c r="BB23" s="175">
        <v>5507</v>
      </c>
      <c r="BC23" s="198">
        <v>4769</v>
      </c>
      <c r="BD23" s="198">
        <v>4891</v>
      </c>
      <c r="BE23" s="84">
        <v>4493</v>
      </c>
      <c r="BF23" s="84">
        <v>3216</v>
      </c>
      <c r="BG23" s="84">
        <v>4039</v>
      </c>
      <c r="BH23" s="3"/>
      <c r="BI23" s="3"/>
      <c r="BJ23" s="3"/>
      <c r="BM23" s="3"/>
    </row>
    <row r="24" spans="1:65" ht="12.75" customHeight="1" x14ac:dyDescent="0.2">
      <c r="A24" s="8"/>
      <c r="B24" s="82" t="s">
        <v>72</v>
      </c>
      <c r="C24" s="38">
        <v>-22</v>
      </c>
      <c r="D24" s="742">
        <v>-1.7988552739165987E-2</v>
      </c>
      <c r="E24" s="520"/>
      <c r="F24" s="748">
        <v>1201</v>
      </c>
      <c r="G24" s="748">
        <v>1371</v>
      </c>
      <c r="H24" s="750">
        <v>1126</v>
      </c>
      <c r="I24" s="703">
        <v>1140</v>
      </c>
      <c r="J24" s="748">
        <v>1223</v>
      </c>
      <c r="K24" s="748">
        <v>1215</v>
      </c>
      <c r="L24" s="750">
        <v>1261</v>
      </c>
      <c r="M24" s="703">
        <v>850</v>
      </c>
      <c r="N24" s="750">
        <v>1117</v>
      </c>
      <c r="O24" s="750">
        <v>1175</v>
      </c>
      <c r="P24" s="750">
        <v>1173</v>
      </c>
      <c r="Q24" s="703">
        <v>1289</v>
      </c>
      <c r="R24" s="750">
        <v>1194</v>
      </c>
      <c r="S24" s="750">
        <v>1275</v>
      </c>
      <c r="T24" s="750">
        <v>1153</v>
      </c>
      <c r="U24" s="703">
        <v>1151</v>
      </c>
      <c r="V24" s="750">
        <v>1165</v>
      </c>
      <c r="W24" s="750">
        <v>824</v>
      </c>
      <c r="X24" s="750">
        <v>1253</v>
      </c>
      <c r="Y24" s="703">
        <v>1073</v>
      </c>
      <c r="Z24" s="750">
        <v>1098</v>
      </c>
      <c r="AA24" s="750">
        <v>1172</v>
      </c>
      <c r="AB24" s="749">
        <v>1140</v>
      </c>
      <c r="AC24" s="703">
        <v>1173</v>
      </c>
      <c r="AD24" s="750">
        <v>1267</v>
      </c>
      <c r="AE24" s="750">
        <v>1551</v>
      </c>
      <c r="AF24" s="750">
        <v>1180</v>
      </c>
      <c r="AG24" s="703">
        <v>1246</v>
      </c>
      <c r="AH24" s="421">
        <v>1144</v>
      </c>
      <c r="AI24" s="421">
        <v>1004</v>
      </c>
      <c r="AJ24" s="421">
        <v>1278</v>
      </c>
      <c r="AK24" s="421">
        <v>1190</v>
      </c>
      <c r="AL24" s="705">
        <v>1227</v>
      </c>
      <c r="AM24" s="703">
        <v>1240</v>
      </c>
      <c r="AN24" s="703">
        <v>1286</v>
      </c>
      <c r="AO24" s="421">
        <v>1034</v>
      </c>
      <c r="AP24" s="751"/>
      <c r="AQ24" s="750">
        <v>3637</v>
      </c>
      <c r="AR24" s="750">
        <v>3326</v>
      </c>
      <c r="AS24" s="421">
        <v>289</v>
      </c>
      <c r="AT24" s="742">
        <v>6.35304462519235E-2</v>
      </c>
      <c r="AU24" s="82"/>
      <c r="AV24" s="616">
        <v>4838</v>
      </c>
      <c r="AW24" s="616">
        <v>4549</v>
      </c>
      <c r="AX24" s="616">
        <v>4754</v>
      </c>
      <c r="AY24" s="616">
        <v>4773</v>
      </c>
      <c r="AZ24" s="616">
        <v>4315</v>
      </c>
      <c r="BA24" s="175">
        <v>4583</v>
      </c>
      <c r="BB24" s="175">
        <v>5244</v>
      </c>
      <c r="BC24" s="198">
        <v>4616</v>
      </c>
      <c r="BD24" s="198">
        <v>4787</v>
      </c>
      <c r="BE24" s="84">
        <v>3805</v>
      </c>
      <c r="BF24" s="84">
        <v>2966</v>
      </c>
      <c r="BG24" s="84">
        <v>2594</v>
      </c>
      <c r="BH24" s="3"/>
      <c r="BI24" s="3"/>
      <c r="BJ24" s="3"/>
      <c r="BM24" s="3"/>
    </row>
    <row r="25" spans="1:65" ht="12.75" customHeight="1" x14ac:dyDescent="0.2">
      <c r="A25" s="8"/>
      <c r="B25" s="82" t="s">
        <v>67</v>
      </c>
      <c r="C25" s="38">
        <v>-24</v>
      </c>
      <c r="D25" s="742">
        <v>-6.2337662337662338E-2</v>
      </c>
      <c r="E25" s="520"/>
      <c r="F25" s="748">
        <v>361</v>
      </c>
      <c r="G25" s="748">
        <v>417</v>
      </c>
      <c r="H25" s="750">
        <v>283</v>
      </c>
      <c r="I25" s="703">
        <v>357</v>
      </c>
      <c r="J25" s="748">
        <v>385</v>
      </c>
      <c r="K25" s="748">
        <v>559</v>
      </c>
      <c r="L25" s="750">
        <v>379</v>
      </c>
      <c r="M25" s="703">
        <v>368</v>
      </c>
      <c r="N25" s="750">
        <v>520</v>
      </c>
      <c r="O25" s="750">
        <v>381</v>
      </c>
      <c r="P25" s="750">
        <v>364</v>
      </c>
      <c r="Q25" s="703">
        <v>541</v>
      </c>
      <c r="R25" s="750">
        <v>378</v>
      </c>
      <c r="S25" s="750">
        <v>387</v>
      </c>
      <c r="T25" s="750">
        <v>373</v>
      </c>
      <c r="U25" s="703">
        <v>398</v>
      </c>
      <c r="V25" s="750">
        <v>427</v>
      </c>
      <c r="W25" s="750">
        <v>391</v>
      </c>
      <c r="X25" s="750">
        <v>361</v>
      </c>
      <c r="Y25" s="703">
        <v>356</v>
      </c>
      <c r="Z25" s="750">
        <v>337</v>
      </c>
      <c r="AA25" s="750">
        <v>290</v>
      </c>
      <c r="AB25" s="749">
        <v>322</v>
      </c>
      <c r="AC25" s="703">
        <v>442</v>
      </c>
      <c r="AD25" s="750">
        <v>407</v>
      </c>
      <c r="AE25" s="750">
        <v>538</v>
      </c>
      <c r="AF25" s="750">
        <v>538</v>
      </c>
      <c r="AG25" s="703">
        <v>562</v>
      </c>
      <c r="AH25" s="421">
        <v>526</v>
      </c>
      <c r="AI25" s="421">
        <v>531</v>
      </c>
      <c r="AJ25" s="421">
        <v>625</v>
      </c>
      <c r="AK25" s="421">
        <v>514</v>
      </c>
      <c r="AL25" s="705">
        <v>-48</v>
      </c>
      <c r="AM25" s="703">
        <v>-6</v>
      </c>
      <c r="AN25" s="703">
        <v>79</v>
      </c>
      <c r="AO25" s="421">
        <v>45</v>
      </c>
      <c r="AP25" s="751"/>
      <c r="AQ25" s="750">
        <v>1057</v>
      </c>
      <c r="AR25" s="750">
        <v>1306</v>
      </c>
      <c r="AS25" s="421">
        <v>-273</v>
      </c>
      <c r="AT25" s="742">
        <v>-0.16144293317563571</v>
      </c>
      <c r="AU25" s="82"/>
      <c r="AV25" s="616">
        <v>1418</v>
      </c>
      <c r="AW25" s="616">
        <v>1691</v>
      </c>
      <c r="AX25" s="616">
        <v>1806</v>
      </c>
      <c r="AY25" s="616">
        <v>1536</v>
      </c>
      <c r="AZ25" s="616">
        <v>1535</v>
      </c>
      <c r="BA25" s="175">
        <v>1391</v>
      </c>
      <c r="BB25" s="175">
        <v>2045</v>
      </c>
      <c r="BC25" s="198">
        <v>2196</v>
      </c>
      <c r="BD25" s="198">
        <v>70</v>
      </c>
      <c r="BE25" s="84">
        <v>1931</v>
      </c>
      <c r="BF25" s="84">
        <v>3502</v>
      </c>
      <c r="BG25" s="84">
        <v>3959</v>
      </c>
      <c r="BH25" s="3"/>
      <c r="BI25" s="3"/>
      <c r="BJ25" s="3"/>
      <c r="BM25" s="3"/>
    </row>
    <row r="26" spans="1:65" ht="12.75" customHeight="1" x14ac:dyDescent="0.2">
      <c r="A26" s="8"/>
      <c r="B26" s="82" t="s">
        <v>95</v>
      </c>
      <c r="C26" s="38">
        <v>1179</v>
      </c>
      <c r="D26" s="742">
        <v>0.54356846473029041</v>
      </c>
      <c r="E26" s="520"/>
      <c r="F26" s="748">
        <v>3348</v>
      </c>
      <c r="G26" s="748">
        <v>4039</v>
      </c>
      <c r="H26" s="750">
        <v>3092</v>
      </c>
      <c r="I26" s="703">
        <v>3495</v>
      </c>
      <c r="J26" s="748">
        <v>2169</v>
      </c>
      <c r="K26" s="748">
        <v>3309</v>
      </c>
      <c r="L26" s="750">
        <v>2778</v>
      </c>
      <c r="M26" s="703">
        <v>3085</v>
      </c>
      <c r="N26" s="750">
        <v>3229</v>
      </c>
      <c r="O26" s="750">
        <v>2825</v>
      </c>
      <c r="P26" s="750">
        <v>1268</v>
      </c>
      <c r="Q26" s="703">
        <v>1787</v>
      </c>
      <c r="R26" s="750">
        <v>5300</v>
      </c>
      <c r="S26" s="750">
        <v>3774</v>
      </c>
      <c r="T26" s="750">
        <v>3317</v>
      </c>
      <c r="U26" s="703">
        <v>3609</v>
      </c>
      <c r="V26" s="750">
        <v>5365</v>
      </c>
      <c r="W26" s="750">
        <v>3517</v>
      </c>
      <c r="X26" s="750">
        <v>3694</v>
      </c>
      <c r="Y26" s="703">
        <v>3074</v>
      </c>
      <c r="Z26" s="750">
        <v>4645</v>
      </c>
      <c r="AA26" s="750">
        <v>3707</v>
      </c>
      <c r="AB26" s="749">
        <v>3993</v>
      </c>
      <c r="AC26" s="703">
        <v>2101</v>
      </c>
      <c r="AD26" s="750">
        <v>3469</v>
      </c>
      <c r="AE26" s="750">
        <v>3128</v>
      </c>
      <c r="AF26" s="750">
        <v>4162</v>
      </c>
      <c r="AG26" s="703">
        <v>3270</v>
      </c>
      <c r="AH26" s="421">
        <v>3650</v>
      </c>
      <c r="AI26" s="421">
        <v>5050</v>
      </c>
      <c r="AJ26" s="421">
        <v>3276</v>
      </c>
      <c r="AK26" s="421">
        <v>4921</v>
      </c>
      <c r="AL26" s="705">
        <v>3742</v>
      </c>
      <c r="AM26" s="703">
        <v>3593</v>
      </c>
      <c r="AN26" s="703">
        <v>3962</v>
      </c>
      <c r="AO26" s="421">
        <v>4354</v>
      </c>
      <c r="AP26" s="751"/>
      <c r="AQ26" s="750">
        <v>10626</v>
      </c>
      <c r="AR26" s="750">
        <v>9172</v>
      </c>
      <c r="AS26" s="421">
        <v>2633</v>
      </c>
      <c r="AT26" s="742">
        <v>0.2321664756194339</v>
      </c>
      <c r="AU26" s="82"/>
      <c r="AV26" s="616">
        <v>13974</v>
      </c>
      <c r="AW26" s="616">
        <v>11341</v>
      </c>
      <c r="AX26" s="616">
        <v>9109</v>
      </c>
      <c r="AY26" s="616">
        <v>16000</v>
      </c>
      <c r="AZ26" s="616">
        <v>15650</v>
      </c>
      <c r="BA26" s="175">
        <v>14446</v>
      </c>
      <c r="BB26" s="175">
        <v>14029</v>
      </c>
      <c r="BC26" s="198">
        <v>16897</v>
      </c>
      <c r="BD26" s="198">
        <v>15651</v>
      </c>
      <c r="BE26" s="84">
        <v>14067</v>
      </c>
      <c r="BF26" s="84">
        <v>13643</v>
      </c>
      <c r="BG26" s="84">
        <v>7931</v>
      </c>
      <c r="BH26" s="3"/>
      <c r="BI26" s="3"/>
      <c r="BJ26" s="3"/>
      <c r="BM26" s="3"/>
    </row>
    <row r="27" spans="1:65" ht="12.75" customHeight="1" x14ac:dyDescent="0.2">
      <c r="A27" s="8"/>
      <c r="B27" s="82" t="s">
        <v>74</v>
      </c>
      <c r="C27" s="38">
        <v>189</v>
      </c>
      <c r="D27" s="742">
        <v>0.44575471698113206</v>
      </c>
      <c r="E27" s="1415"/>
      <c r="F27" s="748">
        <v>613</v>
      </c>
      <c r="G27" s="748">
        <v>463</v>
      </c>
      <c r="H27" s="750">
        <v>444</v>
      </c>
      <c r="I27" s="703">
        <v>400</v>
      </c>
      <c r="J27" s="748">
        <v>424</v>
      </c>
      <c r="K27" s="748">
        <v>478</v>
      </c>
      <c r="L27" s="750">
        <v>414</v>
      </c>
      <c r="M27" s="703">
        <v>466</v>
      </c>
      <c r="N27" s="750">
        <v>705</v>
      </c>
      <c r="O27" s="750">
        <v>498</v>
      </c>
      <c r="P27" s="750">
        <v>385</v>
      </c>
      <c r="Q27" s="703">
        <v>382</v>
      </c>
      <c r="R27" s="750">
        <v>365</v>
      </c>
      <c r="S27" s="750">
        <v>460</v>
      </c>
      <c r="T27" s="750">
        <v>336</v>
      </c>
      <c r="U27" s="703">
        <v>462</v>
      </c>
      <c r="V27" s="750">
        <v>561</v>
      </c>
      <c r="W27" s="750">
        <v>361</v>
      </c>
      <c r="X27" s="750">
        <v>343</v>
      </c>
      <c r="Y27" s="703">
        <v>317</v>
      </c>
      <c r="Z27" s="750">
        <v>383</v>
      </c>
      <c r="AA27" s="750">
        <v>364</v>
      </c>
      <c r="AB27" s="749">
        <v>362</v>
      </c>
      <c r="AC27" s="703">
        <v>361</v>
      </c>
      <c r="AD27" s="750">
        <v>465</v>
      </c>
      <c r="AE27" s="750">
        <v>702</v>
      </c>
      <c r="AF27" s="750">
        <v>735</v>
      </c>
      <c r="AG27" s="703">
        <v>721</v>
      </c>
      <c r="AH27" s="421">
        <v>782</v>
      </c>
      <c r="AI27" s="421">
        <v>718</v>
      </c>
      <c r="AJ27" s="421">
        <v>689</v>
      </c>
      <c r="AK27" s="421">
        <v>636</v>
      </c>
      <c r="AL27" s="705">
        <v>666</v>
      </c>
      <c r="AM27" s="703">
        <v>632</v>
      </c>
      <c r="AN27" s="703">
        <v>655</v>
      </c>
      <c r="AO27" s="421">
        <v>629</v>
      </c>
      <c r="AP27" s="751"/>
      <c r="AQ27" s="750">
        <v>1307</v>
      </c>
      <c r="AR27" s="750">
        <v>1358</v>
      </c>
      <c r="AS27" s="421">
        <v>138</v>
      </c>
      <c r="AT27" s="742">
        <v>7.7441077441077436E-2</v>
      </c>
      <c r="AU27" s="82"/>
      <c r="AV27" s="616">
        <v>1920</v>
      </c>
      <c r="AW27" s="616">
        <v>1782</v>
      </c>
      <c r="AX27" s="616">
        <v>1970</v>
      </c>
      <c r="AY27" s="616">
        <v>1623</v>
      </c>
      <c r="AZ27" s="616">
        <v>1582</v>
      </c>
      <c r="BA27" s="175">
        <v>1470</v>
      </c>
      <c r="BB27" s="175">
        <v>2623</v>
      </c>
      <c r="BC27" s="198">
        <v>2825</v>
      </c>
      <c r="BD27" s="198">
        <v>2582</v>
      </c>
      <c r="BE27" s="84">
        <v>1468</v>
      </c>
      <c r="BF27" s="84">
        <v>894</v>
      </c>
      <c r="BG27" s="84">
        <v>979</v>
      </c>
      <c r="BH27" s="3"/>
      <c r="BI27" s="3"/>
      <c r="BJ27" s="3"/>
      <c r="BM27" s="3"/>
    </row>
    <row r="28" spans="1:65" x14ac:dyDescent="0.2">
      <c r="A28" s="8"/>
      <c r="B28" s="82" t="s">
        <v>75</v>
      </c>
      <c r="C28" s="38">
        <v>5266</v>
      </c>
      <c r="D28" s="742" t="s">
        <v>42</v>
      </c>
      <c r="E28" s="520"/>
      <c r="F28" s="748">
        <v>5692</v>
      </c>
      <c r="G28" s="748">
        <v>383</v>
      </c>
      <c r="H28" s="750">
        <v>337</v>
      </c>
      <c r="I28" s="703">
        <v>352</v>
      </c>
      <c r="J28" s="748">
        <v>426</v>
      </c>
      <c r="K28" s="748">
        <v>373</v>
      </c>
      <c r="L28" s="750">
        <v>382</v>
      </c>
      <c r="M28" s="703">
        <v>426</v>
      </c>
      <c r="N28" s="750">
        <v>504</v>
      </c>
      <c r="O28" s="750">
        <v>488</v>
      </c>
      <c r="P28" s="750">
        <v>509</v>
      </c>
      <c r="Q28" s="703">
        <v>487</v>
      </c>
      <c r="R28" s="750">
        <v>495</v>
      </c>
      <c r="S28" s="750">
        <v>561</v>
      </c>
      <c r="T28" s="750">
        <v>527</v>
      </c>
      <c r="U28" s="703">
        <v>401</v>
      </c>
      <c r="V28" s="750">
        <v>786</v>
      </c>
      <c r="W28" s="750">
        <v>587</v>
      </c>
      <c r="X28" s="750">
        <v>576</v>
      </c>
      <c r="Y28" s="703">
        <v>370</v>
      </c>
      <c r="Z28" s="750">
        <v>1160</v>
      </c>
      <c r="AA28" s="750">
        <v>1040</v>
      </c>
      <c r="AB28" s="749">
        <v>1087</v>
      </c>
      <c r="AC28" s="703">
        <v>1005</v>
      </c>
      <c r="AD28" s="750">
        <v>1381</v>
      </c>
      <c r="AE28" s="750">
        <v>1175</v>
      </c>
      <c r="AF28" s="750">
        <v>1323</v>
      </c>
      <c r="AG28" s="703">
        <v>1773</v>
      </c>
      <c r="AH28" s="421">
        <v>1641</v>
      </c>
      <c r="AI28" s="421">
        <v>1288</v>
      </c>
      <c r="AJ28" s="421">
        <v>1243</v>
      </c>
      <c r="AK28" s="421">
        <v>1509</v>
      </c>
      <c r="AL28" s="705">
        <v>1308</v>
      </c>
      <c r="AM28" s="703">
        <v>1121</v>
      </c>
      <c r="AN28" s="703">
        <v>962</v>
      </c>
      <c r="AO28" s="421">
        <v>1059</v>
      </c>
      <c r="AP28" s="751"/>
      <c r="AQ28" s="750">
        <v>1072</v>
      </c>
      <c r="AR28" s="750">
        <v>1181</v>
      </c>
      <c r="AS28" s="421">
        <v>5157</v>
      </c>
      <c r="AT28" s="742" t="s">
        <v>42</v>
      </c>
      <c r="AU28" s="82"/>
      <c r="AV28" s="616">
        <v>6764</v>
      </c>
      <c r="AW28" s="616">
        <v>1607</v>
      </c>
      <c r="AX28" s="616">
        <v>1988</v>
      </c>
      <c r="AY28" s="616">
        <v>1984</v>
      </c>
      <c r="AZ28" s="616">
        <v>2319</v>
      </c>
      <c r="BA28" s="175">
        <v>4292</v>
      </c>
      <c r="BB28" s="175">
        <v>5652</v>
      </c>
      <c r="BC28" s="198">
        <v>5681</v>
      </c>
      <c r="BD28" s="198">
        <v>4450</v>
      </c>
      <c r="BE28" s="84">
        <v>4256</v>
      </c>
      <c r="BF28" s="84">
        <v>4444</v>
      </c>
      <c r="BG28" s="84">
        <v>4143</v>
      </c>
      <c r="BH28" s="3"/>
      <c r="BI28" s="3"/>
      <c r="BJ28" s="3"/>
      <c r="BM28" s="3"/>
    </row>
    <row r="29" spans="1:65" s="551" customFormat="1" ht="12.75" customHeight="1" x14ac:dyDescent="0.2">
      <c r="A29" s="7"/>
      <c r="B29" s="7" t="s">
        <v>169</v>
      </c>
      <c r="C29" s="686">
        <v>1433</v>
      </c>
      <c r="D29" s="742">
        <v>0</v>
      </c>
      <c r="E29" s="741"/>
      <c r="F29" s="730">
        <v>1433</v>
      </c>
      <c r="G29" s="730">
        <v>0</v>
      </c>
      <c r="H29" s="536">
        <v>0</v>
      </c>
      <c r="I29" s="832">
        <v>1600</v>
      </c>
      <c r="J29" s="730">
        <v>0</v>
      </c>
      <c r="K29" s="730">
        <v>0</v>
      </c>
      <c r="L29" s="536">
        <v>0</v>
      </c>
      <c r="M29" s="832">
        <v>0</v>
      </c>
      <c r="N29" s="536">
        <v>0</v>
      </c>
      <c r="O29" s="536">
        <v>0</v>
      </c>
      <c r="P29" s="536">
        <v>900</v>
      </c>
      <c r="Q29" s="832">
        <v>0</v>
      </c>
      <c r="R29" s="536">
        <v>275</v>
      </c>
      <c r="S29" s="536">
        <v>5000</v>
      </c>
      <c r="T29" s="536">
        <v>0</v>
      </c>
      <c r="U29" s="832">
        <v>0</v>
      </c>
      <c r="V29" s="536">
        <v>0</v>
      </c>
      <c r="W29" s="536">
        <v>0</v>
      </c>
      <c r="X29" s="421">
        <v>0</v>
      </c>
      <c r="Y29" s="832">
        <v>0</v>
      </c>
      <c r="Z29" s="536">
        <v>0</v>
      </c>
      <c r="AA29" s="536">
        <v>0</v>
      </c>
      <c r="AB29" s="703">
        <v>0</v>
      </c>
      <c r="AC29" s="832">
        <v>0</v>
      </c>
      <c r="AD29" s="750">
        <v>120</v>
      </c>
      <c r="AE29" s="750">
        <v>1391</v>
      </c>
      <c r="AF29" s="536">
        <v>0</v>
      </c>
      <c r="AG29" s="832">
        <v>0</v>
      </c>
      <c r="AH29" s="536">
        <v>2300</v>
      </c>
      <c r="AI29" s="536">
        <v>0</v>
      </c>
      <c r="AJ29" s="536">
        <v>0</v>
      </c>
      <c r="AK29" s="832">
        <v>0</v>
      </c>
      <c r="AL29" s="751">
        <v>0</v>
      </c>
      <c r="AM29" s="832">
        <v>0</v>
      </c>
      <c r="AN29" s="832"/>
      <c r="AO29" s="536"/>
      <c r="AP29" s="751"/>
      <c r="AQ29" s="536">
        <v>1600</v>
      </c>
      <c r="AR29" s="536">
        <v>0</v>
      </c>
      <c r="AS29" s="421">
        <v>3033</v>
      </c>
      <c r="AT29" s="742" t="s">
        <v>42</v>
      </c>
      <c r="AU29" s="724"/>
      <c r="AV29" s="616">
        <v>3033</v>
      </c>
      <c r="AW29" s="616">
        <v>0</v>
      </c>
      <c r="AX29" s="616">
        <v>900</v>
      </c>
      <c r="AY29" s="616">
        <v>5275</v>
      </c>
      <c r="AZ29" s="616">
        <v>0</v>
      </c>
      <c r="BA29" s="616">
        <v>0</v>
      </c>
      <c r="BB29" s="744">
        <v>1511</v>
      </c>
      <c r="BC29" s="617">
        <v>2300</v>
      </c>
      <c r="BD29" s="617">
        <v>0</v>
      </c>
      <c r="BE29" s="84">
        <v>0</v>
      </c>
      <c r="BF29" s="84">
        <v>0</v>
      </c>
      <c r="BG29" s="84">
        <v>0</v>
      </c>
      <c r="BH29" s="1391"/>
      <c r="BI29" s="1391"/>
      <c r="BJ29" s="1391"/>
      <c r="BM29" s="1391"/>
    </row>
    <row r="30" spans="1:65" x14ac:dyDescent="0.2">
      <c r="A30" s="8"/>
      <c r="B30" s="82" t="s">
        <v>190</v>
      </c>
      <c r="C30" s="38">
        <v>0</v>
      </c>
      <c r="D30" s="742" t="s">
        <v>203</v>
      </c>
      <c r="E30" s="520"/>
      <c r="F30" s="730">
        <v>0</v>
      </c>
      <c r="G30" s="730">
        <v>0</v>
      </c>
      <c r="H30" s="536">
        <v>0</v>
      </c>
      <c r="I30" s="832">
        <v>0</v>
      </c>
      <c r="J30" s="730">
        <v>0</v>
      </c>
      <c r="K30" s="730">
        <v>0</v>
      </c>
      <c r="L30" s="536">
        <v>0</v>
      </c>
      <c r="M30" s="832">
        <v>0</v>
      </c>
      <c r="N30" s="536">
        <v>0</v>
      </c>
      <c r="O30" s="536">
        <v>0</v>
      </c>
      <c r="P30" s="536">
        <v>0</v>
      </c>
      <c r="Q30" s="832">
        <v>0</v>
      </c>
      <c r="R30" s="536">
        <v>0</v>
      </c>
      <c r="S30" s="536">
        <v>0</v>
      </c>
      <c r="T30" s="536">
        <v>1513</v>
      </c>
      <c r="U30" s="832">
        <v>0</v>
      </c>
      <c r="V30" s="536">
        <v>0</v>
      </c>
      <c r="W30" s="536">
        <v>0</v>
      </c>
      <c r="X30" s="421">
        <v>0</v>
      </c>
      <c r="Y30" s="832">
        <v>0</v>
      </c>
      <c r="Z30" s="536">
        <v>0</v>
      </c>
      <c r="AA30" s="536">
        <v>0</v>
      </c>
      <c r="AB30" s="703">
        <v>0</v>
      </c>
      <c r="AC30" s="832">
        <v>0</v>
      </c>
      <c r="AD30" s="536">
        <v>0</v>
      </c>
      <c r="AE30" s="536">
        <v>0</v>
      </c>
      <c r="AF30" s="536">
        <v>0</v>
      </c>
      <c r="AG30" s="832">
        <v>0</v>
      </c>
      <c r="AH30" s="536">
        <v>0</v>
      </c>
      <c r="AI30" s="536">
        <v>0</v>
      </c>
      <c r="AJ30" s="536">
        <v>0</v>
      </c>
      <c r="AK30" s="832">
        <v>0</v>
      </c>
      <c r="AL30" s="751">
        <v>0</v>
      </c>
      <c r="AM30" s="832">
        <v>0</v>
      </c>
      <c r="AN30" s="832">
        <v>0</v>
      </c>
      <c r="AO30" s="536">
        <v>0</v>
      </c>
      <c r="AP30" s="751"/>
      <c r="AQ30" s="750">
        <v>0</v>
      </c>
      <c r="AR30" s="536">
        <v>0</v>
      </c>
      <c r="AS30" s="421">
        <v>0</v>
      </c>
      <c r="AT30" s="742">
        <v>0</v>
      </c>
      <c r="AU30" s="82"/>
      <c r="AV30" s="616">
        <v>0</v>
      </c>
      <c r="AW30" s="616">
        <v>0</v>
      </c>
      <c r="AX30" s="616">
        <v>0</v>
      </c>
      <c r="AY30" s="616">
        <v>1513</v>
      </c>
      <c r="AZ30" s="616">
        <v>0</v>
      </c>
      <c r="BA30" s="175">
        <v>0</v>
      </c>
      <c r="BB30" s="175">
        <v>0</v>
      </c>
      <c r="BC30" s="616">
        <v>0</v>
      </c>
      <c r="BD30" s="175">
        <v>0</v>
      </c>
      <c r="BE30" s="84">
        <v>-1633</v>
      </c>
      <c r="BF30" s="84">
        <v>0</v>
      </c>
      <c r="BG30" s="84">
        <v>0</v>
      </c>
      <c r="BH30" s="3"/>
      <c r="BI30" s="3"/>
      <c r="BJ30" s="3"/>
      <c r="BM30" s="3"/>
    </row>
    <row r="31" spans="1:65" hidden="1" x14ac:dyDescent="0.2">
      <c r="A31" s="7"/>
      <c r="B31" s="82" t="s">
        <v>76</v>
      </c>
      <c r="C31" s="38"/>
      <c r="D31" s="742"/>
      <c r="E31" s="520"/>
      <c r="F31" s="730"/>
      <c r="G31" s="730"/>
      <c r="H31" s="536"/>
      <c r="I31" s="832"/>
      <c r="J31" s="730"/>
      <c r="K31" s="730"/>
      <c r="L31" s="536"/>
      <c r="M31" s="832"/>
      <c r="N31" s="536"/>
      <c r="O31" s="536"/>
      <c r="P31" s="536"/>
      <c r="Q31" s="832"/>
      <c r="R31" s="536"/>
      <c r="S31" s="536">
        <v>0</v>
      </c>
      <c r="T31" s="536">
        <v>0</v>
      </c>
      <c r="U31" s="832">
        <v>0</v>
      </c>
      <c r="V31" s="536">
        <v>0</v>
      </c>
      <c r="W31" s="536">
        <v>0</v>
      </c>
      <c r="X31" s="421">
        <v>0</v>
      </c>
      <c r="Y31" s="832">
        <v>0</v>
      </c>
      <c r="Z31" s="536">
        <v>0</v>
      </c>
      <c r="AA31" s="536">
        <v>0</v>
      </c>
      <c r="AB31" s="703">
        <v>0</v>
      </c>
      <c r="AC31" s="832">
        <v>0</v>
      </c>
      <c r="AD31" s="536">
        <v>0</v>
      </c>
      <c r="AE31" s="536">
        <v>6700</v>
      </c>
      <c r="AF31" s="536">
        <v>0</v>
      </c>
      <c r="AG31" s="832">
        <v>0</v>
      </c>
      <c r="AH31" s="421">
        <v>3189</v>
      </c>
      <c r="AI31" s="421">
        <v>3125</v>
      </c>
      <c r="AJ31" s="421">
        <v>3253</v>
      </c>
      <c r="AK31" s="832">
        <v>0</v>
      </c>
      <c r="AL31" s="751">
        <v>0</v>
      </c>
      <c r="AM31" s="832">
        <v>0</v>
      </c>
      <c r="AN31" s="832">
        <v>0</v>
      </c>
      <c r="AO31" s="536">
        <v>0</v>
      </c>
      <c r="AP31" s="751"/>
      <c r="AQ31" s="421">
        <v>0</v>
      </c>
      <c r="AR31" s="536">
        <v>0</v>
      </c>
      <c r="AS31" s="421"/>
      <c r="AT31" s="742"/>
      <c r="AU31" s="82"/>
      <c r="AV31" s="616"/>
      <c r="AW31" s="616"/>
      <c r="AX31" s="616"/>
      <c r="AY31" s="616"/>
      <c r="AZ31" s="616">
        <v>0</v>
      </c>
      <c r="BA31" s="175">
        <v>0</v>
      </c>
      <c r="BB31" s="175">
        <v>6700</v>
      </c>
      <c r="BC31" s="198">
        <v>9567</v>
      </c>
      <c r="BD31" s="175">
        <v>0</v>
      </c>
      <c r="BE31" s="84">
        <v>0</v>
      </c>
      <c r="BF31" s="84">
        <v>0</v>
      </c>
      <c r="BG31" s="84">
        <v>0</v>
      </c>
      <c r="BH31" s="3"/>
      <c r="BI31" s="3"/>
      <c r="BJ31" s="3"/>
      <c r="BM31" s="3"/>
    </row>
    <row r="32" spans="1:65" ht="12.75" customHeight="1" x14ac:dyDescent="0.2">
      <c r="A32" s="8"/>
      <c r="B32" s="7"/>
      <c r="C32" s="167">
        <v>8201</v>
      </c>
      <c r="D32" s="540">
        <v>0.57345640165023426</v>
      </c>
      <c r="E32" s="520"/>
      <c r="F32" s="341">
        <v>22502</v>
      </c>
      <c r="G32" s="341">
        <v>11773</v>
      </c>
      <c r="H32" s="341">
        <v>14577</v>
      </c>
      <c r="I32" s="222">
        <v>15195</v>
      </c>
      <c r="J32" s="341">
        <v>14301</v>
      </c>
      <c r="K32" s="341">
        <v>14113</v>
      </c>
      <c r="L32" s="341">
        <v>10859</v>
      </c>
      <c r="M32" s="222">
        <v>11815</v>
      </c>
      <c r="N32" s="341">
        <v>17861</v>
      </c>
      <c r="O32" s="341">
        <v>16806</v>
      </c>
      <c r="P32" s="341">
        <v>13059</v>
      </c>
      <c r="Q32" s="222">
        <v>13912</v>
      </c>
      <c r="R32" s="341">
        <v>20353</v>
      </c>
      <c r="S32" s="341">
        <v>22418</v>
      </c>
      <c r="T32" s="341">
        <v>17057</v>
      </c>
      <c r="U32" s="222">
        <v>19546</v>
      </c>
      <c r="V32" s="341">
        <v>26472</v>
      </c>
      <c r="W32" s="341">
        <v>22610</v>
      </c>
      <c r="X32" s="341">
        <v>18461</v>
      </c>
      <c r="Y32" s="222">
        <v>18221</v>
      </c>
      <c r="Z32" s="341">
        <v>19487</v>
      </c>
      <c r="AA32" s="341">
        <v>20730</v>
      </c>
      <c r="AB32" s="222">
        <v>16652</v>
      </c>
      <c r="AC32" s="222">
        <v>17168</v>
      </c>
      <c r="AD32" s="341">
        <v>16804</v>
      </c>
      <c r="AE32" s="341">
        <v>23639</v>
      </c>
      <c r="AF32" s="341">
        <v>16744</v>
      </c>
      <c r="AG32" s="222">
        <v>19476</v>
      </c>
      <c r="AH32" s="341">
        <v>20260</v>
      </c>
      <c r="AI32" s="341">
        <v>23462</v>
      </c>
      <c r="AJ32" s="341">
        <v>21574</v>
      </c>
      <c r="AK32" s="217">
        <v>23723</v>
      </c>
      <c r="AL32" s="169">
        <v>20053</v>
      </c>
      <c r="AM32" s="218">
        <v>19182</v>
      </c>
      <c r="AN32" s="218">
        <v>18732</v>
      </c>
      <c r="AO32" s="217">
        <v>20213</v>
      </c>
      <c r="AP32" s="88"/>
      <c r="AQ32" s="176">
        <v>41545</v>
      </c>
      <c r="AR32" s="217">
        <v>36787</v>
      </c>
      <c r="AS32" s="471">
        <v>12959</v>
      </c>
      <c r="AT32" s="540">
        <v>0.25366035076730348</v>
      </c>
      <c r="AU32" s="88"/>
      <c r="AV32" s="222">
        <v>64047</v>
      </c>
      <c r="AW32" s="222">
        <v>51088</v>
      </c>
      <c r="AX32" s="222">
        <v>61638</v>
      </c>
      <c r="AY32" s="222">
        <v>79374</v>
      </c>
      <c r="AZ32" s="222">
        <v>85764</v>
      </c>
      <c r="BA32" s="246">
        <v>74037</v>
      </c>
      <c r="BB32" s="254">
        <v>76663</v>
      </c>
      <c r="BC32" s="254">
        <v>89019</v>
      </c>
      <c r="BD32" s="254">
        <v>78180</v>
      </c>
      <c r="BE32" s="315">
        <v>68726</v>
      </c>
      <c r="BF32" s="315">
        <v>58783</v>
      </c>
      <c r="BG32" s="316">
        <v>66472</v>
      </c>
      <c r="BH32" s="3"/>
      <c r="BI32" s="3"/>
      <c r="BJ32" s="3"/>
      <c r="BM32" s="3"/>
    </row>
    <row r="33" spans="1:65" s="95" customFormat="1" ht="24.75" customHeight="1" thickBot="1" x14ac:dyDescent="0.25">
      <c r="A33" s="1485" t="s">
        <v>204</v>
      </c>
      <c r="B33" s="1486"/>
      <c r="C33" s="167">
        <v>-5719</v>
      </c>
      <c r="D33" s="168">
        <v>-0.45943123393316193</v>
      </c>
      <c r="E33" s="741"/>
      <c r="F33" s="1319">
        <v>-18167</v>
      </c>
      <c r="G33" s="1308">
        <v>-7400</v>
      </c>
      <c r="H33" s="1308">
        <v>-10344</v>
      </c>
      <c r="I33" s="1311">
        <v>-11368</v>
      </c>
      <c r="J33" s="1319">
        <v>-12448</v>
      </c>
      <c r="K33" s="1308">
        <v>-9125</v>
      </c>
      <c r="L33" s="1308">
        <v>-4487</v>
      </c>
      <c r="M33" s="1311">
        <v>-9610</v>
      </c>
      <c r="N33" s="1319">
        <v>-12816</v>
      </c>
      <c r="O33" s="1308">
        <v>-12271</v>
      </c>
      <c r="P33" s="1308">
        <v>-3056</v>
      </c>
      <c r="Q33" s="1311">
        <v>-9018</v>
      </c>
      <c r="R33" s="1319">
        <v>-10252</v>
      </c>
      <c r="S33" s="1308">
        <v>-12681</v>
      </c>
      <c r="T33" s="1308">
        <v>-14421</v>
      </c>
      <c r="U33" s="218">
        <v>-11923</v>
      </c>
      <c r="V33" s="341">
        <v>-15352</v>
      </c>
      <c r="W33" s="341">
        <v>-14133</v>
      </c>
      <c r="X33" s="209">
        <v>-10678</v>
      </c>
      <c r="Y33" s="222">
        <v>-13663</v>
      </c>
      <c r="Z33" s="209">
        <v>-14840</v>
      </c>
      <c r="AA33" s="341">
        <v>-15356</v>
      </c>
      <c r="AB33" s="209">
        <v>-11521</v>
      </c>
      <c r="AC33" s="222">
        <v>-5387</v>
      </c>
      <c r="AD33" s="341">
        <v>-12035</v>
      </c>
      <c r="AE33" s="341">
        <v>-19233</v>
      </c>
      <c r="AF33" s="341">
        <v>-8095</v>
      </c>
      <c r="AG33" s="222">
        <v>-9414</v>
      </c>
      <c r="AH33" s="223">
        <v>-9242</v>
      </c>
      <c r="AI33" s="218">
        <v>-10857</v>
      </c>
      <c r="AJ33" s="218">
        <v>-9191</v>
      </c>
      <c r="AK33" s="217">
        <v>-8959</v>
      </c>
      <c r="AL33" s="217">
        <v>-9637</v>
      </c>
      <c r="AM33" s="217">
        <v>-11127</v>
      </c>
      <c r="AN33" s="217">
        <v>-11360</v>
      </c>
      <c r="AO33" s="217">
        <v>-11478</v>
      </c>
      <c r="AP33" s="88"/>
      <c r="AQ33" s="404">
        <v>-29112</v>
      </c>
      <c r="AR33" s="336">
        <v>-23222</v>
      </c>
      <c r="AS33" s="328">
        <v>-11609</v>
      </c>
      <c r="AT33" s="472">
        <v>-0.32545556490047661</v>
      </c>
      <c r="AU33" s="88"/>
      <c r="AV33" s="1317">
        <v>-47279</v>
      </c>
      <c r="AW33" s="1317">
        <v>-35670</v>
      </c>
      <c r="AX33" s="1317">
        <v>-37161</v>
      </c>
      <c r="AY33" s="1317">
        <v>-49277</v>
      </c>
      <c r="AZ33" s="1317">
        <v>-53826</v>
      </c>
      <c r="BA33" s="1331">
        <v>-47104</v>
      </c>
      <c r="BB33" s="1331">
        <v>-48777</v>
      </c>
      <c r="BC33" s="233">
        <v>-38249</v>
      </c>
      <c r="BD33" s="233">
        <v>-43602</v>
      </c>
      <c r="BE33" s="307">
        <v>-44171</v>
      </c>
      <c r="BF33" s="307">
        <v>-43835</v>
      </c>
      <c r="BG33" s="313">
        <v>-52056</v>
      </c>
      <c r="BH33" s="725"/>
      <c r="BJ33" s="207"/>
      <c r="BK33" s="207"/>
      <c r="BL33" s="207"/>
      <c r="BM33" s="207"/>
    </row>
    <row r="34" spans="1:65" s="95" customFormat="1" ht="13.5" thickTop="1" x14ac:dyDescent="0.2">
      <c r="A34" s="890"/>
      <c r="B34" s="740" t="s">
        <v>380</v>
      </c>
      <c r="C34" s="167">
        <v>171</v>
      </c>
      <c r="D34" s="527">
        <v>1.925892555467958E-2</v>
      </c>
      <c r="E34" s="741"/>
      <c r="F34" s="750">
        <v>-8708</v>
      </c>
      <c r="G34" s="750">
        <v>-7427</v>
      </c>
      <c r="H34" s="750">
        <v>-9367</v>
      </c>
      <c r="I34" s="749">
        <v>-8091</v>
      </c>
      <c r="J34" s="828">
        <v>-8879</v>
      </c>
      <c r="K34" s="750">
        <v>-8738</v>
      </c>
      <c r="L34" s="750">
        <v>-6895</v>
      </c>
      <c r="M34" s="749">
        <v>-8744</v>
      </c>
      <c r="N34" s="750">
        <v>-10621</v>
      </c>
      <c r="O34" s="750">
        <v>-11097</v>
      </c>
      <c r="P34" s="750">
        <v>-11740</v>
      </c>
      <c r="Q34" s="749">
        <v>-12339</v>
      </c>
      <c r="R34" s="750">
        <v>-13694</v>
      </c>
      <c r="S34" s="750">
        <v>-10891</v>
      </c>
      <c r="T34" s="750">
        <v>-11254</v>
      </c>
      <c r="U34" s="829">
        <v>-11765</v>
      </c>
      <c r="V34" s="745"/>
      <c r="W34" s="745"/>
      <c r="X34" s="745"/>
      <c r="Y34" s="746"/>
      <c r="Z34" s="745"/>
      <c r="AA34" s="745"/>
      <c r="AB34" s="746"/>
      <c r="AC34" s="746"/>
      <c r="AD34" s="473"/>
      <c r="AE34" s="473"/>
      <c r="AF34" s="474"/>
      <c r="AG34" s="474"/>
      <c r="AH34" s="495"/>
      <c r="AI34" s="474"/>
      <c r="AJ34" s="474"/>
      <c r="AK34" s="473"/>
      <c r="AL34" s="473"/>
      <c r="AM34" s="473"/>
      <c r="AN34" s="473"/>
      <c r="AO34" s="473"/>
      <c r="AP34" s="532"/>
      <c r="AQ34" s="750">
        <v>-24885</v>
      </c>
      <c r="AR34" s="750">
        <v>-24377</v>
      </c>
      <c r="AS34" s="750">
        <v>-337</v>
      </c>
      <c r="AT34" s="541">
        <v>-1.0133509742602839E-2</v>
      </c>
      <c r="AU34" s="482"/>
      <c r="AV34" s="900">
        <v>-33593</v>
      </c>
      <c r="AW34" s="900">
        <v>-33256</v>
      </c>
      <c r="AX34" s="900">
        <v>-45797</v>
      </c>
      <c r="AY34" s="900">
        <v>-47604</v>
      </c>
      <c r="AZ34" s="829">
        <v>-47507</v>
      </c>
      <c r="BA34" s="897">
        <v>-45355</v>
      </c>
      <c r="BB34" s="495" t="s">
        <v>186</v>
      </c>
      <c r="BC34" s="495"/>
      <c r="BD34" s="474"/>
      <c r="BE34" s="496"/>
      <c r="BF34" s="496"/>
      <c r="BG34" s="151"/>
      <c r="BH34" s="722"/>
      <c r="BI34" s="207"/>
      <c r="BJ34" s="207"/>
      <c r="BM34" s="207"/>
    </row>
    <row r="35" spans="1:65" s="95" customFormat="1" ht="13.5" thickBot="1" x14ac:dyDescent="0.25">
      <c r="A35" s="141" t="s">
        <v>77</v>
      </c>
      <c r="B35" s="140"/>
      <c r="C35" s="405">
        <v>-5890</v>
      </c>
      <c r="D35" s="179">
        <v>-1.6503222191089941</v>
      </c>
      <c r="E35" s="520"/>
      <c r="F35" s="653">
        <v>-9459</v>
      </c>
      <c r="G35" s="653">
        <v>27</v>
      </c>
      <c r="H35" s="653">
        <v>-977</v>
      </c>
      <c r="I35" s="1325">
        <v>-3277</v>
      </c>
      <c r="J35" s="653">
        <v>-3569</v>
      </c>
      <c r="K35" s="653">
        <v>-387</v>
      </c>
      <c r="L35" s="653">
        <v>2408</v>
      </c>
      <c r="M35" s="1325">
        <v>-866</v>
      </c>
      <c r="N35" s="653">
        <v>-2195</v>
      </c>
      <c r="O35" s="653">
        <v>-1174</v>
      </c>
      <c r="P35" s="653">
        <v>8684</v>
      </c>
      <c r="Q35" s="1325">
        <v>3321</v>
      </c>
      <c r="R35" s="653">
        <v>3442</v>
      </c>
      <c r="S35" s="653">
        <v>-1790</v>
      </c>
      <c r="T35" s="653">
        <v>-3167</v>
      </c>
      <c r="U35" s="250">
        <v>-158</v>
      </c>
      <c r="V35" s="249" t="e">
        <v>#REF!</v>
      </c>
      <c r="W35" s="249" t="e">
        <v>#REF!</v>
      </c>
      <c r="X35" s="249" t="e">
        <v>#REF!</v>
      </c>
      <c r="Y35" s="250" t="e">
        <v>#REF!</v>
      </c>
      <c r="Z35" s="249">
        <v>-2915</v>
      </c>
      <c r="AA35" s="249">
        <v>-3212</v>
      </c>
      <c r="AB35" s="250">
        <v>-1111</v>
      </c>
      <c r="AC35" s="250">
        <v>5489</v>
      </c>
      <c r="AD35" s="475" t="s">
        <v>186</v>
      </c>
      <c r="AE35" s="475" t="s">
        <v>186</v>
      </c>
      <c r="AF35" s="476" t="s">
        <v>186</v>
      </c>
      <c r="AG35" s="476" t="s">
        <v>186</v>
      </c>
      <c r="AH35" s="497" t="s">
        <v>186</v>
      </c>
      <c r="AI35" s="474"/>
      <c r="AJ35" s="474"/>
      <c r="AK35" s="473"/>
      <c r="AL35" s="473"/>
      <c r="AM35" s="473"/>
      <c r="AN35" s="473"/>
      <c r="AO35" s="473"/>
      <c r="AP35" s="532"/>
      <c r="AQ35" s="653">
        <v>-4227</v>
      </c>
      <c r="AR35" s="653">
        <v>1155</v>
      </c>
      <c r="AS35" s="653">
        <v>-11272</v>
      </c>
      <c r="AT35" s="179" t="s">
        <v>42</v>
      </c>
      <c r="AU35" s="482"/>
      <c r="AV35" s="1325">
        <v>-13686</v>
      </c>
      <c r="AW35" s="1325">
        <v>-2414</v>
      </c>
      <c r="AX35" s="250">
        <v>8636</v>
      </c>
      <c r="AY35" s="1325">
        <v>-1673</v>
      </c>
      <c r="AZ35" s="1325">
        <v>-6319</v>
      </c>
      <c r="BA35" s="1329">
        <v>-1749</v>
      </c>
      <c r="BB35" s="497" t="s">
        <v>186</v>
      </c>
      <c r="BC35" s="497" t="s">
        <v>186</v>
      </c>
      <c r="BD35" s="476" t="s">
        <v>186</v>
      </c>
      <c r="BE35" s="498" t="s">
        <v>186</v>
      </c>
      <c r="BF35" s="498" t="s">
        <v>186</v>
      </c>
      <c r="BG35" s="151"/>
      <c r="BH35" s="3"/>
      <c r="BI35" s="207"/>
      <c r="BJ35" s="207"/>
      <c r="BM35" s="207"/>
    </row>
    <row r="36" spans="1:65" s="95" customFormat="1" ht="12.75" hidden="1" customHeight="1" x14ac:dyDescent="0.2">
      <c r="A36" s="8"/>
      <c r="B36" s="7"/>
      <c r="C36" s="38">
        <v>0</v>
      </c>
      <c r="D36" s="30"/>
      <c r="E36" s="41"/>
      <c r="F36" s="745"/>
      <c r="G36" s="745"/>
      <c r="H36" s="745"/>
      <c r="I36" s="746"/>
      <c r="J36" s="745"/>
      <c r="K36" s="745"/>
      <c r="L36" s="745"/>
      <c r="M36" s="746"/>
      <c r="N36" s="745"/>
      <c r="O36" s="745"/>
      <c r="P36" s="745"/>
      <c r="Q36" s="746"/>
      <c r="R36" s="687"/>
      <c r="S36" s="687"/>
      <c r="T36" s="231"/>
      <c r="U36" s="235"/>
      <c r="V36" s="231"/>
      <c r="W36" s="231"/>
      <c r="X36" s="231"/>
      <c r="Y36" s="235"/>
      <c r="Z36" s="231"/>
      <c r="AA36" s="231"/>
      <c r="AB36" s="231"/>
      <c r="AC36" s="235"/>
      <c r="AD36" s="231"/>
      <c r="AE36" s="231"/>
      <c r="AF36" s="231"/>
      <c r="AG36" s="235"/>
      <c r="AH36" s="198"/>
      <c r="AI36" s="474"/>
      <c r="AJ36" s="474"/>
      <c r="AK36" s="473"/>
      <c r="AL36" s="473"/>
      <c r="AM36" s="473"/>
      <c r="AN36" s="473"/>
      <c r="AO36" s="473"/>
      <c r="AP36" s="194"/>
      <c r="AQ36" s="231"/>
      <c r="AR36" s="231"/>
      <c r="AS36" s="251"/>
      <c r="AT36" s="41"/>
      <c r="AU36" s="482"/>
      <c r="AV36" s="473"/>
      <c r="AW36" s="473"/>
      <c r="AX36" s="473"/>
      <c r="AY36" s="473"/>
      <c r="AZ36" s="473"/>
      <c r="BA36" s="473"/>
      <c r="BB36" s="198"/>
      <c r="BC36" s="235"/>
      <c r="BD36" s="235"/>
      <c r="BE36" s="251"/>
      <c r="BF36" s="270"/>
      <c r="BG36" s="151"/>
      <c r="BH36" s="3"/>
      <c r="BI36" s="207"/>
      <c r="BJ36" s="207"/>
      <c r="BM36" s="207"/>
    </row>
    <row r="37" spans="1:65" s="95" customFormat="1" ht="12.75" hidden="1" customHeight="1" x14ac:dyDescent="0.2">
      <c r="A37" s="82"/>
      <c r="B37" s="82" t="s">
        <v>6</v>
      </c>
      <c r="C37" s="38">
        <v>0</v>
      </c>
      <c r="D37" s="30">
        <v>0</v>
      </c>
      <c r="E37" s="41"/>
      <c r="F37" s="745"/>
      <c r="G37" s="745"/>
      <c r="H37" s="745"/>
      <c r="I37" s="746"/>
      <c r="J37" s="745"/>
      <c r="K37" s="745"/>
      <c r="L37" s="745"/>
      <c r="M37" s="746"/>
      <c r="N37" s="745"/>
      <c r="O37" s="745"/>
      <c r="P37" s="745"/>
      <c r="Q37" s="746"/>
      <c r="R37" s="687"/>
      <c r="S37" s="687"/>
      <c r="T37" s="231"/>
      <c r="U37" s="235"/>
      <c r="V37" s="231"/>
      <c r="W37" s="231"/>
      <c r="X37" s="231"/>
      <c r="Y37" s="235"/>
      <c r="Z37" s="231"/>
      <c r="AA37" s="231">
        <v>-875</v>
      </c>
      <c r="AB37" s="231">
        <v>20</v>
      </c>
      <c r="AC37" s="235">
        <v>2277</v>
      </c>
      <c r="AD37" s="231">
        <v>491</v>
      </c>
      <c r="AE37" s="231">
        <v>-2942</v>
      </c>
      <c r="AF37" s="231">
        <v>1904</v>
      </c>
      <c r="AG37" s="235">
        <v>1525</v>
      </c>
      <c r="AH37" s="198">
        <v>141</v>
      </c>
      <c r="AI37" s="474"/>
      <c r="AJ37" s="474"/>
      <c r="AK37" s="473"/>
      <c r="AL37" s="473"/>
      <c r="AM37" s="473"/>
      <c r="AN37" s="473"/>
      <c r="AO37" s="473"/>
      <c r="AP37" s="194"/>
      <c r="AQ37" s="231"/>
      <c r="AR37" s="231"/>
      <c r="AS37" s="251">
        <v>1422</v>
      </c>
      <c r="AT37" s="41" t="e">
        <v>#DIV/0!</v>
      </c>
      <c r="AU37" s="482"/>
      <c r="AV37" s="473"/>
      <c r="AW37" s="473"/>
      <c r="AX37" s="473"/>
      <c r="AY37" s="473"/>
      <c r="AZ37" s="473">
        <v>1422</v>
      </c>
      <c r="BA37" s="473"/>
      <c r="BB37" s="198">
        <v>932</v>
      </c>
      <c r="BC37" s="235">
        <v>-1912</v>
      </c>
      <c r="BD37" s="235">
        <v>-4538</v>
      </c>
      <c r="BE37" s="251">
        <v>-3087</v>
      </c>
      <c r="BF37" s="270">
        <v>-2784</v>
      </c>
      <c r="BG37" s="151"/>
      <c r="BH37" s="3"/>
      <c r="BI37" s="207"/>
      <c r="BJ37" s="207"/>
      <c r="BM37" s="207"/>
    </row>
    <row r="38" spans="1:65" s="95" customFormat="1" ht="16.5" hidden="1" customHeight="1" thickTop="1" x14ac:dyDescent="0.2">
      <c r="A38" s="82"/>
      <c r="B38" s="82"/>
      <c r="C38" s="38">
        <v>0</v>
      </c>
      <c r="D38" s="30"/>
      <c r="E38" s="41"/>
      <c r="F38" s="237"/>
      <c r="G38" s="237"/>
      <c r="H38" s="237"/>
      <c r="I38" s="746"/>
      <c r="J38" s="237"/>
      <c r="K38" s="237"/>
      <c r="L38" s="237"/>
      <c r="M38" s="746"/>
      <c r="N38" s="237"/>
      <c r="O38" s="237"/>
      <c r="P38" s="237"/>
      <c r="Q38" s="746"/>
      <c r="R38" s="687"/>
      <c r="S38" s="237"/>
      <c r="T38" s="237"/>
      <c r="U38" s="235"/>
      <c r="V38" s="231"/>
      <c r="W38" s="237"/>
      <c r="X38" s="231"/>
      <c r="Y38" s="235"/>
      <c r="Z38" s="231"/>
      <c r="AA38" s="237"/>
      <c r="AB38" s="231"/>
      <c r="AC38" s="235"/>
      <c r="AD38" s="231"/>
      <c r="AE38" s="231"/>
      <c r="AF38" s="231"/>
      <c r="AG38" s="235"/>
      <c r="AH38" s="198"/>
      <c r="AI38" s="474"/>
      <c r="AJ38" s="474"/>
      <c r="AK38" s="473"/>
      <c r="AL38" s="473"/>
      <c r="AM38" s="473"/>
      <c r="AN38" s="473"/>
      <c r="AO38" s="473"/>
      <c r="AP38" s="194"/>
      <c r="AQ38" s="231"/>
      <c r="AR38" s="237"/>
      <c r="AS38" s="251"/>
      <c r="AT38" s="41"/>
      <c r="AU38" s="482"/>
      <c r="AV38" s="473"/>
      <c r="AW38" s="473"/>
      <c r="AX38" s="473"/>
      <c r="AY38" s="473"/>
      <c r="AZ38" s="473"/>
      <c r="BA38" s="473"/>
      <c r="BB38" s="198"/>
      <c r="BC38" s="235"/>
      <c r="BD38" s="235"/>
      <c r="BE38" s="251"/>
      <c r="BF38" s="270"/>
      <c r="BG38" s="151"/>
      <c r="BH38" s="3"/>
      <c r="BI38" s="207"/>
      <c r="BJ38" s="207"/>
      <c r="BM38" s="207"/>
    </row>
    <row r="39" spans="1:65" s="95" customFormat="1" ht="12.75" hidden="1" customHeight="1" thickBot="1" x14ac:dyDescent="0.25">
      <c r="A39" s="141" t="s">
        <v>78</v>
      </c>
      <c r="B39" s="82"/>
      <c r="C39" s="38">
        <v>0</v>
      </c>
      <c r="D39" s="179" t="e">
        <v>#VALUE!</v>
      </c>
      <c r="E39" s="41"/>
      <c r="F39" s="411"/>
      <c r="G39" s="411"/>
      <c r="H39" s="411"/>
      <c r="I39" s="250"/>
      <c r="J39" s="411"/>
      <c r="K39" s="411"/>
      <c r="L39" s="411"/>
      <c r="M39" s="250"/>
      <c r="N39" s="411"/>
      <c r="O39" s="411"/>
      <c r="P39" s="411"/>
      <c r="Q39" s="250"/>
      <c r="R39" s="249"/>
      <c r="S39" s="411"/>
      <c r="T39" s="411"/>
      <c r="U39" s="250"/>
      <c r="V39" s="249"/>
      <c r="W39" s="411"/>
      <c r="X39" s="249"/>
      <c r="Y39" s="250"/>
      <c r="Z39" s="249">
        <v>-2915</v>
      </c>
      <c r="AA39" s="411">
        <v>-2337</v>
      </c>
      <c r="AB39" s="249">
        <v>-1131</v>
      </c>
      <c r="AC39" s="250">
        <v>3212</v>
      </c>
      <c r="AD39" s="249" t="e">
        <v>#VALUE!</v>
      </c>
      <c r="AE39" s="249" t="e">
        <v>#VALUE!</v>
      </c>
      <c r="AF39" s="249" t="e">
        <v>#VALUE!</v>
      </c>
      <c r="AG39" s="250" t="e">
        <v>#VALUE!</v>
      </c>
      <c r="AH39" s="206" t="e">
        <v>#VALUE!</v>
      </c>
      <c r="AI39" s="476" t="s">
        <v>186</v>
      </c>
      <c r="AJ39" s="476" t="s">
        <v>186</v>
      </c>
      <c r="AK39" s="475"/>
      <c r="AL39" s="475"/>
      <c r="AM39" s="475"/>
      <c r="AN39" s="475"/>
      <c r="AO39" s="475"/>
      <c r="AP39" s="194"/>
      <c r="AQ39" s="249"/>
      <c r="AR39" s="411"/>
      <c r="AS39" s="331">
        <v>-3171</v>
      </c>
      <c r="AT39" s="490" t="e">
        <v>#DIV/0!</v>
      </c>
      <c r="AU39" s="482"/>
      <c r="AV39" s="475"/>
      <c r="AW39" s="475"/>
      <c r="AX39" s="475"/>
      <c r="AY39" s="475"/>
      <c r="AZ39" s="475">
        <v>-3171</v>
      </c>
      <c r="BA39" s="475"/>
      <c r="BB39" s="206" t="e">
        <v>#VALUE!</v>
      </c>
      <c r="BC39" s="250" t="e">
        <v>#VALUE!</v>
      </c>
      <c r="BD39" s="250" t="e">
        <v>#VALUE!</v>
      </c>
      <c r="BE39" s="331" t="e">
        <v>#VALUE!</v>
      </c>
      <c r="BF39" s="317" t="e">
        <v>#VALUE!</v>
      </c>
      <c r="BG39" s="151"/>
      <c r="BH39" s="3"/>
      <c r="BI39" s="207"/>
      <c r="BJ39" s="207"/>
      <c r="BM39" s="207"/>
    </row>
    <row r="40" spans="1:65" ht="12.75" customHeight="1" thickTop="1" x14ac:dyDescent="0.2">
      <c r="A40" s="142"/>
      <c r="B40" s="142"/>
      <c r="C40" s="31"/>
      <c r="D40" s="41"/>
      <c r="E40" s="41"/>
      <c r="F40" s="755"/>
      <c r="G40" s="755"/>
      <c r="H40" s="755"/>
      <c r="I40" s="7"/>
      <c r="J40" s="755"/>
      <c r="K40" s="755"/>
      <c r="L40" s="755"/>
      <c r="M40" s="7"/>
      <c r="N40" s="755"/>
      <c r="O40" s="755"/>
      <c r="P40" s="755"/>
      <c r="Q40" s="7"/>
      <c r="R40" s="41"/>
      <c r="S40" s="41"/>
      <c r="T40" s="41"/>
      <c r="U40" s="7"/>
      <c r="V40" s="41"/>
      <c r="W40" s="41"/>
      <c r="X40" s="41"/>
      <c r="Y40" s="7"/>
      <c r="Z40" s="41"/>
      <c r="AA40" s="41"/>
      <c r="AB40" s="41"/>
      <c r="AC40" s="7"/>
      <c r="AD40" s="41"/>
      <c r="AE40" s="41"/>
      <c r="AF40" s="41"/>
      <c r="AG40" s="7"/>
      <c r="AH40" s="142"/>
      <c r="AI40" s="142"/>
      <c r="AJ40" s="142"/>
      <c r="AK40" s="209"/>
      <c r="AL40" s="209"/>
      <c r="AM40" s="209"/>
      <c r="AN40" s="209"/>
      <c r="AO40" s="209"/>
      <c r="AP40" s="7"/>
      <c r="AQ40" s="41"/>
      <c r="AR40" s="41"/>
      <c r="AS40" s="31"/>
      <c r="AT40" s="41"/>
      <c r="AU40" s="146"/>
      <c r="AV40" s="725"/>
      <c r="AW40" s="725"/>
      <c r="AX40" s="725"/>
      <c r="AY40" s="146"/>
      <c r="AZ40" s="146"/>
      <c r="BA40" s="146"/>
      <c r="BB40" s="146"/>
      <c r="BC40" s="31"/>
      <c r="BD40" s="31"/>
      <c r="BE40" s="151"/>
      <c r="BF40" s="151"/>
      <c r="BG40" s="151"/>
      <c r="BH40" s="3"/>
      <c r="BI40" s="3"/>
      <c r="BJ40" s="3"/>
      <c r="BM40" s="3"/>
    </row>
    <row r="41" spans="1:65" ht="12.75" customHeight="1" x14ac:dyDescent="0.2">
      <c r="A41" s="143" t="s">
        <v>94</v>
      </c>
      <c r="B41" s="144"/>
      <c r="C41" s="31">
        <v>8</v>
      </c>
      <c r="D41" s="755">
        <v>2.5316455696202531E-2</v>
      </c>
      <c r="E41" s="41"/>
      <c r="F41" s="754">
        <v>324</v>
      </c>
      <c r="G41" s="754">
        <v>316</v>
      </c>
      <c r="H41" s="754">
        <v>315</v>
      </c>
      <c r="I41" s="754">
        <v>320</v>
      </c>
      <c r="J41" s="754">
        <v>316</v>
      </c>
      <c r="K41" s="754">
        <v>319</v>
      </c>
      <c r="L41" s="754">
        <v>320</v>
      </c>
      <c r="M41" s="754">
        <v>323</v>
      </c>
      <c r="N41" s="754">
        <v>332</v>
      </c>
      <c r="O41" s="754">
        <v>332</v>
      </c>
      <c r="P41" s="754">
        <v>343</v>
      </c>
      <c r="Q41" s="754">
        <v>376</v>
      </c>
      <c r="R41" s="31">
        <v>378</v>
      </c>
      <c r="S41" s="31">
        <v>386</v>
      </c>
      <c r="T41" s="31">
        <v>384</v>
      </c>
      <c r="U41" s="31">
        <v>382</v>
      </c>
      <c r="V41" s="31">
        <v>373</v>
      </c>
      <c r="W41" s="31">
        <v>365</v>
      </c>
      <c r="X41" s="31">
        <v>369</v>
      </c>
      <c r="Y41" s="31">
        <v>371</v>
      </c>
      <c r="Z41" s="31">
        <v>364</v>
      </c>
      <c r="AA41" s="31">
        <v>360</v>
      </c>
      <c r="AB41" s="31">
        <v>359</v>
      </c>
      <c r="AC41" s="31">
        <v>352</v>
      </c>
      <c r="AD41" s="31">
        <v>356</v>
      </c>
      <c r="AE41" s="31">
        <v>365</v>
      </c>
      <c r="AF41" s="31">
        <v>393</v>
      </c>
      <c r="AG41" s="31">
        <v>393</v>
      </c>
      <c r="AH41" s="31">
        <v>380</v>
      </c>
      <c r="AI41" s="31">
        <v>373</v>
      </c>
      <c r="AJ41" s="31">
        <v>370</v>
      </c>
      <c r="AK41" s="31">
        <v>366</v>
      </c>
      <c r="AL41" s="31">
        <v>360</v>
      </c>
      <c r="AM41" s="31">
        <v>348</v>
      </c>
      <c r="AN41" s="31">
        <v>349</v>
      </c>
      <c r="AO41" s="31">
        <v>343</v>
      </c>
      <c r="AP41" s="146"/>
      <c r="AQ41" s="31">
        <v>316</v>
      </c>
      <c r="AR41" s="31">
        <v>319</v>
      </c>
      <c r="AS41" s="31">
        <v>8</v>
      </c>
      <c r="AT41" s="41">
        <v>2.5316455696202531E-2</v>
      </c>
      <c r="AU41" s="146"/>
      <c r="AV41" s="754">
        <v>324</v>
      </c>
      <c r="AW41" s="754">
        <v>316</v>
      </c>
      <c r="AX41" s="754">
        <v>332</v>
      </c>
      <c r="AY41" s="31">
        <v>378</v>
      </c>
      <c r="AZ41" s="31">
        <v>373</v>
      </c>
      <c r="BA41" s="31">
        <v>364</v>
      </c>
      <c r="BB41" s="31">
        <v>356</v>
      </c>
      <c r="BC41" s="31">
        <v>380</v>
      </c>
      <c r="BD41" s="31">
        <v>360</v>
      </c>
      <c r="BE41" s="151">
        <v>335</v>
      </c>
      <c r="BF41" s="151">
        <v>324</v>
      </c>
      <c r="BG41" s="151">
        <v>296</v>
      </c>
      <c r="BH41" s="3"/>
      <c r="BI41" s="3"/>
      <c r="BJ41" s="3"/>
      <c r="BM41" s="3"/>
    </row>
    <row r="42" spans="1:65" ht="12.75" customHeight="1" x14ac:dyDescent="0.2">
      <c r="A42" s="7"/>
      <c r="B42" s="7"/>
      <c r="C42" s="146"/>
      <c r="D42" s="146"/>
      <c r="E42" s="146"/>
      <c r="F42" s="725"/>
      <c r="G42" s="725"/>
      <c r="H42" s="725"/>
      <c r="I42" s="7"/>
      <c r="J42" s="725"/>
      <c r="K42" s="725"/>
      <c r="L42" s="725"/>
      <c r="M42" s="7"/>
      <c r="N42" s="725"/>
      <c r="O42" s="725"/>
      <c r="P42" s="725"/>
      <c r="Q42" s="7"/>
      <c r="R42" s="146"/>
      <c r="S42" s="146"/>
      <c r="T42" s="146"/>
      <c r="U42" s="7"/>
      <c r="V42" s="146"/>
      <c r="W42" s="146"/>
      <c r="X42" s="146"/>
      <c r="Y42" s="7"/>
      <c r="Z42" s="146"/>
      <c r="AA42" s="146"/>
      <c r="AB42" s="146"/>
      <c r="AC42" s="7"/>
      <c r="AD42" s="146"/>
      <c r="AE42" s="146"/>
      <c r="AF42" s="146"/>
      <c r="AG42" s="7"/>
      <c r="AH42" s="146"/>
      <c r="AI42" s="146"/>
      <c r="AJ42" s="146"/>
      <c r="AK42" s="146"/>
      <c r="AL42" s="146"/>
      <c r="AM42" s="146"/>
      <c r="AN42" s="146"/>
      <c r="AO42" s="146"/>
      <c r="AP42" s="146"/>
      <c r="AQ42" s="146"/>
      <c r="AR42" s="146"/>
      <c r="AS42" s="146"/>
      <c r="AT42" s="146"/>
      <c r="AU42" s="146"/>
      <c r="AV42" s="725"/>
      <c r="AW42" s="725"/>
      <c r="AX42" s="725"/>
      <c r="AY42" s="146"/>
      <c r="AZ42" s="146"/>
      <c r="BA42" s="146"/>
      <c r="BB42" s="146"/>
      <c r="BC42" s="146"/>
      <c r="BD42" s="146"/>
      <c r="BE42" s="266"/>
      <c r="BF42" s="266"/>
      <c r="BG42" s="266"/>
      <c r="BH42" s="3"/>
      <c r="BI42" s="3"/>
      <c r="BJ42" s="3"/>
      <c r="BM42" s="3"/>
    </row>
    <row r="43" spans="1:65" ht="18" customHeight="1" x14ac:dyDescent="0.2">
      <c r="A43" s="12" t="s">
        <v>267</v>
      </c>
      <c r="B43" s="7"/>
      <c r="C43" s="82"/>
      <c r="D43" s="82"/>
      <c r="E43" s="146"/>
      <c r="F43" s="725"/>
      <c r="G43" s="725"/>
      <c r="H43" s="725"/>
      <c r="I43" s="725"/>
      <c r="J43" s="725"/>
      <c r="K43" s="725"/>
      <c r="L43" s="725"/>
      <c r="M43" s="725"/>
      <c r="N43" s="725"/>
      <c r="O43" s="725"/>
      <c r="P43" s="725"/>
      <c r="Q43" s="725"/>
      <c r="R43" s="146"/>
      <c r="S43" s="146"/>
      <c r="T43" s="146"/>
      <c r="U43" s="146"/>
      <c r="V43" s="146"/>
      <c r="W43" s="146"/>
      <c r="X43" s="146"/>
      <c r="Y43" s="146"/>
      <c r="Z43" s="146"/>
      <c r="AA43" s="146"/>
      <c r="AB43" s="146"/>
      <c r="AC43" s="146"/>
      <c r="AD43" s="146"/>
      <c r="AE43" s="146"/>
      <c r="AF43" s="146"/>
      <c r="AG43" s="146"/>
      <c r="AH43" s="146"/>
      <c r="AI43" s="146"/>
      <c r="AJ43" s="82"/>
      <c r="AK43" s="82"/>
      <c r="AL43" s="82"/>
      <c r="AM43" s="82"/>
      <c r="AN43" s="82"/>
      <c r="AO43" s="82"/>
      <c r="AP43" s="82"/>
      <c r="AQ43" s="146"/>
      <c r="AR43" s="146"/>
      <c r="AS43" s="146"/>
      <c r="AT43" s="146"/>
      <c r="AU43" s="82"/>
      <c r="AV43" s="1397"/>
      <c r="AW43" s="1397"/>
      <c r="AX43" s="724"/>
      <c r="AY43" s="82"/>
      <c r="AZ43" s="82"/>
      <c r="BA43" s="82"/>
      <c r="BB43" s="82"/>
      <c r="BC43" s="82"/>
      <c r="BD43" s="82"/>
      <c r="BE43" s="304"/>
      <c r="BF43" s="304"/>
      <c r="BG43" s="304"/>
      <c r="BH43" s="3"/>
      <c r="BI43" s="3"/>
      <c r="BJ43" s="3"/>
      <c r="BM43" s="3"/>
    </row>
    <row r="44" spans="1:65" ht="12.75" customHeight="1" x14ac:dyDescent="0.2">
      <c r="A44" s="190"/>
      <c r="B44" s="7"/>
      <c r="C44" s="82"/>
      <c r="D44" s="82"/>
      <c r="E44" s="146"/>
      <c r="F44" s="725"/>
      <c r="G44" s="725"/>
      <c r="H44" s="725"/>
      <c r="I44" s="725"/>
      <c r="J44" s="725"/>
      <c r="K44" s="725"/>
      <c r="L44" s="725"/>
      <c r="M44" s="725"/>
      <c r="N44" s="725"/>
      <c r="O44" s="725"/>
      <c r="P44" s="725"/>
      <c r="Q44" s="725"/>
      <c r="R44" s="401"/>
      <c r="S44" s="146"/>
      <c r="T44" s="146"/>
      <c r="U44" s="146"/>
      <c r="V44" s="401"/>
      <c r="W44" s="146"/>
      <c r="X44" s="401"/>
      <c r="Y44" s="146"/>
      <c r="Z44" s="401"/>
      <c r="AA44" s="146"/>
      <c r="AB44" s="401"/>
      <c r="AC44" s="146"/>
      <c r="AD44" s="401"/>
      <c r="AE44" s="146"/>
      <c r="AF44" s="146"/>
      <c r="AG44" s="146"/>
      <c r="AH44" s="146"/>
      <c r="AI44" s="146"/>
      <c r="AJ44" s="82"/>
      <c r="AK44" s="82"/>
      <c r="AL44" s="82"/>
      <c r="AM44" s="82"/>
      <c r="AN44" s="82"/>
      <c r="AO44" s="82"/>
      <c r="AP44" s="82"/>
      <c r="AQ44" s="401"/>
      <c r="AR44" s="146"/>
      <c r="AS44" s="146"/>
      <c r="AT44" s="146"/>
      <c r="AU44" s="82"/>
      <c r="AV44" s="724"/>
      <c r="AW44" s="724"/>
      <c r="AX44" s="724"/>
      <c r="AY44" s="82"/>
      <c r="AZ44" s="82"/>
      <c r="BA44" s="82"/>
      <c r="BB44" s="82"/>
      <c r="BC44" s="82"/>
      <c r="BD44" s="82"/>
      <c r="BE44" s="304"/>
      <c r="BF44" s="304"/>
      <c r="BG44" s="304"/>
      <c r="BH44" s="3"/>
      <c r="BI44" s="3"/>
      <c r="BJ44" s="3"/>
      <c r="BM44" s="3"/>
    </row>
    <row r="45" spans="1:65" ht="12.75" customHeight="1" x14ac:dyDescent="0.2">
      <c r="A45" s="6"/>
      <c r="B45" s="626"/>
      <c r="C45" s="1479" t="s">
        <v>447</v>
      </c>
      <c r="D45" s="1480"/>
      <c r="E45" s="256"/>
      <c r="F45" s="410"/>
      <c r="G45" s="410"/>
      <c r="H45" s="410"/>
      <c r="I45" s="19"/>
      <c r="J45" s="410"/>
      <c r="K45" s="410"/>
      <c r="L45" s="410"/>
      <c r="M45" s="19"/>
      <c r="N45" s="410"/>
      <c r="O45" s="410"/>
      <c r="P45" s="410"/>
      <c r="Q45" s="19"/>
      <c r="R45" s="17"/>
      <c r="S45" s="18"/>
      <c r="T45" s="410"/>
      <c r="U45" s="19"/>
      <c r="V45" s="17"/>
      <c r="W45" s="18"/>
      <c r="X45" s="410"/>
      <c r="Y45" s="19"/>
      <c r="Z45" s="722"/>
      <c r="AA45" s="18"/>
      <c r="AB45" s="2"/>
      <c r="AC45" s="19"/>
      <c r="AD45" s="18"/>
      <c r="AE45" s="722"/>
      <c r="AF45" s="410"/>
      <c r="AG45" s="19"/>
      <c r="AH45" s="18"/>
      <c r="AI45" s="18"/>
      <c r="AJ45" s="18"/>
      <c r="AK45" s="18"/>
      <c r="AL45" s="22"/>
      <c r="AM45" s="19"/>
      <c r="AN45" s="19"/>
      <c r="AO45" s="19"/>
      <c r="AP45" s="24"/>
      <c r="AQ45" s="661" t="s">
        <v>340</v>
      </c>
      <c r="AR45" s="647"/>
      <c r="AS45" s="647" t="s">
        <v>432</v>
      </c>
      <c r="AT45" s="648"/>
      <c r="AU45" s="15"/>
      <c r="AV45" s="87"/>
      <c r="AW45" s="87"/>
      <c r="AX45" s="87"/>
      <c r="AY45" s="87"/>
      <c r="AZ45" s="87"/>
      <c r="BA45" s="87"/>
      <c r="BB45" s="87"/>
      <c r="BC45" s="193"/>
      <c r="BD45" s="191"/>
      <c r="BE45" s="87"/>
      <c r="BF45" s="87"/>
      <c r="BG45" s="87"/>
      <c r="BH45" s="25"/>
      <c r="BI45" s="3"/>
      <c r="BJ45" s="3"/>
      <c r="BM45" s="3"/>
    </row>
    <row r="46" spans="1:65" ht="12.75" customHeight="1" x14ac:dyDescent="0.2">
      <c r="A46" s="6" t="s">
        <v>101</v>
      </c>
      <c r="B46" s="7"/>
      <c r="C46" s="1481" t="s">
        <v>39</v>
      </c>
      <c r="D46" s="1482"/>
      <c r="E46" s="530"/>
      <c r="F46" s="21" t="s">
        <v>425</v>
      </c>
      <c r="G46" s="21" t="s">
        <v>426</v>
      </c>
      <c r="H46" s="21" t="s">
        <v>427</v>
      </c>
      <c r="I46" s="14" t="s">
        <v>428</v>
      </c>
      <c r="J46" s="21" t="s">
        <v>363</v>
      </c>
      <c r="K46" s="21" t="s">
        <v>362</v>
      </c>
      <c r="L46" s="21" t="s">
        <v>361</v>
      </c>
      <c r="M46" s="14" t="s">
        <v>359</v>
      </c>
      <c r="N46" s="21" t="s">
        <v>302</v>
      </c>
      <c r="O46" s="21" t="s">
        <v>303</v>
      </c>
      <c r="P46" s="21" t="s">
        <v>304</v>
      </c>
      <c r="Q46" s="14" t="s">
        <v>305</v>
      </c>
      <c r="R46" s="20" t="s">
        <v>231</v>
      </c>
      <c r="S46" s="21" t="s">
        <v>232</v>
      </c>
      <c r="T46" s="21" t="s">
        <v>233</v>
      </c>
      <c r="U46" s="14" t="s">
        <v>230</v>
      </c>
      <c r="V46" s="20" t="s">
        <v>194</v>
      </c>
      <c r="W46" s="21" t="s">
        <v>195</v>
      </c>
      <c r="X46" s="21" t="s">
        <v>196</v>
      </c>
      <c r="Y46" s="14" t="s">
        <v>197</v>
      </c>
      <c r="Z46" s="21" t="s">
        <v>126</v>
      </c>
      <c r="AA46" s="21" t="s">
        <v>125</v>
      </c>
      <c r="AB46" s="21" t="s">
        <v>124</v>
      </c>
      <c r="AC46" s="14" t="s">
        <v>123</v>
      </c>
      <c r="AD46" s="21" t="s">
        <v>86</v>
      </c>
      <c r="AE46" s="21" t="s">
        <v>87</v>
      </c>
      <c r="AF46" s="21" t="s">
        <v>88</v>
      </c>
      <c r="AG46" s="14" t="s">
        <v>30</v>
      </c>
      <c r="AH46" s="21" t="s">
        <v>31</v>
      </c>
      <c r="AI46" s="21" t="s">
        <v>32</v>
      </c>
      <c r="AJ46" s="21" t="s">
        <v>33</v>
      </c>
      <c r="AK46" s="21" t="s">
        <v>34</v>
      </c>
      <c r="AL46" s="23" t="s">
        <v>35</v>
      </c>
      <c r="AM46" s="14" t="s">
        <v>36</v>
      </c>
      <c r="AN46" s="14" t="s">
        <v>37</v>
      </c>
      <c r="AO46" s="14" t="s">
        <v>38</v>
      </c>
      <c r="AP46" s="256"/>
      <c r="AQ46" s="21" t="s">
        <v>426</v>
      </c>
      <c r="AR46" s="21" t="s">
        <v>362</v>
      </c>
      <c r="AS46" s="1494" t="s">
        <v>39</v>
      </c>
      <c r="AT46" s="1482"/>
      <c r="AU46" s="194"/>
      <c r="AV46" s="20" t="s">
        <v>446</v>
      </c>
      <c r="AW46" s="20" t="s">
        <v>365</v>
      </c>
      <c r="AX46" s="20" t="s">
        <v>307</v>
      </c>
      <c r="AY46" s="20" t="s">
        <v>235</v>
      </c>
      <c r="AZ46" s="20" t="s">
        <v>128</v>
      </c>
      <c r="BA46" s="20" t="s">
        <v>127</v>
      </c>
      <c r="BB46" s="20" t="s">
        <v>43</v>
      </c>
      <c r="BC46" s="20" t="s">
        <v>40</v>
      </c>
      <c r="BD46" s="23" t="s">
        <v>41</v>
      </c>
      <c r="BE46" s="23" t="s">
        <v>146</v>
      </c>
      <c r="BF46" s="23" t="s">
        <v>147</v>
      </c>
      <c r="BG46" s="23" t="s">
        <v>148</v>
      </c>
      <c r="BH46" s="25"/>
      <c r="BI46" s="3"/>
      <c r="BJ46" s="3"/>
      <c r="BM46" s="3"/>
    </row>
    <row r="47" spans="1:65" ht="12.75" customHeight="1" x14ac:dyDescent="0.2">
      <c r="A47" s="145"/>
      <c r="B47" s="146" t="s">
        <v>4</v>
      </c>
      <c r="C47" s="397">
        <v>2482</v>
      </c>
      <c r="D47" s="742">
        <v>1.3394495412844036</v>
      </c>
      <c r="E47" s="88"/>
      <c r="F47" s="536">
        <v>4335</v>
      </c>
      <c r="G47" s="536">
        <v>4373</v>
      </c>
      <c r="H47" s="536">
        <v>4233</v>
      </c>
      <c r="I47" s="832">
        <v>3827</v>
      </c>
      <c r="J47" s="738">
        <v>1853</v>
      </c>
      <c r="K47" s="738">
        <v>4988</v>
      </c>
      <c r="L47" s="536">
        <v>6372</v>
      </c>
      <c r="M47" s="832">
        <v>2205</v>
      </c>
      <c r="N47" s="536">
        <v>5045</v>
      </c>
      <c r="O47" s="536">
        <v>4535</v>
      </c>
      <c r="P47" s="536">
        <v>10003</v>
      </c>
      <c r="Q47" s="832">
        <v>4894</v>
      </c>
      <c r="R47" s="536">
        <v>10101</v>
      </c>
      <c r="S47" s="536">
        <v>9737</v>
      </c>
      <c r="T47" s="536">
        <v>2636</v>
      </c>
      <c r="U47" s="832">
        <v>7623</v>
      </c>
      <c r="V47" s="536">
        <v>11120</v>
      </c>
      <c r="W47" s="536">
        <v>8477</v>
      </c>
      <c r="X47" s="536">
        <v>7783</v>
      </c>
      <c r="Y47" s="832">
        <v>4558</v>
      </c>
      <c r="Z47" s="536">
        <v>4647</v>
      </c>
      <c r="AA47" s="536">
        <v>5374</v>
      </c>
      <c r="AB47" s="832">
        <v>5131</v>
      </c>
      <c r="AC47" s="832">
        <v>11781</v>
      </c>
      <c r="AD47" s="535">
        <v>4769</v>
      </c>
      <c r="AE47" s="536">
        <v>4406</v>
      </c>
      <c r="AF47" s="536">
        <v>8649</v>
      </c>
      <c r="AG47" s="832">
        <v>10062</v>
      </c>
      <c r="AH47" s="913">
        <v>11018</v>
      </c>
      <c r="AI47" s="913">
        <v>12605</v>
      </c>
      <c r="AJ47" s="913">
        <v>12383</v>
      </c>
      <c r="AK47" s="910">
        <v>14764</v>
      </c>
      <c r="AL47" s="914">
        <v>10416</v>
      </c>
      <c r="AM47" s="910">
        <v>8055</v>
      </c>
      <c r="AN47" s="910">
        <v>7372</v>
      </c>
      <c r="AO47" s="910">
        <v>8735</v>
      </c>
      <c r="AP47" s="751"/>
      <c r="AQ47" s="750">
        <v>12433</v>
      </c>
      <c r="AR47" s="750">
        <v>13565</v>
      </c>
      <c r="AS47" s="338">
        <v>1350</v>
      </c>
      <c r="AT47" s="339">
        <v>8.7559994811259562E-2</v>
      </c>
      <c r="AU47" s="82"/>
      <c r="AV47" s="616">
        <v>16768</v>
      </c>
      <c r="AW47" s="616">
        <v>15418</v>
      </c>
      <c r="AX47" s="616">
        <v>24477</v>
      </c>
      <c r="AY47" s="616">
        <v>30097</v>
      </c>
      <c r="AZ47" s="751">
        <v>31938</v>
      </c>
      <c r="BA47" s="751">
        <v>26933</v>
      </c>
      <c r="BB47" s="751">
        <v>27886</v>
      </c>
      <c r="BC47" s="198">
        <v>50770</v>
      </c>
      <c r="BD47" s="198">
        <v>34578</v>
      </c>
      <c r="BE47" s="315">
        <v>24555</v>
      </c>
      <c r="BF47" s="315">
        <v>14948</v>
      </c>
      <c r="BG47" s="315">
        <v>14416</v>
      </c>
      <c r="BH47" s="3"/>
      <c r="BI47" s="3"/>
      <c r="BJ47" s="3"/>
      <c r="BM47" s="3"/>
    </row>
    <row r="48" spans="1:65" ht="12.75" customHeight="1" x14ac:dyDescent="0.2">
      <c r="A48" s="82"/>
      <c r="B48" s="146" t="s">
        <v>85</v>
      </c>
      <c r="C48" s="83">
        <v>1568</v>
      </c>
      <c r="D48" s="45">
        <v>0.109642682329907</v>
      </c>
      <c r="E48" s="533"/>
      <c r="F48" s="421">
        <v>15869</v>
      </c>
      <c r="G48" s="421">
        <v>11773</v>
      </c>
      <c r="H48" s="421">
        <v>14577</v>
      </c>
      <c r="I48" s="832">
        <v>13595</v>
      </c>
      <c r="J48" s="399">
        <v>14301</v>
      </c>
      <c r="K48" s="399">
        <v>14113</v>
      </c>
      <c r="L48" s="421">
        <v>10859</v>
      </c>
      <c r="M48" s="832">
        <v>11815</v>
      </c>
      <c r="N48" s="421">
        <v>17861</v>
      </c>
      <c r="O48" s="421">
        <v>16806</v>
      </c>
      <c r="P48" s="421">
        <v>12159</v>
      </c>
      <c r="Q48" s="832">
        <v>13912</v>
      </c>
      <c r="R48" s="421">
        <v>20078</v>
      </c>
      <c r="S48" s="421">
        <v>17418</v>
      </c>
      <c r="T48" s="421">
        <v>15544</v>
      </c>
      <c r="U48" s="832">
        <v>19546</v>
      </c>
      <c r="V48" s="421">
        <v>26472</v>
      </c>
      <c r="W48" s="421">
        <v>22610</v>
      </c>
      <c r="X48" s="421">
        <v>18461</v>
      </c>
      <c r="Y48" s="832">
        <v>18221</v>
      </c>
      <c r="Z48" s="421">
        <v>19487</v>
      </c>
      <c r="AA48" s="421">
        <v>20730</v>
      </c>
      <c r="AB48" s="703">
        <v>16652</v>
      </c>
      <c r="AC48" s="832">
        <v>17168</v>
      </c>
      <c r="AD48" s="421">
        <v>16684</v>
      </c>
      <c r="AE48" s="421">
        <v>15548</v>
      </c>
      <c r="AF48" s="421">
        <v>16744</v>
      </c>
      <c r="AG48" s="832">
        <v>19476</v>
      </c>
      <c r="AH48" s="750">
        <v>14771</v>
      </c>
      <c r="AI48" s="750">
        <v>20337</v>
      </c>
      <c r="AJ48" s="750">
        <v>18321</v>
      </c>
      <c r="AK48" s="749">
        <v>23723</v>
      </c>
      <c r="AL48" s="752">
        <v>20053</v>
      </c>
      <c r="AM48" s="749">
        <v>19182</v>
      </c>
      <c r="AN48" s="749">
        <v>18732</v>
      </c>
      <c r="AO48" s="749">
        <v>20213</v>
      </c>
      <c r="AP48" s="751"/>
      <c r="AQ48" s="750">
        <v>39945</v>
      </c>
      <c r="AR48" s="750">
        <v>36787</v>
      </c>
      <c r="AS48" s="151">
        <v>4726</v>
      </c>
      <c r="AT48" s="45">
        <v>9.2507046664578763E-2</v>
      </c>
      <c r="AU48" s="82"/>
      <c r="AV48" s="616">
        <v>55814</v>
      </c>
      <c r="AW48" s="616">
        <v>51088</v>
      </c>
      <c r="AX48" s="616">
        <v>60738</v>
      </c>
      <c r="AY48" s="616">
        <v>72586</v>
      </c>
      <c r="AZ48" s="751">
        <v>85764</v>
      </c>
      <c r="BA48" s="751">
        <v>74037</v>
      </c>
      <c r="BB48" s="751">
        <v>68452</v>
      </c>
      <c r="BC48" s="198">
        <v>77152</v>
      </c>
      <c r="BD48" s="198">
        <v>78180</v>
      </c>
      <c r="BE48" s="43">
        <v>68726</v>
      </c>
      <c r="BF48" s="43">
        <v>58783</v>
      </c>
      <c r="BG48" s="43">
        <v>66472</v>
      </c>
      <c r="BH48" s="3"/>
      <c r="BI48" s="3"/>
      <c r="BJ48" s="3"/>
      <c r="BM48" s="3"/>
    </row>
    <row r="49" spans="1:65" s="721" customFormat="1" ht="24" x14ac:dyDescent="0.2">
      <c r="A49" s="724"/>
      <c r="B49" s="740" t="s">
        <v>204</v>
      </c>
      <c r="C49" s="83">
        <v>914</v>
      </c>
      <c r="D49" s="45">
        <v>7.3425449871465293E-2</v>
      </c>
      <c r="E49" s="533"/>
      <c r="F49" s="421">
        <v>-11534</v>
      </c>
      <c r="G49" s="421">
        <v>-7400</v>
      </c>
      <c r="H49" s="421">
        <v>-10344</v>
      </c>
      <c r="I49" s="832">
        <v>-9768</v>
      </c>
      <c r="J49" s="421">
        <v>-12448</v>
      </c>
      <c r="K49" s="421">
        <v>-9125</v>
      </c>
      <c r="L49" s="421">
        <v>-4487</v>
      </c>
      <c r="M49" s="832">
        <v>-9610</v>
      </c>
      <c r="N49" s="421">
        <v>-12816</v>
      </c>
      <c r="O49" s="421">
        <v>-12271</v>
      </c>
      <c r="P49" s="421">
        <v>-2156</v>
      </c>
      <c r="Q49" s="832">
        <v>-9018</v>
      </c>
      <c r="R49" s="421">
        <v>-9977</v>
      </c>
      <c r="S49" s="421">
        <v>-7681</v>
      </c>
      <c r="T49" s="421">
        <v>-12908</v>
      </c>
      <c r="U49" s="832">
        <v>-11923</v>
      </c>
      <c r="V49" s="421">
        <v>-15352</v>
      </c>
      <c r="W49" s="421">
        <v>-14133</v>
      </c>
      <c r="X49" s="421">
        <v>-10678</v>
      </c>
      <c r="Y49" s="832">
        <v>-13663</v>
      </c>
      <c r="Z49" s="421">
        <v>-14840</v>
      </c>
      <c r="AA49" s="421">
        <v>-15356</v>
      </c>
      <c r="AB49" s="703">
        <v>-11521</v>
      </c>
      <c r="AC49" s="832">
        <v>-5387</v>
      </c>
      <c r="AD49" s="421">
        <v>-11915</v>
      </c>
      <c r="AE49" s="421">
        <v>-11142</v>
      </c>
      <c r="AF49" s="421">
        <v>-8095</v>
      </c>
      <c r="AG49" s="832">
        <v>-9414</v>
      </c>
      <c r="AH49" s="750">
        <v>-3753</v>
      </c>
      <c r="AI49" s="750">
        <v>-7732</v>
      </c>
      <c r="AJ49" s="750">
        <v>-5938</v>
      </c>
      <c r="AK49" s="749">
        <v>-8959</v>
      </c>
      <c r="AL49" s="752">
        <v>-9637</v>
      </c>
      <c r="AM49" s="749">
        <v>-11127</v>
      </c>
      <c r="AN49" s="749">
        <v>-11360</v>
      </c>
      <c r="AO49" s="749">
        <v>-11478</v>
      </c>
      <c r="AP49" s="751"/>
      <c r="AQ49" s="421">
        <v>-27512</v>
      </c>
      <c r="AR49" s="421">
        <v>-23222</v>
      </c>
      <c r="AS49" s="151">
        <v>-3376</v>
      </c>
      <c r="AT49" s="45">
        <v>-9.4645360246705917E-2</v>
      </c>
      <c r="AU49" s="724"/>
      <c r="AV49" s="616">
        <v>-39046</v>
      </c>
      <c r="AW49" s="616">
        <v>-35670</v>
      </c>
      <c r="AX49" s="616">
        <v>-36261</v>
      </c>
      <c r="AY49" s="616">
        <v>-42489</v>
      </c>
      <c r="AZ49" s="751">
        <v>-53826</v>
      </c>
      <c r="BA49" s="751">
        <v>-47104</v>
      </c>
      <c r="BB49" s="751">
        <v>-40566</v>
      </c>
      <c r="BC49" s="744">
        <v>-26382</v>
      </c>
      <c r="BD49" s="744">
        <v>-43602</v>
      </c>
      <c r="BE49" s="43">
        <v>-44171</v>
      </c>
      <c r="BF49" s="43">
        <v>-43835</v>
      </c>
      <c r="BG49" s="43">
        <v>-52056</v>
      </c>
      <c r="BH49" s="722"/>
      <c r="BI49" s="722"/>
      <c r="BJ49" s="722"/>
      <c r="BM49" s="722"/>
    </row>
    <row r="50" spans="1:65" s="721" customFormat="1" x14ac:dyDescent="0.2">
      <c r="A50" s="724"/>
      <c r="B50" s="740" t="s">
        <v>404</v>
      </c>
      <c r="C50" s="152">
        <v>743</v>
      </c>
      <c r="D50" s="483">
        <v>0.20818156346315494</v>
      </c>
      <c r="E50" s="533"/>
      <c r="F50" s="537">
        <v>-2826</v>
      </c>
      <c r="G50" s="537">
        <v>27</v>
      </c>
      <c r="H50" s="537">
        <v>-977</v>
      </c>
      <c r="I50" s="1310">
        <v>-1677</v>
      </c>
      <c r="J50" s="1322">
        <v>-3569</v>
      </c>
      <c r="K50" s="1322">
        <v>-387</v>
      </c>
      <c r="L50" s="537">
        <v>2408</v>
      </c>
      <c r="M50" s="1310">
        <v>-866</v>
      </c>
      <c r="N50" s="1322">
        <v>-2195</v>
      </c>
      <c r="O50" s="1322">
        <v>-1174</v>
      </c>
      <c r="P50" s="1322">
        <v>9584</v>
      </c>
      <c r="Q50" s="1310">
        <v>3321</v>
      </c>
      <c r="R50" s="1322">
        <v>3717</v>
      </c>
      <c r="S50" s="1322">
        <v>3210</v>
      </c>
      <c r="T50" s="1322">
        <v>-1654</v>
      </c>
      <c r="U50" s="1310">
        <v>-158</v>
      </c>
      <c r="V50" s="1322" t="e">
        <v>#REF!</v>
      </c>
      <c r="W50" s="1322" t="e">
        <v>#REF!</v>
      </c>
      <c r="X50" s="1322"/>
      <c r="Y50" s="1310"/>
      <c r="Z50" s="1322"/>
      <c r="AA50" s="1322"/>
      <c r="AB50" s="837"/>
      <c r="AC50" s="1310"/>
      <c r="AD50" s="1322"/>
      <c r="AE50" s="1322"/>
      <c r="AF50" s="1322"/>
      <c r="AG50" s="1310"/>
      <c r="AH50" s="836"/>
      <c r="AI50" s="836"/>
      <c r="AJ50" s="836"/>
      <c r="AK50" s="920"/>
      <c r="AL50" s="1216"/>
      <c r="AM50" s="920"/>
      <c r="AN50" s="920"/>
      <c r="AO50" s="920"/>
      <c r="AP50" s="751"/>
      <c r="AQ50" s="1322">
        <v>-2627</v>
      </c>
      <c r="AR50" s="1322">
        <v>1155</v>
      </c>
      <c r="AS50" s="340">
        <v>-3039</v>
      </c>
      <c r="AT50" s="483">
        <v>1.2589063794531896</v>
      </c>
      <c r="AU50" s="724"/>
      <c r="AV50" s="1309">
        <v>-5453</v>
      </c>
      <c r="AW50" s="1309">
        <v>-2414</v>
      </c>
      <c r="AX50" s="195">
        <v>9536</v>
      </c>
      <c r="AY50" s="195">
        <v>5115</v>
      </c>
      <c r="AZ50" s="1309">
        <v>-6319</v>
      </c>
      <c r="BA50" s="1309">
        <v>-1749</v>
      </c>
      <c r="BB50" s="1309">
        <v>-40566</v>
      </c>
      <c r="BC50" s="204">
        <v>-26382</v>
      </c>
      <c r="BD50" s="204"/>
      <c r="BE50" s="158"/>
      <c r="BF50" s="158"/>
      <c r="BG50" s="158"/>
      <c r="BH50" s="722"/>
      <c r="BI50" s="722"/>
      <c r="BJ50" s="722"/>
      <c r="BM50" s="722"/>
    </row>
    <row r="51" spans="1:65" x14ac:dyDescent="0.2">
      <c r="A51" s="82"/>
      <c r="B51" s="477"/>
      <c r="C51" s="151"/>
      <c r="D51" s="11"/>
      <c r="E51" s="11"/>
      <c r="F51" s="399"/>
      <c r="G51" s="399"/>
      <c r="H51" s="399"/>
      <c r="I51" s="738"/>
      <c r="J51" s="399"/>
      <c r="K51" s="399"/>
      <c r="L51" s="399"/>
      <c r="M51" s="738"/>
      <c r="N51" s="399"/>
      <c r="O51" s="399"/>
      <c r="P51" s="399"/>
      <c r="Q51" s="738"/>
      <c r="R51" s="399"/>
      <c r="S51" s="399"/>
      <c r="T51" s="399"/>
      <c r="U51" s="327"/>
      <c r="V51" s="399"/>
      <c r="W51" s="399"/>
      <c r="X51" s="399"/>
      <c r="Y51" s="327"/>
      <c r="Z51" s="399"/>
      <c r="AA51" s="399"/>
      <c r="AB51" s="399"/>
      <c r="AC51" s="327"/>
      <c r="AD51" s="399"/>
      <c r="AE51" s="399"/>
      <c r="AF51" s="399"/>
      <c r="AG51" s="327"/>
      <c r="AH51" s="231"/>
      <c r="AI51" s="231"/>
      <c r="AJ51" s="231"/>
      <c r="AK51" s="231"/>
      <c r="AL51" s="231"/>
      <c r="AM51" s="231"/>
      <c r="AN51" s="231"/>
      <c r="AO51" s="231"/>
      <c r="AP51" s="146"/>
      <c r="AQ51" s="146"/>
      <c r="AR51" s="146"/>
      <c r="AS51" s="151"/>
      <c r="AT51" s="511"/>
      <c r="AU51" s="82"/>
      <c r="AV51" s="738"/>
      <c r="AW51" s="738"/>
      <c r="AX51" s="738"/>
      <c r="AY51" s="327"/>
      <c r="AZ51" s="327"/>
      <c r="BA51" s="327"/>
      <c r="BB51" s="327"/>
      <c r="BC51" s="231"/>
      <c r="BD51" s="231"/>
      <c r="BE51" s="31"/>
      <c r="BF51" s="31"/>
      <c r="BG51" s="31"/>
      <c r="BH51" s="3"/>
      <c r="BI51" s="3"/>
      <c r="BJ51" s="3"/>
      <c r="BM51" s="3"/>
    </row>
    <row r="52" spans="1:65" x14ac:dyDescent="0.2">
      <c r="A52" s="7" t="s">
        <v>439</v>
      </c>
      <c r="B52" s="477"/>
      <c r="C52" s="151"/>
      <c r="D52" s="11"/>
      <c r="E52" s="11"/>
      <c r="F52" s="399"/>
      <c r="G52" s="399"/>
      <c r="H52" s="399"/>
      <c r="I52" s="738"/>
      <c r="J52" s="399"/>
      <c r="K52" s="399"/>
      <c r="L52" s="399"/>
      <c r="M52" s="738"/>
      <c r="N52" s="399"/>
      <c r="O52" s="399"/>
      <c r="P52" s="399"/>
      <c r="Q52" s="738"/>
      <c r="R52" s="399"/>
      <c r="S52" s="399"/>
      <c r="T52" s="399"/>
      <c r="U52" s="327"/>
      <c r="V52" s="399"/>
      <c r="W52" s="399"/>
      <c r="X52" s="399"/>
      <c r="Y52" s="327"/>
      <c r="Z52" s="399"/>
      <c r="AA52" s="399"/>
      <c r="AB52" s="399"/>
      <c r="AC52" s="327"/>
      <c r="AD52" s="399"/>
      <c r="AE52" s="399"/>
      <c r="AF52" s="399"/>
      <c r="AG52" s="327"/>
      <c r="AH52" s="231"/>
      <c r="AI52" s="231"/>
      <c r="AJ52" s="231"/>
      <c r="AK52" s="231"/>
      <c r="AL52" s="231"/>
      <c r="AM52" s="231"/>
      <c r="AN52" s="231"/>
      <c r="AO52" s="231"/>
      <c r="AP52" s="146"/>
      <c r="AQ52" s="146"/>
      <c r="AR52" s="146"/>
      <c r="AS52" s="151"/>
      <c r="AT52" s="511"/>
      <c r="AU52" s="82"/>
      <c r="AV52" s="738"/>
      <c r="AW52" s="738"/>
      <c r="AX52" s="738"/>
      <c r="AY52" s="327"/>
      <c r="AZ52" s="327"/>
      <c r="BA52" s="327"/>
      <c r="BB52" s="327"/>
      <c r="BC52" s="231"/>
      <c r="BD52" s="231"/>
      <c r="BE52" s="31"/>
      <c r="BF52" s="31"/>
      <c r="BG52" s="31"/>
      <c r="BH52" s="3"/>
      <c r="BI52" s="3"/>
      <c r="BJ52" s="3"/>
      <c r="BM52" s="3"/>
    </row>
    <row r="53" spans="1:65" x14ac:dyDescent="0.2">
      <c r="A53" s="1" t="s">
        <v>29</v>
      </c>
      <c r="B53" s="3"/>
      <c r="C53" s="3"/>
      <c r="D53" s="3"/>
      <c r="F53" s="754"/>
      <c r="G53" s="754"/>
      <c r="H53" s="754"/>
      <c r="I53" s="754"/>
      <c r="J53" s="754"/>
      <c r="K53" s="754"/>
      <c r="L53" s="754"/>
      <c r="M53" s="754"/>
      <c r="N53" s="754"/>
      <c r="O53" s="754"/>
      <c r="P53" s="754"/>
      <c r="Q53" s="754"/>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754"/>
      <c r="AW53" s="754"/>
      <c r="AX53" s="754"/>
      <c r="AY53" s="31"/>
      <c r="AZ53" s="31"/>
      <c r="BA53" s="31"/>
      <c r="BB53" s="31"/>
      <c r="BC53" s="31"/>
      <c r="BD53" s="31"/>
      <c r="BE53" s="31"/>
      <c r="BI53" s="3"/>
      <c r="BJ53" s="3"/>
    </row>
    <row r="54" spans="1:65" x14ac:dyDescent="0.2">
      <c r="A54" s="2"/>
      <c r="I54" s="721"/>
      <c r="M54" s="721"/>
      <c r="Q54" s="721"/>
      <c r="U54"/>
      <c r="Y54"/>
      <c r="AC54"/>
      <c r="AO54" s="31"/>
      <c r="AP54" s="3"/>
      <c r="AQ54" s="3"/>
      <c r="AR54" s="3"/>
      <c r="BC54" s="31"/>
      <c r="BD54" s="31"/>
      <c r="BI54" s="3"/>
      <c r="BJ54" s="3"/>
    </row>
    <row r="55" spans="1:65" x14ac:dyDescent="0.2">
      <c r="A55" s="7" t="s">
        <v>339</v>
      </c>
      <c r="I55" s="721"/>
      <c r="M55" s="721"/>
      <c r="Q55" s="721"/>
      <c r="U55"/>
      <c r="Y55"/>
      <c r="AC55"/>
      <c r="AO55" s="31"/>
      <c r="AP55" s="3"/>
      <c r="AQ55" s="3"/>
      <c r="AR55" s="3"/>
      <c r="BC55" s="31"/>
      <c r="BD55" s="31"/>
      <c r="BI55" s="3"/>
      <c r="BJ55" s="3"/>
    </row>
    <row r="56" spans="1:65" x14ac:dyDescent="0.2">
      <c r="I56" s="721"/>
      <c r="M56" s="721"/>
      <c r="Q56" s="721"/>
      <c r="U56"/>
      <c r="Y56"/>
      <c r="AC56"/>
      <c r="AO56" s="31"/>
      <c r="AP56" s="3"/>
      <c r="AQ56" s="3"/>
      <c r="AR56" s="3"/>
      <c r="AV56" s="516"/>
      <c r="BC56" s="31"/>
      <c r="BD56" s="31"/>
    </row>
    <row r="57" spans="1:65" x14ac:dyDescent="0.2">
      <c r="I57" s="721"/>
      <c r="M57" s="721"/>
      <c r="Q57" s="721"/>
      <c r="U57"/>
      <c r="Y57"/>
      <c r="AC57"/>
      <c r="AO57" s="31"/>
      <c r="AP57" s="3"/>
      <c r="AQ57" s="3"/>
      <c r="AR57" s="3"/>
      <c r="BC57" s="2"/>
      <c r="BD57" s="2"/>
    </row>
    <row r="58" spans="1:65" x14ac:dyDescent="0.2">
      <c r="I58" s="721"/>
      <c r="M58" s="721"/>
      <c r="Q58" s="721"/>
      <c r="U58"/>
      <c r="Y58"/>
      <c r="AC58"/>
      <c r="AO58" s="11"/>
      <c r="AP58" s="3"/>
      <c r="AQ58" s="3"/>
      <c r="AR58" s="3"/>
      <c r="BC58" s="32"/>
      <c r="BD58" s="32"/>
    </row>
    <row r="59" spans="1:65" x14ac:dyDescent="0.2">
      <c r="I59" s="33"/>
      <c r="M59" s="33"/>
      <c r="Q59" s="33"/>
      <c r="U59" s="33"/>
      <c r="Y59" s="33"/>
      <c r="AC59" s="33"/>
      <c r="AG59" s="33"/>
      <c r="AO59" s="33"/>
      <c r="AP59" s="3"/>
      <c r="AQ59" s="3"/>
      <c r="AR59" s="3"/>
      <c r="BC59" s="2"/>
      <c r="BD59" s="2"/>
    </row>
    <row r="60" spans="1:65" x14ac:dyDescent="0.2">
      <c r="I60" s="2"/>
      <c r="M60" s="2"/>
      <c r="Q60" s="2"/>
      <c r="U60" s="2"/>
      <c r="Y60" s="2"/>
      <c r="AC60" s="2"/>
      <c r="AG60" s="2"/>
      <c r="AO60" s="150"/>
      <c r="AP60" s="3"/>
      <c r="AQ60" s="3"/>
      <c r="AR60" s="3"/>
      <c r="BC60" s="2"/>
      <c r="BD60" s="2"/>
    </row>
    <row r="61" spans="1:65" x14ac:dyDescent="0.2">
      <c r="I61" s="2"/>
      <c r="M61" s="2"/>
      <c r="Q61" s="2"/>
      <c r="U61" s="2"/>
      <c r="Y61" s="2"/>
      <c r="AC61" s="2"/>
      <c r="AG61" s="2"/>
      <c r="AH61" s="2"/>
      <c r="AK61" s="2"/>
      <c r="AM61" s="2"/>
      <c r="AN61" s="2"/>
      <c r="AO61" s="2"/>
      <c r="AP61" s="3"/>
      <c r="AQ61" s="3"/>
      <c r="AR61" s="3"/>
      <c r="BC61" s="51"/>
      <c r="BD61" s="51"/>
    </row>
    <row r="62" spans="1:65" x14ac:dyDescent="0.2">
      <c r="I62" s="32"/>
      <c r="M62" s="32"/>
      <c r="Q62" s="32"/>
      <c r="U62" s="32"/>
      <c r="Y62" s="32"/>
      <c r="AC62" s="32"/>
      <c r="AG62" s="32"/>
      <c r="AH62" s="44"/>
      <c r="AI62" s="32"/>
      <c r="AJ62" s="32"/>
      <c r="AK62" s="32"/>
      <c r="AL62" s="37"/>
      <c r="AM62" s="37"/>
      <c r="AN62" s="34"/>
      <c r="AO62" s="1"/>
      <c r="AP62" s="3"/>
      <c r="AQ62" s="3"/>
      <c r="AR62" s="3"/>
      <c r="BC62" s="51"/>
      <c r="BD62" s="51"/>
    </row>
    <row r="63" spans="1:65" x14ac:dyDescent="0.2">
      <c r="I63" s="32"/>
      <c r="M63" s="32"/>
      <c r="Q63" s="32"/>
      <c r="U63" s="32"/>
      <c r="Y63" s="32"/>
      <c r="AC63" s="32"/>
      <c r="AG63" s="32"/>
      <c r="AH63" s="32"/>
      <c r="AI63" s="32"/>
      <c r="AJ63" s="32"/>
      <c r="AK63" s="32"/>
      <c r="AL63" s="40"/>
      <c r="AM63" s="32"/>
      <c r="AN63" s="32"/>
      <c r="AO63" s="32"/>
      <c r="AP63" s="3"/>
      <c r="AQ63" s="3"/>
      <c r="AR63" s="3"/>
      <c r="BC63" s="52"/>
      <c r="BD63" s="52"/>
    </row>
    <row r="64" spans="1:65" x14ac:dyDescent="0.2">
      <c r="I64" s="11"/>
      <c r="M64" s="11"/>
      <c r="Q64" s="11"/>
      <c r="U64" s="11"/>
      <c r="Y64" s="11"/>
      <c r="AC64" s="11"/>
      <c r="AG64" s="11"/>
      <c r="AH64" s="42"/>
      <c r="AI64" s="35"/>
      <c r="AJ64" s="35"/>
      <c r="AK64" s="35"/>
      <c r="AL64" s="42"/>
      <c r="AM64" s="35"/>
      <c r="AN64" s="35"/>
      <c r="AO64" s="47"/>
      <c r="AP64" s="3"/>
      <c r="AQ64" s="3"/>
      <c r="AR64" s="3"/>
      <c r="BC64" s="53"/>
      <c r="BD64" s="53"/>
    </row>
    <row r="65" spans="9:56" x14ac:dyDescent="0.2">
      <c r="I65" s="11"/>
      <c r="M65" s="11"/>
      <c r="Q65" s="11"/>
      <c r="U65" s="11"/>
      <c r="Y65" s="11"/>
      <c r="AC65" s="11"/>
      <c r="AG65" s="11"/>
      <c r="AH65" s="35"/>
      <c r="AI65" s="35"/>
      <c r="AJ65" s="35"/>
      <c r="AK65" s="35"/>
      <c r="AL65" s="35"/>
      <c r="AM65" s="35"/>
      <c r="AN65" s="35"/>
      <c r="AO65" s="47"/>
      <c r="AP65" s="3"/>
      <c r="AQ65" s="3"/>
      <c r="AR65" s="3"/>
      <c r="BC65" s="35"/>
      <c r="BD65" s="35"/>
    </row>
    <row r="66" spans="9:56" x14ac:dyDescent="0.2">
      <c r="I66" s="11"/>
      <c r="M66" s="11"/>
      <c r="Q66" s="11"/>
      <c r="U66" s="11"/>
      <c r="Y66" s="11"/>
      <c r="AC66" s="11"/>
      <c r="AG66" s="11"/>
      <c r="AH66" s="35"/>
      <c r="AI66" s="35"/>
      <c r="AJ66" s="35"/>
      <c r="AK66" s="35"/>
      <c r="AL66" s="35"/>
      <c r="AM66" s="35"/>
      <c r="AN66" s="35"/>
      <c r="AO66" s="41"/>
      <c r="AP66" s="3"/>
      <c r="AQ66" s="3"/>
      <c r="AR66" s="3"/>
      <c r="BC66" s="35"/>
      <c r="BD66" s="35"/>
    </row>
    <row r="67" spans="9:56" x14ac:dyDescent="0.2">
      <c r="I67" s="35"/>
      <c r="M67" s="35"/>
      <c r="Q67" s="35"/>
      <c r="U67" s="35"/>
      <c r="Y67" s="35"/>
      <c r="AC67" s="35"/>
      <c r="AG67" s="35"/>
      <c r="AH67" s="35"/>
      <c r="AI67" s="35"/>
      <c r="AJ67" s="35"/>
      <c r="AK67" s="35"/>
      <c r="AL67" s="35"/>
      <c r="AM67" s="35"/>
      <c r="AN67" s="35"/>
      <c r="AO67" s="35"/>
      <c r="AP67" s="3"/>
      <c r="AQ67" s="3"/>
      <c r="AR67" s="3"/>
      <c r="BC67" s="36"/>
      <c r="BD67" s="36"/>
    </row>
    <row r="68" spans="9:56" x14ac:dyDescent="0.2">
      <c r="I68" s="36"/>
      <c r="M68" s="36"/>
      <c r="Q68" s="36"/>
      <c r="U68" s="36"/>
      <c r="Y68" s="36"/>
      <c r="AC68" s="36"/>
      <c r="AG68" s="36"/>
      <c r="AH68" s="36"/>
      <c r="AI68" s="36"/>
      <c r="AJ68" s="36"/>
      <c r="AK68" s="36"/>
      <c r="AL68" s="36"/>
      <c r="AM68" s="36"/>
      <c r="AN68" s="36"/>
      <c r="AO68" s="36"/>
      <c r="AP68" s="3"/>
      <c r="AQ68" s="3"/>
      <c r="AR68" s="3"/>
      <c r="BC68" s="36"/>
      <c r="BD68" s="36"/>
    </row>
    <row r="69" spans="9:56" x14ac:dyDescent="0.2">
      <c r="I69" s="36"/>
      <c r="M69" s="36"/>
      <c r="Q69" s="36"/>
      <c r="U69" s="36"/>
      <c r="Y69" s="36"/>
      <c r="AC69" s="36"/>
      <c r="AG69" s="36"/>
      <c r="AH69" s="36"/>
      <c r="AI69" s="36"/>
      <c r="AJ69" s="36"/>
      <c r="AK69" s="36"/>
      <c r="AL69" s="36"/>
      <c r="AM69" s="36"/>
      <c r="AN69" s="36"/>
      <c r="AO69" s="36"/>
      <c r="AP69" s="3"/>
      <c r="AQ69" s="3"/>
      <c r="AR69" s="3"/>
      <c r="BC69" s="3"/>
      <c r="BD69" s="3"/>
    </row>
    <row r="70" spans="9:56" x14ac:dyDescent="0.2">
      <c r="AG70" s="3"/>
      <c r="AH70" s="3"/>
      <c r="AI70" s="3"/>
      <c r="AJ70" s="3"/>
      <c r="AK70" s="3"/>
      <c r="AL70" s="3"/>
      <c r="AM70" s="3"/>
      <c r="AN70" s="3"/>
      <c r="AO70" s="3"/>
      <c r="AP70" s="3"/>
      <c r="AQ70" s="3"/>
      <c r="AR70" s="3"/>
      <c r="BC70" s="3"/>
      <c r="BD70" s="3"/>
    </row>
    <row r="71" spans="9:56" x14ac:dyDescent="0.2">
      <c r="AG71" s="3"/>
      <c r="AH71" s="3"/>
      <c r="AI71" s="3"/>
      <c r="AJ71" s="3"/>
      <c r="AK71" s="3"/>
      <c r="AL71" s="3"/>
      <c r="AM71" s="3"/>
      <c r="AN71" s="3"/>
      <c r="AO71" s="3"/>
      <c r="AP71" s="3"/>
      <c r="AQ71" s="3"/>
      <c r="AR71" s="3"/>
      <c r="BC71" s="3"/>
      <c r="BD71" s="3"/>
    </row>
    <row r="72" spans="9:56" x14ac:dyDescent="0.2">
      <c r="AG72" s="3"/>
      <c r="AH72" s="3"/>
      <c r="AI72" s="3"/>
      <c r="AJ72" s="3"/>
      <c r="AK72" s="3"/>
      <c r="AL72" s="3"/>
      <c r="AM72" s="3"/>
      <c r="AN72" s="3"/>
      <c r="AO72" s="3"/>
      <c r="AP72" s="3"/>
      <c r="AQ72" s="3"/>
      <c r="AR72" s="3"/>
      <c r="BC72" s="3"/>
      <c r="BD72" s="3"/>
    </row>
    <row r="73" spans="9:56" x14ac:dyDescent="0.2">
      <c r="AG73" s="3"/>
      <c r="AH73" s="3"/>
      <c r="AI73" s="3"/>
      <c r="AJ73" s="3"/>
      <c r="AK73" s="3"/>
      <c r="AL73" s="3"/>
      <c r="AM73" s="3"/>
      <c r="AN73" s="3"/>
      <c r="AO73" s="3"/>
      <c r="AP73" s="3"/>
      <c r="AQ73" s="3"/>
      <c r="AR73" s="3"/>
      <c r="BC73" s="3"/>
      <c r="BD73" s="3"/>
    </row>
    <row r="74" spans="9:56" x14ac:dyDescent="0.2">
      <c r="AG74" s="3"/>
      <c r="AH74" s="3"/>
      <c r="AI74" s="3"/>
      <c r="AJ74" s="3"/>
      <c r="AK74" s="3"/>
      <c r="AL74" s="3"/>
      <c r="AM74" s="3"/>
      <c r="AN74" s="3"/>
      <c r="AO74" s="3"/>
      <c r="AP74" s="3"/>
      <c r="AQ74" s="3"/>
      <c r="AR74" s="3"/>
    </row>
    <row r="75" spans="9:56" x14ac:dyDescent="0.2">
      <c r="I75" s="721"/>
      <c r="M75" s="721"/>
      <c r="Q75" s="721"/>
      <c r="U75"/>
      <c r="Y75"/>
      <c r="AC75"/>
    </row>
    <row r="76" spans="9:56" x14ac:dyDescent="0.2">
      <c r="I76" s="721"/>
      <c r="M76" s="721"/>
      <c r="Q76" s="721"/>
      <c r="U76"/>
      <c r="Y76"/>
      <c r="AC76"/>
    </row>
    <row r="77" spans="9:56" x14ac:dyDescent="0.2">
      <c r="I77" s="721"/>
      <c r="M77" s="721"/>
      <c r="Q77" s="721"/>
      <c r="U77"/>
      <c r="Y77"/>
      <c r="AC77"/>
    </row>
    <row r="78" spans="9:56" x14ac:dyDescent="0.2">
      <c r="I78" s="721"/>
      <c r="M78" s="721"/>
      <c r="Q78" s="721"/>
      <c r="U78"/>
      <c r="Y78"/>
      <c r="AC78"/>
    </row>
    <row r="79" spans="9:56" x14ac:dyDescent="0.2">
      <c r="I79" s="721"/>
      <c r="M79" s="721"/>
      <c r="Q79" s="721"/>
      <c r="U79"/>
      <c r="Y79"/>
      <c r="AC79"/>
    </row>
  </sheetData>
  <mergeCells count="7">
    <mergeCell ref="AS10:AT10"/>
    <mergeCell ref="AS46:AT46"/>
    <mergeCell ref="A33:B33"/>
    <mergeCell ref="C9:D9"/>
    <mergeCell ref="C10:D10"/>
    <mergeCell ref="C45:D45"/>
    <mergeCell ref="C46:D46"/>
  </mergeCells>
  <phoneticPr fontId="6" type="noConversion"/>
  <conditionalFormatting sqref="A40:B40 A43:A44">
    <cfRule type="cellIs" dxfId="13" priority="1" stopIfTrue="1" operator="equal">
      <formula>0</formula>
    </cfRule>
  </conditionalFormatting>
  <printOptions horizontalCentered="1"/>
  <pageMargins left="0.3" right="0.3" top="0.4" bottom="0.6" header="0" footer="0.3"/>
  <pageSetup scale="61" orientation="landscape" r:id="rId1"/>
  <headerFooter alignWithMargins="0">
    <oddFooter>&amp;CPage 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K69"/>
  <sheetViews>
    <sheetView zoomScaleNormal="100" zoomScaleSheetLayoutView="100" workbookViewId="0">
      <selection activeCell="A41" sqref="A41:XFD43"/>
    </sheetView>
  </sheetViews>
  <sheetFormatPr defaultRowHeight="12.75" x14ac:dyDescent="0.2"/>
  <cols>
    <col min="1" max="1" width="2.7109375" customWidth="1"/>
    <col min="2" max="2" width="38.140625" customWidth="1"/>
    <col min="3" max="3" width="11.28515625" customWidth="1"/>
    <col min="4" max="4" width="10.5703125" customWidth="1"/>
    <col min="5" max="5" width="1.5703125" style="3" customWidth="1"/>
    <col min="6" max="6" width="9.85546875" style="722" customWidth="1"/>
    <col min="7" max="7" width="9.42578125" style="722" bestFit="1" customWidth="1"/>
    <col min="8" max="8" width="10.28515625" style="722" customWidth="1"/>
    <col min="9" max="9" width="10.42578125" style="722" customWidth="1"/>
    <col min="10" max="11" width="10.85546875" style="722" customWidth="1"/>
    <col min="12" max="12" width="10.28515625" style="722" customWidth="1"/>
    <col min="13" max="13" width="10.7109375" style="722" customWidth="1"/>
    <col min="14" max="14" width="10.85546875" style="722" customWidth="1"/>
    <col min="15" max="15" width="10.85546875" style="722" hidden="1" customWidth="1"/>
    <col min="16" max="16" width="10.28515625" style="722" hidden="1" customWidth="1"/>
    <col min="17" max="17" width="10.7109375" style="722" hidden="1" customWidth="1"/>
    <col min="18" max="19" width="10.85546875" style="3" hidden="1" customWidth="1"/>
    <col min="20" max="20" width="10.28515625" style="3" hidden="1" customWidth="1"/>
    <col min="21" max="21" width="10.7109375" style="3" hidden="1" customWidth="1"/>
    <col min="22" max="30" width="10.85546875" style="3" hidden="1" customWidth="1"/>
    <col min="31" max="32" width="11.28515625" style="3" hidden="1" customWidth="1"/>
    <col min="33" max="33" width="11.140625" hidden="1" customWidth="1"/>
    <col min="34" max="35" width="10.7109375" hidden="1" customWidth="1"/>
    <col min="36" max="36" width="11.7109375" hidden="1" customWidth="1"/>
    <col min="37" max="38" width="11.28515625" hidden="1" customWidth="1"/>
    <col min="39" max="40" width="10.7109375" hidden="1" customWidth="1"/>
    <col min="41" max="41" width="0.140625" hidden="1" customWidth="1"/>
    <col min="42" max="42" width="1.5703125" customWidth="1"/>
    <col min="43" max="45" width="10.7109375" style="721" customWidth="1"/>
    <col min="46" max="46" width="10.7109375" style="613" customWidth="1"/>
    <col min="47" max="47" width="10.7109375" customWidth="1"/>
    <col min="48" max="48" width="10.7109375" hidden="1" customWidth="1"/>
    <col min="49" max="49" width="11.85546875" hidden="1" customWidth="1"/>
    <col min="50" max="52" width="10.7109375" hidden="1" customWidth="1"/>
    <col min="53" max="53" width="11.28515625" hidden="1" customWidth="1"/>
    <col min="54" max="56" width="10.7109375" hidden="1" customWidth="1"/>
    <col min="57" max="57" width="1.5703125" customWidth="1"/>
  </cols>
  <sheetData>
    <row r="4" spans="1:63" x14ac:dyDescent="0.2">
      <c r="I4" s="665"/>
      <c r="M4" s="665"/>
      <c r="Q4" s="665"/>
      <c r="U4" s="665"/>
    </row>
    <row r="5" spans="1:63" x14ac:dyDescent="0.2">
      <c r="A5" s="3"/>
      <c r="B5" s="3"/>
      <c r="C5" s="3"/>
      <c r="D5" s="3"/>
      <c r="AG5" s="3"/>
      <c r="AH5" s="3"/>
      <c r="AI5" s="3"/>
      <c r="AX5" s="3"/>
      <c r="AY5" s="3"/>
    </row>
    <row r="6" spans="1:63" ht="18" customHeight="1" x14ac:dyDescent="0.2">
      <c r="A6" s="132" t="s">
        <v>457</v>
      </c>
      <c r="B6" s="3"/>
      <c r="C6" s="3"/>
      <c r="D6" s="3"/>
      <c r="AG6" s="3"/>
      <c r="AH6" s="3"/>
      <c r="AI6" s="3"/>
      <c r="AX6" s="3"/>
      <c r="AY6" s="3"/>
    </row>
    <row r="7" spans="1:63" ht="18" customHeight="1" x14ac:dyDescent="0.2">
      <c r="A7" s="132" t="s">
        <v>403</v>
      </c>
      <c r="B7" s="3"/>
      <c r="C7" s="3"/>
      <c r="D7" s="3"/>
      <c r="AG7" s="3"/>
      <c r="AH7" s="3"/>
      <c r="AI7" s="3"/>
      <c r="AX7" s="3"/>
      <c r="AY7" s="3"/>
    </row>
    <row r="8" spans="1:63" s="721" customFormat="1" x14ac:dyDescent="0.2">
      <c r="A8" s="760"/>
      <c r="B8" s="722"/>
      <c r="C8" s="722"/>
      <c r="D8" s="722"/>
      <c r="E8" s="722"/>
      <c r="F8" s="722"/>
      <c r="G8" s="722"/>
      <c r="H8" s="722"/>
      <c r="I8" s="665"/>
      <c r="J8" s="722"/>
      <c r="K8" s="722"/>
      <c r="L8" s="722"/>
      <c r="M8" s="665"/>
      <c r="N8" s="722"/>
      <c r="O8" s="722"/>
      <c r="P8" s="722"/>
      <c r="Q8" s="722"/>
      <c r="R8" s="722"/>
      <c r="S8" s="722"/>
      <c r="T8" s="722"/>
      <c r="U8" s="722"/>
      <c r="V8" s="722"/>
      <c r="W8" s="722"/>
      <c r="X8" s="722"/>
      <c r="Y8" s="722"/>
      <c r="Z8" s="722"/>
      <c r="AA8" s="722"/>
      <c r="AB8" s="722"/>
      <c r="AC8" s="722"/>
      <c r="AD8" s="722"/>
      <c r="AE8" s="722"/>
      <c r="AF8" s="722"/>
      <c r="AG8" s="722"/>
      <c r="AH8" s="722"/>
      <c r="AI8" s="722"/>
      <c r="AX8" s="722"/>
      <c r="AY8" s="722"/>
    </row>
    <row r="9" spans="1:63" ht="9.75" customHeight="1" x14ac:dyDescent="0.2">
      <c r="A9" s="2"/>
      <c r="B9" s="2"/>
      <c r="C9" s="2"/>
      <c r="D9" s="2"/>
      <c r="E9" s="2"/>
      <c r="F9" s="2"/>
      <c r="G9" s="2"/>
      <c r="H9" s="424"/>
      <c r="I9" s="2"/>
      <c r="J9" s="424"/>
      <c r="K9" s="2"/>
      <c r="L9" s="424"/>
      <c r="M9" s="2"/>
      <c r="N9" s="424"/>
      <c r="O9" s="2"/>
      <c r="P9" s="424"/>
      <c r="Q9" s="2"/>
      <c r="R9" s="424"/>
      <c r="S9" s="2"/>
      <c r="T9" s="424"/>
      <c r="U9" s="2"/>
      <c r="V9" s="424"/>
      <c r="W9" s="2"/>
      <c r="X9" s="424"/>
      <c r="Y9" s="2"/>
      <c r="Z9" s="424"/>
      <c r="AA9" s="2"/>
      <c r="AB9" s="424"/>
      <c r="AC9" s="2"/>
      <c r="AD9" s="424"/>
      <c r="AE9" s="2"/>
      <c r="AF9" s="2"/>
      <c r="AG9" s="3"/>
      <c r="AH9" s="3"/>
      <c r="AI9" s="3"/>
      <c r="AX9" s="2"/>
      <c r="AY9" s="2"/>
      <c r="BB9" s="3"/>
      <c r="BC9" s="3"/>
    </row>
    <row r="10" spans="1:63" x14ac:dyDescent="0.2">
      <c r="A10" s="6" t="s">
        <v>1</v>
      </c>
      <c r="B10" s="7"/>
      <c r="C10" s="1479" t="s">
        <v>447</v>
      </c>
      <c r="D10" s="1480"/>
      <c r="E10" s="256"/>
      <c r="F10" s="18"/>
      <c r="G10" s="18"/>
      <c r="I10" s="19"/>
      <c r="K10" s="18"/>
      <c r="M10" s="19"/>
      <c r="O10" s="18"/>
      <c r="Q10" s="19"/>
      <c r="S10" s="18"/>
      <c r="U10" s="19"/>
      <c r="W10" s="18"/>
      <c r="Y10" s="19"/>
      <c r="AA10" s="18"/>
      <c r="AC10" s="19"/>
      <c r="AD10" s="18"/>
      <c r="AE10" s="18"/>
      <c r="AF10" s="18"/>
      <c r="AG10" s="19"/>
      <c r="AH10" s="22"/>
      <c r="AI10" s="19"/>
      <c r="AJ10" s="19"/>
      <c r="AK10" s="19"/>
      <c r="AL10" s="22"/>
      <c r="AM10" s="19"/>
      <c r="AN10" s="19"/>
      <c r="AO10" s="19"/>
      <c r="AP10" s="256"/>
      <c r="AQ10" s="87"/>
      <c r="AR10" s="87"/>
      <c r="AS10" s="87"/>
      <c r="AT10" s="87"/>
      <c r="AU10" s="695"/>
      <c r="AV10" s="87"/>
      <c r="AW10" s="87"/>
      <c r="AX10" s="1479" t="s">
        <v>189</v>
      </c>
      <c r="AY10" s="1480"/>
      <c r="AZ10" s="17"/>
      <c r="BA10" s="22"/>
      <c r="BB10" s="87"/>
      <c r="BC10" s="297"/>
      <c r="BD10" s="297"/>
      <c r="BE10" s="25"/>
    </row>
    <row r="11" spans="1:63" x14ac:dyDescent="0.2">
      <c r="A11" s="6" t="s">
        <v>101</v>
      </c>
      <c r="B11" s="7"/>
      <c r="C11" s="1504" t="s">
        <v>39</v>
      </c>
      <c r="D11" s="1482"/>
      <c r="E11" s="530"/>
      <c r="F11" s="21" t="s">
        <v>425</v>
      </c>
      <c r="G11" s="21" t="s">
        <v>426</v>
      </c>
      <c r="H11" s="21" t="s">
        <v>427</v>
      </c>
      <c r="I11" s="14" t="s">
        <v>428</v>
      </c>
      <c r="J11" s="20" t="s">
        <v>363</v>
      </c>
      <c r="K11" s="21" t="s">
        <v>362</v>
      </c>
      <c r="L11" s="21" t="s">
        <v>361</v>
      </c>
      <c r="M11" s="14" t="s">
        <v>359</v>
      </c>
      <c r="N11" s="20" t="s">
        <v>302</v>
      </c>
      <c r="O11" s="21" t="s">
        <v>303</v>
      </c>
      <c r="P11" s="21" t="s">
        <v>304</v>
      </c>
      <c r="Q11" s="14" t="s">
        <v>305</v>
      </c>
      <c r="R11" s="21" t="s">
        <v>231</v>
      </c>
      <c r="S11" s="21" t="s">
        <v>232</v>
      </c>
      <c r="T11" s="21" t="s">
        <v>233</v>
      </c>
      <c r="U11" s="14" t="s">
        <v>230</v>
      </c>
      <c r="V11" s="21" t="s">
        <v>194</v>
      </c>
      <c r="W11" s="21" t="s">
        <v>195</v>
      </c>
      <c r="X11" s="21" t="s">
        <v>196</v>
      </c>
      <c r="Y11" s="14" t="s">
        <v>197</v>
      </c>
      <c r="Z11" s="21" t="s">
        <v>126</v>
      </c>
      <c r="AA11" s="21" t="s">
        <v>125</v>
      </c>
      <c r="AB11" s="21" t="s">
        <v>124</v>
      </c>
      <c r="AC11" s="14" t="s">
        <v>123</v>
      </c>
      <c r="AD11" s="21" t="s">
        <v>86</v>
      </c>
      <c r="AE11" s="21" t="s">
        <v>87</v>
      </c>
      <c r="AF11" s="21" t="s">
        <v>88</v>
      </c>
      <c r="AG11" s="14" t="s">
        <v>30</v>
      </c>
      <c r="AH11" s="256" t="s">
        <v>31</v>
      </c>
      <c r="AI11" s="230" t="s">
        <v>32</v>
      </c>
      <c r="AJ11" s="230" t="s">
        <v>33</v>
      </c>
      <c r="AK11" s="230" t="s">
        <v>34</v>
      </c>
      <c r="AL11" s="256" t="s">
        <v>35</v>
      </c>
      <c r="AM11" s="230" t="s">
        <v>36</v>
      </c>
      <c r="AN11" s="230" t="s">
        <v>37</v>
      </c>
      <c r="AO11" s="230" t="s">
        <v>38</v>
      </c>
      <c r="AP11" s="530"/>
      <c r="AQ11" s="256" t="s">
        <v>446</v>
      </c>
      <c r="AR11" s="256" t="s">
        <v>365</v>
      </c>
      <c r="AS11" s="256" t="s">
        <v>307</v>
      </c>
      <c r="AT11" s="256" t="s">
        <v>235</v>
      </c>
      <c r="AU11" s="15" t="s">
        <v>128</v>
      </c>
      <c r="AV11" s="229" t="s">
        <v>127</v>
      </c>
      <c r="AW11" s="229" t="s">
        <v>43</v>
      </c>
      <c r="AX11" s="1505" t="s">
        <v>39</v>
      </c>
      <c r="AY11" s="1478"/>
      <c r="AZ11" s="229" t="s">
        <v>40</v>
      </c>
      <c r="BA11" s="256" t="s">
        <v>41</v>
      </c>
      <c r="BB11" s="23" t="s">
        <v>146</v>
      </c>
      <c r="BC11" s="319" t="s">
        <v>147</v>
      </c>
      <c r="BD11" s="319" t="s">
        <v>148</v>
      </c>
      <c r="BE11" s="25"/>
      <c r="BF11" s="3"/>
      <c r="BI11" s="3"/>
      <c r="BJ11" s="3"/>
      <c r="BK11" s="3"/>
    </row>
    <row r="12" spans="1:63" s="613" customFormat="1" x14ac:dyDescent="0.2">
      <c r="A12" s="6"/>
      <c r="B12" s="7"/>
      <c r="C12" s="629"/>
      <c r="D12" s="628"/>
      <c r="E12" s="530"/>
      <c r="F12" s="633" t="s">
        <v>254</v>
      </c>
      <c r="G12" s="633" t="s">
        <v>254</v>
      </c>
      <c r="H12" s="633" t="s">
        <v>254</v>
      </c>
      <c r="I12" s="634" t="s">
        <v>254</v>
      </c>
      <c r="J12" s="632" t="s">
        <v>254</v>
      </c>
      <c r="K12" s="633" t="s">
        <v>254</v>
      </c>
      <c r="L12" s="633" t="s">
        <v>254</v>
      </c>
      <c r="M12" s="634" t="s">
        <v>254</v>
      </c>
      <c r="N12" s="632" t="s">
        <v>254</v>
      </c>
      <c r="O12" s="633" t="s">
        <v>254</v>
      </c>
      <c r="P12" s="633" t="s">
        <v>254</v>
      </c>
      <c r="Q12" s="634" t="s">
        <v>254</v>
      </c>
      <c r="R12" s="632" t="s">
        <v>254</v>
      </c>
      <c r="S12" s="633" t="s">
        <v>254</v>
      </c>
      <c r="T12" s="633" t="s">
        <v>254</v>
      </c>
      <c r="U12" s="634" t="s">
        <v>254</v>
      </c>
      <c r="V12" s="632" t="s">
        <v>254</v>
      </c>
      <c r="W12" s="633" t="s">
        <v>254</v>
      </c>
      <c r="X12" s="633" t="s">
        <v>254</v>
      </c>
      <c r="Y12" s="634" t="s">
        <v>254</v>
      </c>
      <c r="Z12" s="632" t="s">
        <v>255</v>
      </c>
      <c r="AA12" s="633" t="s">
        <v>255</v>
      </c>
      <c r="AB12" s="633" t="s">
        <v>255</v>
      </c>
      <c r="AC12" s="634" t="s">
        <v>255</v>
      </c>
      <c r="AD12" s="15"/>
      <c r="AE12" s="15"/>
      <c r="AF12" s="15"/>
      <c r="AG12" s="230"/>
      <c r="AH12" s="256"/>
      <c r="AI12" s="230"/>
      <c r="AJ12" s="230"/>
      <c r="AK12" s="230"/>
      <c r="AL12" s="256"/>
      <c r="AM12" s="230"/>
      <c r="AN12" s="230"/>
      <c r="AO12" s="230"/>
      <c r="AP12" s="530"/>
      <c r="AQ12" s="635" t="s">
        <v>254</v>
      </c>
      <c r="AR12" s="635" t="s">
        <v>254</v>
      </c>
      <c r="AS12" s="635" t="s">
        <v>254</v>
      </c>
      <c r="AT12" s="635" t="s">
        <v>254</v>
      </c>
      <c r="AU12" s="634" t="s">
        <v>254</v>
      </c>
      <c r="AV12" s="632" t="s">
        <v>255</v>
      </c>
      <c r="AW12" s="632" t="s">
        <v>255</v>
      </c>
      <c r="AX12" s="629"/>
      <c r="AY12" s="628"/>
      <c r="AZ12" s="632" t="s">
        <v>255</v>
      </c>
      <c r="BA12" s="635" t="s">
        <v>255</v>
      </c>
      <c r="BB12" s="256"/>
      <c r="BC12" s="636"/>
      <c r="BD12" s="636"/>
      <c r="BE12" s="25"/>
      <c r="BF12" s="3"/>
      <c r="BI12" s="3"/>
      <c r="BJ12" s="3"/>
      <c r="BK12" s="3"/>
    </row>
    <row r="13" spans="1:63" ht="12.75" customHeight="1" x14ac:dyDescent="0.2">
      <c r="A13" s="141" t="s">
        <v>102</v>
      </c>
      <c r="B13" s="255"/>
      <c r="C13" s="162"/>
      <c r="D13" s="164"/>
      <c r="E13" s="88"/>
      <c r="F13" s="725"/>
      <c r="G13" s="725"/>
      <c r="H13" s="725"/>
      <c r="I13" s="164"/>
      <c r="J13" s="725"/>
      <c r="K13" s="725"/>
      <c r="L13" s="725"/>
      <c r="M13" s="164"/>
      <c r="N13" s="725"/>
      <c r="O13" s="725"/>
      <c r="P13" s="725"/>
      <c r="Q13" s="164"/>
      <c r="R13" s="146"/>
      <c r="S13" s="146"/>
      <c r="T13" s="146"/>
      <c r="U13" s="164"/>
      <c r="V13" s="146"/>
      <c r="W13" s="146"/>
      <c r="X13" s="146"/>
      <c r="Y13" s="164"/>
      <c r="Z13" s="146"/>
      <c r="AA13" s="146"/>
      <c r="AB13" s="146"/>
      <c r="AC13" s="164"/>
      <c r="AD13" s="146"/>
      <c r="AE13" s="146"/>
      <c r="AF13" s="146"/>
      <c r="AG13" s="164"/>
      <c r="AH13" s="191"/>
      <c r="AI13" s="163"/>
      <c r="AJ13" s="163"/>
      <c r="AK13" s="163"/>
      <c r="AL13" s="191"/>
      <c r="AM13" s="163"/>
      <c r="AN13" s="163"/>
      <c r="AO13" s="163"/>
      <c r="AP13" s="88"/>
      <c r="AQ13" s="191"/>
      <c r="AR13" s="191"/>
      <c r="AS13" s="191"/>
      <c r="AT13" s="191"/>
      <c r="AU13" s="163"/>
      <c r="AV13" s="191"/>
      <c r="AW13" s="191"/>
      <c r="AX13" s="193"/>
      <c r="AY13" s="163"/>
      <c r="AZ13" s="191"/>
      <c r="BA13" s="191"/>
      <c r="BB13" s="320"/>
      <c r="BC13" s="320"/>
      <c r="BD13" s="320"/>
      <c r="BE13" s="25"/>
      <c r="BF13" s="3"/>
      <c r="BI13" s="3"/>
    </row>
    <row r="14" spans="1:63" ht="12.75" customHeight="1" x14ac:dyDescent="0.2">
      <c r="A14" s="141"/>
      <c r="B14" s="82" t="s">
        <v>103</v>
      </c>
      <c r="C14" s="38">
        <v>-41972</v>
      </c>
      <c r="D14" s="30">
        <v>-0.11521400180073348</v>
      </c>
      <c r="E14" s="198"/>
      <c r="F14" s="745">
        <v>322324</v>
      </c>
      <c r="G14" s="745">
        <v>339962</v>
      </c>
      <c r="H14" s="745">
        <v>290403</v>
      </c>
      <c r="I14" s="746">
        <v>273880</v>
      </c>
      <c r="J14" s="745">
        <v>364296</v>
      </c>
      <c r="K14" s="745">
        <v>357713</v>
      </c>
      <c r="L14" s="745">
        <v>360172</v>
      </c>
      <c r="M14" s="746">
        <v>380869</v>
      </c>
      <c r="N14" s="745">
        <v>491012</v>
      </c>
      <c r="O14" s="745">
        <v>555960</v>
      </c>
      <c r="P14" s="745">
        <v>575367</v>
      </c>
      <c r="Q14" s="746">
        <v>644027</v>
      </c>
      <c r="R14" s="687">
        <v>814238</v>
      </c>
      <c r="S14" s="687">
        <v>700914</v>
      </c>
      <c r="T14" s="231">
        <v>691114</v>
      </c>
      <c r="U14" s="235">
        <v>710734</v>
      </c>
      <c r="V14" s="231">
        <v>954068</v>
      </c>
      <c r="W14" s="231">
        <v>713117</v>
      </c>
      <c r="X14" s="231">
        <v>636908</v>
      </c>
      <c r="Y14" s="235">
        <v>569953</v>
      </c>
      <c r="Z14" s="231">
        <v>731852</v>
      </c>
      <c r="AA14" s="231">
        <v>782576</v>
      </c>
      <c r="AB14" s="231">
        <v>709455</v>
      </c>
      <c r="AC14" s="235">
        <v>734268</v>
      </c>
      <c r="AD14" s="231">
        <v>701173</v>
      </c>
      <c r="AE14" s="231">
        <v>684463</v>
      </c>
      <c r="AF14" s="231">
        <v>521322</v>
      </c>
      <c r="AG14" s="235">
        <v>555017</v>
      </c>
      <c r="AH14" s="198">
        <v>435649</v>
      </c>
      <c r="AI14" s="235">
        <v>421783</v>
      </c>
      <c r="AJ14" s="235">
        <v>379680</v>
      </c>
      <c r="AK14" s="235">
        <v>329584</v>
      </c>
      <c r="AL14" s="198">
        <v>506640</v>
      </c>
      <c r="AM14" s="235">
        <v>371525</v>
      </c>
      <c r="AN14" s="235">
        <v>315883</v>
      </c>
      <c r="AO14" s="235">
        <v>376986</v>
      </c>
      <c r="AP14" s="198"/>
      <c r="AQ14" s="270">
        <v>322324</v>
      </c>
      <c r="AR14" s="270">
        <v>364296</v>
      </c>
      <c r="AS14" s="270">
        <v>491012</v>
      </c>
      <c r="AT14" s="270">
        <v>814238</v>
      </c>
      <c r="AU14" s="300">
        <v>954068</v>
      </c>
      <c r="AV14" s="270">
        <v>731852</v>
      </c>
      <c r="AW14" s="270">
        <v>701173</v>
      </c>
      <c r="AX14" s="38">
        <v>30679</v>
      </c>
      <c r="AY14" s="30">
        <v>4.3753823949296396E-2</v>
      </c>
      <c r="AZ14" s="198">
        <v>435649</v>
      </c>
      <c r="BA14" s="198">
        <v>506640</v>
      </c>
      <c r="BB14" s="175">
        <v>370507</v>
      </c>
      <c r="BC14" s="175">
        <v>349700</v>
      </c>
      <c r="BD14" s="175">
        <v>91966</v>
      </c>
      <c r="BE14" s="3"/>
      <c r="BF14" s="3"/>
      <c r="BI14" s="3"/>
    </row>
    <row r="15" spans="1:63" ht="12.75" customHeight="1" x14ac:dyDescent="0.2">
      <c r="A15" s="141"/>
      <c r="B15" s="724" t="s">
        <v>298</v>
      </c>
      <c r="C15" s="38">
        <v>-295073</v>
      </c>
      <c r="D15" s="30">
        <v>-0.25811121578794982</v>
      </c>
      <c r="E15" s="198"/>
      <c r="F15" s="745">
        <v>848128</v>
      </c>
      <c r="G15" s="745">
        <v>1018038</v>
      </c>
      <c r="H15" s="745">
        <v>1041320</v>
      </c>
      <c r="I15" s="746">
        <v>1313241</v>
      </c>
      <c r="J15" s="745">
        <v>1143201</v>
      </c>
      <c r="K15" s="745">
        <v>1143898</v>
      </c>
      <c r="L15" s="745">
        <v>929247</v>
      </c>
      <c r="M15" s="746">
        <v>1426328</v>
      </c>
      <c r="N15" s="745">
        <v>924337</v>
      </c>
      <c r="O15" s="745">
        <v>1453470</v>
      </c>
      <c r="P15" s="745">
        <v>1087334</v>
      </c>
      <c r="Q15" s="746">
        <v>1214424</v>
      </c>
      <c r="R15" s="687">
        <v>1171988</v>
      </c>
      <c r="S15" s="687">
        <v>1100470</v>
      </c>
      <c r="T15" s="231">
        <v>1316755</v>
      </c>
      <c r="U15" s="235">
        <v>849679</v>
      </c>
      <c r="V15" s="231">
        <v>947185</v>
      </c>
      <c r="W15" s="231">
        <v>1098154</v>
      </c>
      <c r="X15" s="231">
        <v>1268897</v>
      </c>
      <c r="Y15" s="235">
        <v>835261</v>
      </c>
      <c r="Z15" s="231">
        <v>362755</v>
      </c>
      <c r="AA15" s="231">
        <v>404537</v>
      </c>
      <c r="AB15" s="231">
        <v>517070</v>
      </c>
      <c r="AC15" s="235">
        <v>169030</v>
      </c>
      <c r="AD15" s="231">
        <v>133691</v>
      </c>
      <c r="AE15" s="231">
        <v>72938</v>
      </c>
      <c r="AF15" s="231">
        <v>56055</v>
      </c>
      <c r="AG15" s="235">
        <v>117013</v>
      </c>
      <c r="AH15" s="198">
        <v>92796</v>
      </c>
      <c r="AI15" s="235">
        <v>164388</v>
      </c>
      <c r="AJ15" s="235">
        <v>227368</v>
      </c>
      <c r="AK15" s="235">
        <v>225734</v>
      </c>
      <c r="AL15" s="198">
        <v>348764</v>
      </c>
      <c r="AM15" s="235">
        <v>146030</v>
      </c>
      <c r="AN15" s="235">
        <v>119809</v>
      </c>
      <c r="AO15" s="235">
        <v>194061</v>
      </c>
      <c r="AP15" s="198"/>
      <c r="AQ15" s="270">
        <v>848128</v>
      </c>
      <c r="AR15" s="270">
        <v>1143201</v>
      </c>
      <c r="AS15" s="270">
        <v>924337</v>
      </c>
      <c r="AT15" s="270">
        <v>1171988</v>
      </c>
      <c r="AU15" s="300">
        <v>947185</v>
      </c>
      <c r="AV15" s="270">
        <v>362755</v>
      </c>
      <c r="AW15" s="270">
        <v>133691</v>
      </c>
      <c r="AX15" s="38">
        <v>229064</v>
      </c>
      <c r="AY15" s="30">
        <v>1.7133838478282009</v>
      </c>
      <c r="AZ15" s="198">
        <v>92796</v>
      </c>
      <c r="BA15" s="198">
        <v>348764</v>
      </c>
      <c r="BB15" s="175">
        <v>203020</v>
      </c>
      <c r="BC15" s="175">
        <v>160348</v>
      </c>
      <c r="BD15" s="175">
        <v>376447</v>
      </c>
      <c r="BE15" s="3"/>
      <c r="BF15" s="3"/>
      <c r="BI15" s="3"/>
    </row>
    <row r="16" spans="1:63" ht="12.75" customHeight="1" x14ac:dyDescent="0.2">
      <c r="A16" s="141"/>
      <c r="B16" s="82" t="s">
        <v>104</v>
      </c>
      <c r="C16" s="38">
        <v>-294410</v>
      </c>
      <c r="D16" s="742">
        <v>-0.10567867165273101</v>
      </c>
      <c r="E16" s="198"/>
      <c r="F16" s="745">
        <v>2491488</v>
      </c>
      <c r="G16" s="745">
        <v>1868510</v>
      </c>
      <c r="H16" s="745">
        <v>2679165</v>
      </c>
      <c r="I16" s="746">
        <v>2068340</v>
      </c>
      <c r="J16" s="745">
        <v>2785898</v>
      </c>
      <c r="K16" s="745">
        <v>1912423</v>
      </c>
      <c r="L16" s="745">
        <v>2268642</v>
      </c>
      <c r="M16" s="746">
        <v>2843247</v>
      </c>
      <c r="N16" s="745">
        <v>2513958</v>
      </c>
      <c r="O16" s="745">
        <v>2280064</v>
      </c>
      <c r="P16" s="745">
        <v>2750879</v>
      </c>
      <c r="Q16" s="746">
        <v>2548117</v>
      </c>
      <c r="R16" s="687">
        <v>3081640</v>
      </c>
      <c r="S16" s="687">
        <v>2215448</v>
      </c>
      <c r="T16" s="231">
        <v>3270356</v>
      </c>
      <c r="U16" s="235">
        <v>2488826</v>
      </c>
      <c r="V16" s="231">
        <v>2828812</v>
      </c>
      <c r="W16" s="231">
        <v>2383057</v>
      </c>
      <c r="X16" s="231">
        <v>2987415</v>
      </c>
      <c r="Y16" s="235">
        <v>2185305</v>
      </c>
      <c r="Z16" s="231">
        <v>1972924</v>
      </c>
      <c r="AA16" s="231">
        <v>1311144</v>
      </c>
      <c r="AB16" s="231">
        <v>2085356</v>
      </c>
      <c r="AC16" s="235">
        <v>1166610</v>
      </c>
      <c r="AD16" s="231">
        <v>1061161</v>
      </c>
      <c r="AE16" s="231">
        <v>806402</v>
      </c>
      <c r="AF16" s="231">
        <v>1227426</v>
      </c>
      <c r="AG16" s="235">
        <v>1525096</v>
      </c>
      <c r="AH16" s="198">
        <v>1422917</v>
      </c>
      <c r="AI16" s="235">
        <v>1260869</v>
      </c>
      <c r="AJ16" s="235">
        <v>1829712</v>
      </c>
      <c r="AK16" s="235">
        <v>2052737</v>
      </c>
      <c r="AL16" s="198">
        <v>1672035</v>
      </c>
      <c r="AM16" s="235">
        <v>1204371</v>
      </c>
      <c r="AN16" s="235">
        <v>1163218</v>
      </c>
      <c r="AO16" s="235">
        <v>1154454</v>
      </c>
      <c r="AP16" s="198"/>
      <c r="AQ16" s="270">
        <v>2491488</v>
      </c>
      <c r="AR16" s="270">
        <v>2785898</v>
      </c>
      <c r="AS16" s="270">
        <v>2513958</v>
      </c>
      <c r="AT16" s="270">
        <v>3081640</v>
      </c>
      <c r="AU16" s="300">
        <v>2828812</v>
      </c>
      <c r="AV16" s="270">
        <v>1972924</v>
      </c>
      <c r="AW16" s="270">
        <v>1061161</v>
      </c>
      <c r="AX16" s="38">
        <v>911763</v>
      </c>
      <c r="AY16" s="30">
        <v>0.8592126925132002</v>
      </c>
      <c r="AZ16" s="198">
        <v>1422917</v>
      </c>
      <c r="BA16" s="198">
        <v>1672035</v>
      </c>
      <c r="BB16" s="175">
        <v>1539998</v>
      </c>
      <c r="BC16" s="175">
        <v>1068757</v>
      </c>
      <c r="BD16" s="175">
        <v>998815</v>
      </c>
      <c r="BE16" s="3"/>
      <c r="BF16" s="3"/>
      <c r="BI16" s="3"/>
    </row>
    <row r="17" spans="1:61" ht="12.75" customHeight="1" x14ac:dyDescent="0.2">
      <c r="A17" s="141"/>
      <c r="B17" s="82" t="s">
        <v>105</v>
      </c>
      <c r="C17" s="686">
        <v>1312</v>
      </c>
      <c r="D17" s="742">
        <v>0.32939994978659304</v>
      </c>
      <c r="E17" s="198"/>
      <c r="F17" s="754">
        <v>5295</v>
      </c>
      <c r="G17" s="754">
        <v>5112</v>
      </c>
      <c r="H17" s="745">
        <v>3022</v>
      </c>
      <c r="I17" s="28">
        <v>6823</v>
      </c>
      <c r="J17" s="754">
        <v>3983</v>
      </c>
      <c r="K17" s="754">
        <v>1755</v>
      </c>
      <c r="L17" s="745">
        <v>3405</v>
      </c>
      <c r="M17" s="746">
        <v>3276</v>
      </c>
      <c r="N17" s="754">
        <v>0</v>
      </c>
      <c r="O17" s="754">
        <v>0</v>
      </c>
      <c r="P17" s="745">
        <v>15120</v>
      </c>
      <c r="Q17" s="746">
        <v>15866</v>
      </c>
      <c r="R17" s="31">
        <v>8301</v>
      </c>
      <c r="S17" s="31">
        <v>15565</v>
      </c>
      <c r="T17" s="231">
        <v>18776</v>
      </c>
      <c r="U17" s="235">
        <v>10317</v>
      </c>
      <c r="V17" s="33">
        <v>0</v>
      </c>
      <c r="W17" s="33">
        <v>0</v>
      </c>
      <c r="X17" s="231">
        <v>5567</v>
      </c>
      <c r="Y17" s="235">
        <v>5287</v>
      </c>
      <c r="Z17" s="33">
        <v>0</v>
      </c>
      <c r="AA17" s="33">
        <v>0</v>
      </c>
      <c r="AB17" s="231">
        <v>2107</v>
      </c>
      <c r="AC17" s="235">
        <v>17740</v>
      </c>
      <c r="AD17" s="231">
        <v>23771</v>
      </c>
      <c r="AE17" s="231">
        <v>29887</v>
      </c>
      <c r="AF17" s="231">
        <v>19772</v>
      </c>
      <c r="AG17" s="235">
        <v>19440</v>
      </c>
      <c r="AH17" s="198">
        <v>11083</v>
      </c>
      <c r="AI17" s="235">
        <v>2758</v>
      </c>
      <c r="AJ17" s="235">
        <v>661</v>
      </c>
      <c r="AK17" s="29">
        <v>0</v>
      </c>
      <c r="AL17" s="265">
        <v>0</v>
      </c>
      <c r="AM17" s="29">
        <v>0</v>
      </c>
      <c r="AN17" s="29">
        <v>0</v>
      </c>
      <c r="AO17" s="29">
        <v>0</v>
      </c>
      <c r="AP17" s="198"/>
      <c r="AQ17" s="270">
        <v>5295</v>
      </c>
      <c r="AR17" s="270">
        <v>3983</v>
      </c>
      <c r="AS17" s="270">
        <v>0</v>
      </c>
      <c r="AT17" s="270">
        <v>8301</v>
      </c>
      <c r="AU17" s="300">
        <v>0</v>
      </c>
      <c r="AV17" s="43">
        <v>0</v>
      </c>
      <c r="AW17" s="270">
        <v>23771</v>
      </c>
      <c r="AX17" s="38">
        <v>-23771</v>
      </c>
      <c r="AY17" s="30">
        <v>-1</v>
      </c>
      <c r="AZ17" s="198">
        <v>11083</v>
      </c>
      <c r="BA17" s="29">
        <v>0</v>
      </c>
      <c r="BB17" s="175">
        <v>0</v>
      </c>
      <c r="BC17" s="175">
        <v>0</v>
      </c>
      <c r="BD17" s="175">
        <v>0</v>
      </c>
      <c r="BE17" s="3"/>
      <c r="BF17" s="3"/>
      <c r="BI17" s="3"/>
    </row>
    <row r="18" spans="1:61" ht="12.75" customHeight="1" x14ac:dyDescent="0.2">
      <c r="A18" s="141"/>
      <c r="B18" s="724" t="s">
        <v>299</v>
      </c>
      <c r="C18" s="686">
        <v>413</v>
      </c>
      <c r="D18" s="30">
        <v>4.2424242424242427E-2</v>
      </c>
      <c r="E18" s="198"/>
      <c r="F18" s="745">
        <v>10148</v>
      </c>
      <c r="G18" s="745">
        <v>9706</v>
      </c>
      <c r="H18" s="745">
        <v>9366</v>
      </c>
      <c r="I18" s="746">
        <v>9165</v>
      </c>
      <c r="J18" s="745">
        <v>9735</v>
      </c>
      <c r="K18" s="745">
        <v>9322</v>
      </c>
      <c r="L18" s="745">
        <v>10877</v>
      </c>
      <c r="M18" s="746">
        <v>9938</v>
      </c>
      <c r="N18" s="745">
        <v>12552</v>
      </c>
      <c r="O18" s="745">
        <v>8550</v>
      </c>
      <c r="P18" s="745">
        <v>6077</v>
      </c>
      <c r="Q18" s="746">
        <v>6735</v>
      </c>
      <c r="R18" s="687">
        <v>3959</v>
      </c>
      <c r="S18" s="687">
        <v>2419</v>
      </c>
      <c r="T18" s="231">
        <v>1791</v>
      </c>
      <c r="U18" s="235">
        <v>2076</v>
      </c>
      <c r="V18" s="231">
        <v>1503</v>
      </c>
      <c r="W18" s="231">
        <v>1036</v>
      </c>
      <c r="X18" s="231">
        <v>1076</v>
      </c>
      <c r="Y18" s="235">
        <v>680</v>
      </c>
      <c r="Z18" s="231">
        <v>13190</v>
      </c>
      <c r="AA18" s="231">
        <v>11890</v>
      </c>
      <c r="AB18" s="231">
        <v>12019</v>
      </c>
      <c r="AC18" s="235">
        <v>13358</v>
      </c>
      <c r="AD18" s="231">
        <v>15680</v>
      </c>
      <c r="AE18" s="231">
        <v>13657</v>
      </c>
      <c r="AF18" s="231">
        <v>11566</v>
      </c>
      <c r="AG18" s="235">
        <v>10725</v>
      </c>
      <c r="AH18" s="198">
        <v>28207</v>
      </c>
      <c r="AI18" s="235">
        <v>10630</v>
      </c>
      <c r="AJ18" s="235">
        <v>9940</v>
      </c>
      <c r="AK18" s="235">
        <v>7761</v>
      </c>
      <c r="AL18" s="198">
        <v>11021</v>
      </c>
      <c r="AM18" s="235">
        <v>11782</v>
      </c>
      <c r="AN18" s="235">
        <v>12754</v>
      </c>
      <c r="AO18" s="235">
        <v>11872</v>
      </c>
      <c r="AP18" s="198"/>
      <c r="AQ18" s="270">
        <v>10148</v>
      </c>
      <c r="AR18" s="270">
        <v>9735</v>
      </c>
      <c r="AS18" s="270">
        <v>12552</v>
      </c>
      <c r="AT18" s="270">
        <v>3959</v>
      </c>
      <c r="AU18" s="300">
        <v>1503</v>
      </c>
      <c r="AV18" s="270">
        <v>13190</v>
      </c>
      <c r="AW18" s="270">
        <v>15680</v>
      </c>
      <c r="AX18" s="38">
        <v>-2490</v>
      </c>
      <c r="AY18" s="30">
        <v>-0.15880102040816327</v>
      </c>
      <c r="AZ18" s="198">
        <v>28207</v>
      </c>
      <c r="BA18" s="198">
        <v>11021</v>
      </c>
      <c r="BB18" s="166">
        <v>10769</v>
      </c>
      <c r="BC18" s="166">
        <v>3992</v>
      </c>
      <c r="BD18" s="166">
        <v>0</v>
      </c>
      <c r="BE18" s="3"/>
      <c r="BF18" s="3"/>
      <c r="BI18" s="3"/>
    </row>
    <row r="19" spans="1:61" ht="12.75" customHeight="1" x14ac:dyDescent="0.2">
      <c r="A19" s="141"/>
      <c r="B19" s="82" t="s">
        <v>106</v>
      </c>
      <c r="C19" s="686">
        <v>-1284</v>
      </c>
      <c r="D19" s="30">
        <v>-0.12869600080184423</v>
      </c>
      <c r="E19" s="198"/>
      <c r="F19" s="745">
        <v>8693</v>
      </c>
      <c r="G19" s="745">
        <v>9964</v>
      </c>
      <c r="H19" s="745">
        <v>9920</v>
      </c>
      <c r="I19" s="746">
        <v>9931</v>
      </c>
      <c r="J19" s="745">
        <v>9977</v>
      </c>
      <c r="K19" s="745">
        <v>9491</v>
      </c>
      <c r="L19" s="745">
        <v>9267</v>
      </c>
      <c r="M19" s="746">
        <v>4113</v>
      </c>
      <c r="N19" s="745">
        <v>3695</v>
      </c>
      <c r="O19" s="745">
        <v>3276</v>
      </c>
      <c r="P19" s="745">
        <v>3247</v>
      </c>
      <c r="Q19" s="746">
        <v>9488</v>
      </c>
      <c r="R19" s="687">
        <v>9493</v>
      </c>
      <c r="S19" s="687">
        <v>5934</v>
      </c>
      <c r="T19" s="231">
        <v>5934</v>
      </c>
      <c r="U19" s="235">
        <v>5934</v>
      </c>
      <c r="V19" s="231">
        <v>5934</v>
      </c>
      <c r="W19" s="231">
        <v>6732</v>
      </c>
      <c r="X19" s="231">
        <v>6732</v>
      </c>
      <c r="Y19" s="235">
        <v>6732</v>
      </c>
      <c r="Z19" s="231">
        <v>5000</v>
      </c>
      <c r="AA19" s="231">
        <v>5000</v>
      </c>
      <c r="AB19" s="231">
        <v>5000</v>
      </c>
      <c r="AC19" s="235">
        <v>5000</v>
      </c>
      <c r="AD19" s="231">
        <v>5000</v>
      </c>
      <c r="AE19" s="231">
        <v>5000</v>
      </c>
      <c r="AF19" s="231">
        <v>5000</v>
      </c>
      <c r="AG19" s="235">
        <v>5000</v>
      </c>
      <c r="AH19" s="198">
        <v>5000</v>
      </c>
      <c r="AI19" s="235">
        <v>5000</v>
      </c>
      <c r="AJ19" s="235">
        <v>5000</v>
      </c>
      <c r="AK19" s="235">
        <v>5000</v>
      </c>
      <c r="AL19" s="265">
        <v>0</v>
      </c>
      <c r="AM19" s="29">
        <v>0</v>
      </c>
      <c r="AN19" s="29">
        <v>0</v>
      </c>
      <c r="AO19" s="29">
        <v>0</v>
      </c>
      <c r="AP19" s="198"/>
      <c r="AQ19" s="270">
        <v>8693</v>
      </c>
      <c r="AR19" s="270">
        <v>9977</v>
      </c>
      <c r="AS19" s="270">
        <v>3695</v>
      </c>
      <c r="AT19" s="270">
        <v>9493</v>
      </c>
      <c r="AU19" s="300">
        <v>5934</v>
      </c>
      <c r="AV19" s="270">
        <v>5000</v>
      </c>
      <c r="AW19" s="270">
        <v>5000</v>
      </c>
      <c r="AX19" s="38">
        <v>0</v>
      </c>
      <c r="AY19" s="30">
        <v>0</v>
      </c>
      <c r="AZ19" s="198">
        <v>5000</v>
      </c>
      <c r="BA19" s="29">
        <v>0</v>
      </c>
      <c r="BB19" s="321">
        <v>0</v>
      </c>
      <c r="BC19" s="321">
        <v>0</v>
      </c>
      <c r="BD19" s="321">
        <v>0</v>
      </c>
      <c r="BE19" s="3"/>
      <c r="BF19" s="3"/>
      <c r="BI19" s="3"/>
    </row>
    <row r="20" spans="1:61" ht="12.75" hidden="1" customHeight="1" x14ac:dyDescent="0.2">
      <c r="A20" s="141"/>
      <c r="B20" s="82" t="s">
        <v>107</v>
      </c>
      <c r="C20" s="39">
        <v>0</v>
      </c>
      <c r="D20" s="33">
        <v>0</v>
      </c>
      <c r="E20" s="198"/>
      <c r="F20" s="33"/>
      <c r="G20" s="33"/>
      <c r="H20" s="33"/>
      <c r="I20" s="28"/>
      <c r="J20" s="33">
        <v>0</v>
      </c>
      <c r="K20" s="33">
        <v>0</v>
      </c>
      <c r="L20" s="33">
        <v>0</v>
      </c>
      <c r="M20" s="28">
        <v>0</v>
      </c>
      <c r="N20" s="33">
        <v>0</v>
      </c>
      <c r="O20" s="33">
        <v>0</v>
      </c>
      <c r="P20" s="33">
        <v>0</v>
      </c>
      <c r="Q20" s="28">
        <v>0</v>
      </c>
      <c r="R20" s="33">
        <v>0</v>
      </c>
      <c r="S20" s="33">
        <v>0</v>
      </c>
      <c r="T20" s="33">
        <v>0</v>
      </c>
      <c r="U20" s="29">
        <v>0</v>
      </c>
      <c r="V20" s="33">
        <v>0</v>
      </c>
      <c r="W20" s="33">
        <v>0</v>
      </c>
      <c r="X20" s="33">
        <v>0</v>
      </c>
      <c r="Y20" s="29">
        <v>0</v>
      </c>
      <c r="Z20" s="33">
        <v>0</v>
      </c>
      <c r="AA20" s="231">
        <v>28239</v>
      </c>
      <c r="AB20" s="231">
        <v>34280</v>
      </c>
      <c r="AC20" s="235">
        <v>34418</v>
      </c>
      <c r="AD20" s="231">
        <v>35312</v>
      </c>
      <c r="AE20" s="231">
        <v>23160</v>
      </c>
      <c r="AF20" s="231">
        <v>29860</v>
      </c>
      <c r="AG20" s="235">
        <v>29860</v>
      </c>
      <c r="AH20" s="198">
        <v>29860</v>
      </c>
      <c r="AI20" s="235">
        <v>34501</v>
      </c>
      <c r="AJ20" s="29">
        <v>0</v>
      </c>
      <c r="AK20" s="29">
        <v>0</v>
      </c>
      <c r="AL20" s="265">
        <v>0</v>
      </c>
      <c r="AM20" s="29">
        <v>0</v>
      </c>
      <c r="AN20" s="29">
        <v>0</v>
      </c>
      <c r="AO20" s="29">
        <v>0</v>
      </c>
      <c r="AP20" s="198"/>
      <c r="AQ20" s="270">
        <v>0</v>
      </c>
      <c r="AR20" s="270">
        <v>0</v>
      </c>
      <c r="AS20" s="270">
        <v>0</v>
      </c>
      <c r="AT20" s="43">
        <v>0</v>
      </c>
      <c r="AU20" s="300">
        <v>0</v>
      </c>
      <c r="AV20" s="43">
        <v>0</v>
      </c>
      <c r="AW20" s="270">
        <v>35312</v>
      </c>
      <c r="AX20" s="38">
        <v>-35312</v>
      </c>
      <c r="AY20" s="30">
        <v>-1</v>
      </c>
      <c r="AZ20" s="198">
        <v>29860</v>
      </c>
      <c r="BA20" s="29">
        <v>0</v>
      </c>
      <c r="BB20" s="321">
        <v>0</v>
      </c>
      <c r="BC20" s="321">
        <v>0</v>
      </c>
      <c r="BD20" s="321">
        <v>0</v>
      </c>
      <c r="BE20" s="3"/>
      <c r="BF20" s="3"/>
      <c r="BI20" s="3"/>
    </row>
    <row r="21" spans="1:61" ht="12.75" customHeight="1" x14ac:dyDescent="0.2">
      <c r="A21" s="141"/>
      <c r="B21" s="82" t="s">
        <v>108</v>
      </c>
      <c r="C21" s="38">
        <v>-7602</v>
      </c>
      <c r="D21" s="30">
        <v>-0.14913192741539971</v>
      </c>
      <c r="E21" s="198"/>
      <c r="F21" s="745">
        <v>43373</v>
      </c>
      <c r="G21" s="745">
        <v>43126</v>
      </c>
      <c r="H21" s="745">
        <v>45240</v>
      </c>
      <c r="I21" s="746">
        <v>48500</v>
      </c>
      <c r="J21" s="745">
        <v>50975</v>
      </c>
      <c r="K21" s="745">
        <v>50390</v>
      </c>
      <c r="L21" s="745">
        <v>41306</v>
      </c>
      <c r="M21" s="746">
        <v>42293</v>
      </c>
      <c r="N21" s="745">
        <v>42979</v>
      </c>
      <c r="O21" s="745">
        <v>46613</v>
      </c>
      <c r="P21" s="745">
        <v>48013</v>
      </c>
      <c r="Q21" s="746">
        <v>49678</v>
      </c>
      <c r="R21" s="687">
        <v>51084</v>
      </c>
      <c r="S21" s="687">
        <v>44550</v>
      </c>
      <c r="T21" s="231">
        <v>43120</v>
      </c>
      <c r="U21" s="235">
        <v>43289</v>
      </c>
      <c r="V21" s="231">
        <v>40818</v>
      </c>
      <c r="W21" s="231">
        <v>36860</v>
      </c>
      <c r="X21" s="231">
        <v>37463</v>
      </c>
      <c r="Y21" s="235">
        <v>39001</v>
      </c>
      <c r="Z21" s="231">
        <v>38127</v>
      </c>
      <c r="AA21" s="231">
        <v>40471</v>
      </c>
      <c r="AB21" s="231">
        <v>41718</v>
      </c>
      <c r="AC21" s="235">
        <v>44366</v>
      </c>
      <c r="AD21" s="231">
        <v>46311</v>
      </c>
      <c r="AE21" s="231">
        <v>44178</v>
      </c>
      <c r="AF21" s="231">
        <v>39254</v>
      </c>
      <c r="AG21" s="235">
        <v>39575</v>
      </c>
      <c r="AH21" s="198">
        <v>40686</v>
      </c>
      <c r="AI21" s="235">
        <v>39939</v>
      </c>
      <c r="AJ21" s="235">
        <v>40137</v>
      </c>
      <c r="AK21" s="235">
        <v>39231</v>
      </c>
      <c r="AL21" s="198">
        <v>37549</v>
      </c>
      <c r="AM21" s="235">
        <v>33566</v>
      </c>
      <c r="AN21" s="235">
        <v>26527</v>
      </c>
      <c r="AO21" s="235">
        <v>24449</v>
      </c>
      <c r="AP21" s="198"/>
      <c r="AQ21" s="270">
        <v>43373</v>
      </c>
      <c r="AR21" s="270">
        <v>50975</v>
      </c>
      <c r="AS21" s="270">
        <v>42979</v>
      </c>
      <c r="AT21" s="270">
        <v>51084</v>
      </c>
      <c r="AU21" s="300">
        <v>40818</v>
      </c>
      <c r="AV21" s="270">
        <v>38127</v>
      </c>
      <c r="AW21" s="270">
        <v>46311</v>
      </c>
      <c r="AX21" s="38">
        <v>-8184</v>
      </c>
      <c r="AY21" s="30">
        <v>-0.17671827427608991</v>
      </c>
      <c r="AZ21" s="198">
        <v>40686</v>
      </c>
      <c r="BA21" s="198">
        <v>37549</v>
      </c>
      <c r="BB21" s="175">
        <v>25750</v>
      </c>
      <c r="BC21" s="175">
        <v>13750</v>
      </c>
      <c r="BD21" s="175">
        <v>12373</v>
      </c>
      <c r="BE21" s="3"/>
      <c r="BF21" s="3"/>
      <c r="BI21" s="3"/>
    </row>
    <row r="22" spans="1:61" ht="12.75" hidden="1" customHeight="1" x14ac:dyDescent="0.2">
      <c r="A22" s="141"/>
      <c r="B22" s="82" t="s">
        <v>109</v>
      </c>
      <c r="C22" s="38">
        <v>0</v>
      </c>
      <c r="D22" s="30" t="e">
        <v>#DIV/0!</v>
      </c>
      <c r="E22" s="198"/>
      <c r="F22" s="33"/>
      <c r="G22" s="33"/>
      <c r="H22" s="33"/>
      <c r="I22" s="29"/>
      <c r="J22" s="33"/>
      <c r="K22" s="33"/>
      <c r="L22" s="33"/>
      <c r="M22" s="29"/>
      <c r="N22" s="33"/>
      <c r="O22" s="33"/>
      <c r="P22" s="33"/>
      <c r="Q22" s="29"/>
      <c r="R22" s="33"/>
      <c r="S22" s="33"/>
      <c r="T22" s="33"/>
      <c r="U22" s="29"/>
      <c r="V22" s="33"/>
      <c r="W22" s="33"/>
      <c r="X22" s="33"/>
      <c r="Y22" s="29">
        <v>0</v>
      </c>
      <c r="Z22" s="33">
        <v>0</v>
      </c>
      <c r="AA22" s="33">
        <v>0</v>
      </c>
      <c r="AB22" s="33">
        <v>0</v>
      </c>
      <c r="AC22" s="29">
        <v>0</v>
      </c>
      <c r="AD22" s="33">
        <v>0</v>
      </c>
      <c r="AE22" s="33">
        <v>0</v>
      </c>
      <c r="AF22" s="33">
        <v>0</v>
      </c>
      <c r="AG22" s="29">
        <v>0</v>
      </c>
      <c r="AH22" s="265">
        <v>0</v>
      </c>
      <c r="AI22" s="29">
        <v>0</v>
      </c>
      <c r="AJ22" s="29">
        <v>0</v>
      </c>
      <c r="AK22" s="29">
        <v>0</v>
      </c>
      <c r="AL22" s="265">
        <v>0</v>
      </c>
      <c r="AM22" s="29">
        <v>0</v>
      </c>
      <c r="AN22" s="29">
        <v>0</v>
      </c>
      <c r="AO22" s="29">
        <v>0</v>
      </c>
      <c r="AP22" s="198"/>
      <c r="AQ22" s="270">
        <v>0</v>
      </c>
      <c r="AR22" s="270">
        <v>0</v>
      </c>
      <c r="AS22" s="270">
        <v>0</v>
      </c>
      <c r="AT22" s="270">
        <v>0</v>
      </c>
      <c r="AU22" s="300">
        <v>0</v>
      </c>
      <c r="AV22" s="43">
        <v>0</v>
      </c>
      <c r="AW22" s="43">
        <v>0</v>
      </c>
      <c r="AX22" s="38">
        <v>0</v>
      </c>
      <c r="AY22" s="30" t="e">
        <v>#DIV/0!</v>
      </c>
      <c r="AZ22" s="265">
        <v>0</v>
      </c>
      <c r="BA22" s="29">
        <v>0</v>
      </c>
      <c r="BB22" s="175">
        <v>0</v>
      </c>
      <c r="BC22" s="175">
        <v>41618</v>
      </c>
      <c r="BD22" s="175">
        <v>28765</v>
      </c>
      <c r="BE22" s="3"/>
      <c r="BF22" s="3"/>
      <c r="BI22" s="3"/>
    </row>
    <row r="23" spans="1:61" ht="12.75" customHeight="1" x14ac:dyDescent="0.2">
      <c r="A23" s="141"/>
      <c r="B23" s="82" t="s">
        <v>110</v>
      </c>
      <c r="C23" s="38">
        <v>-6101</v>
      </c>
      <c r="D23" s="30">
        <v>-9.4361363344608439E-3</v>
      </c>
      <c r="E23" s="198"/>
      <c r="F23" s="156">
        <v>640456</v>
      </c>
      <c r="G23" s="156">
        <v>635618</v>
      </c>
      <c r="H23" s="754">
        <v>640766</v>
      </c>
      <c r="I23" s="28">
        <v>641258</v>
      </c>
      <c r="J23" s="754">
        <v>646557</v>
      </c>
      <c r="K23" s="156">
        <v>637928</v>
      </c>
      <c r="L23" s="754">
        <v>622766</v>
      </c>
      <c r="M23" s="28">
        <v>617369</v>
      </c>
      <c r="N23" s="754">
        <v>614969</v>
      </c>
      <c r="O23" s="156">
        <v>629268</v>
      </c>
      <c r="P23" s="754">
        <v>616444</v>
      </c>
      <c r="Q23" s="28">
        <v>617503</v>
      </c>
      <c r="R23" s="31">
        <v>622020</v>
      </c>
      <c r="S23" s="156">
        <v>354577</v>
      </c>
      <c r="T23" s="31">
        <v>317320</v>
      </c>
      <c r="U23" s="28">
        <v>318250</v>
      </c>
      <c r="V23" s="31">
        <v>319180</v>
      </c>
      <c r="W23" s="156">
        <v>316928</v>
      </c>
      <c r="X23" s="31">
        <v>317858</v>
      </c>
      <c r="Y23" s="28">
        <v>319685</v>
      </c>
      <c r="Z23" s="33">
        <v>0</v>
      </c>
      <c r="AA23" s="436">
        <v>0</v>
      </c>
      <c r="AB23" s="33">
        <v>0</v>
      </c>
      <c r="AC23" s="29">
        <v>0</v>
      </c>
      <c r="AD23" s="33">
        <v>0</v>
      </c>
      <c r="AE23" s="436">
        <v>0</v>
      </c>
      <c r="AF23" s="231">
        <v>31815</v>
      </c>
      <c r="AG23" s="235">
        <v>32167</v>
      </c>
      <c r="AH23" s="198">
        <v>32520</v>
      </c>
      <c r="AI23" s="235">
        <v>32873</v>
      </c>
      <c r="AJ23" s="235">
        <v>33227</v>
      </c>
      <c r="AK23" s="235">
        <v>33580</v>
      </c>
      <c r="AL23" s="198">
        <v>33933</v>
      </c>
      <c r="AM23" s="235">
        <v>26869</v>
      </c>
      <c r="AN23" s="235">
        <v>27222</v>
      </c>
      <c r="AO23" s="235">
        <v>27575</v>
      </c>
      <c r="AP23" s="198"/>
      <c r="AQ23" s="270">
        <v>640456</v>
      </c>
      <c r="AR23" s="270">
        <v>646557</v>
      </c>
      <c r="AS23" s="270">
        <v>614969</v>
      </c>
      <c r="AT23" s="270">
        <v>622020</v>
      </c>
      <c r="AU23" s="300">
        <v>319180</v>
      </c>
      <c r="AV23" s="43">
        <v>0</v>
      </c>
      <c r="AW23" s="43">
        <v>0</v>
      </c>
      <c r="AX23" s="38">
        <v>0</v>
      </c>
      <c r="AY23" s="30" t="e">
        <v>#DIV/0!</v>
      </c>
      <c r="AZ23" s="198">
        <v>32520</v>
      </c>
      <c r="BA23" s="198">
        <v>33933</v>
      </c>
      <c r="BB23" s="175">
        <v>27929</v>
      </c>
      <c r="BC23" s="175">
        <v>0</v>
      </c>
      <c r="BD23" s="175"/>
      <c r="BE23" s="3"/>
      <c r="BF23" s="3"/>
      <c r="BI23" s="3"/>
    </row>
    <row r="24" spans="1:61" s="95" customFormat="1" ht="12.75" customHeight="1" thickBot="1" x14ac:dyDescent="0.25">
      <c r="A24" s="141" t="s">
        <v>9</v>
      </c>
      <c r="B24" s="141"/>
      <c r="C24" s="1441">
        <v>-644717</v>
      </c>
      <c r="D24" s="466">
        <v>-0.12856741744442551</v>
      </c>
      <c r="E24" s="542"/>
      <c r="F24" s="257">
        <v>4369905</v>
      </c>
      <c r="G24" s="257">
        <v>3930036</v>
      </c>
      <c r="H24" s="257">
        <v>4719202</v>
      </c>
      <c r="I24" s="258">
        <v>4371138</v>
      </c>
      <c r="J24" s="257">
        <v>5014622</v>
      </c>
      <c r="K24" s="257">
        <v>4122920</v>
      </c>
      <c r="L24" s="257">
        <v>4245682</v>
      </c>
      <c r="M24" s="258">
        <v>5327433</v>
      </c>
      <c r="N24" s="257">
        <v>4603502</v>
      </c>
      <c r="O24" s="257">
        <v>4977201</v>
      </c>
      <c r="P24" s="257">
        <v>5102481</v>
      </c>
      <c r="Q24" s="258">
        <v>5105838</v>
      </c>
      <c r="R24" s="257">
        <v>5762723</v>
      </c>
      <c r="S24" s="257">
        <v>4439877</v>
      </c>
      <c r="T24" s="257">
        <v>5665166</v>
      </c>
      <c r="U24" s="258">
        <v>4429105</v>
      </c>
      <c r="V24" s="257">
        <v>5097500</v>
      </c>
      <c r="W24" s="257">
        <v>4555884</v>
      </c>
      <c r="X24" s="257">
        <v>5261916</v>
      </c>
      <c r="Y24" s="258">
        <v>3961904</v>
      </c>
      <c r="Z24" s="257">
        <v>3123848</v>
      </c>
      <c r="AA24" s="257">
        <v>2583857</v>
      </c>
      <c r="AB24" s="257">
        <v>3407005</v>
      </c>
      <c r="AC24" s="258">
        <v>2184790</v>
      </c>
      <c r="AD24" s="257">
        <v>2022099</v>
      </c>
      <c r="AE24" s="435">
        <v>1679685</v>
      </c>
      <c r="AF24" s="257">
        <v>1942070</v>
      </c>
      <c r="AG24" s="258">
        <v>2333893</v>
      </c>
      <c r="AH24" s="259">
        <v>2098718</v>
      </c>
      <c r="AI24" s="258">
        <v>1972741</v>
      </c>
      <c r="AJ24" s="258">
        <v>2525725</v>
      </c>
      <c r="AK24" s="258">
        <v>2693627</v>
      </c>
      <c r="AL24" s="259">
        <v>2609942</v>
      </c>
      <c r="AM24" s="258">
        <v>1794143</v>
      </c>
      <c r="AN24" s="258">
        <v>1665413</v>
      </c>
      <c r="AO24" s="258">
        <v>1789397</v>
      </c>
      <c r="AP24" s="542"/>
      <c r="AQ24" s="882">
        <v>4369905</v>
      </c>
      <c r="AR24" s="882">
        <v>5014622</v>
      </c>
      <c r="AS24" s="882">
        <v>4603502</v>
      </c>
      <c r="AT24" s="882">
        <v>5762723</v>
      </c>
      <c r="AU24" s="882">
        <v>5097500</v>
      </c>
      <c r="AV24" s="882">
        <v>3123848</v>
      </c>
      <c r="AW24" s="882">
        <v>2022099</v>
      </c>
      <c r="AX24" s="38">
        <v>1101749</v>
      </c>
      <c r="AY24" s="30">
        <v>0.54485413424367457</v>
      </c>
      <c r="AZ24" s="259">
        <v>2098718</v>
      </c>
      <c r="BA24" s="259">
        <v>2609942</v>
      </c>
      <c r="BB24" s="322">
        <v>2177973</v>
      </c>
      <c r="BC24" s="322">
        <v>1638165</v>
      </c>
      <c r="BD24" s="322">
        <v>1508366</v>
      </c>
      <c r="BE24" s="207"/>
      <c r="BF24" s="207"/>
      <c r="BI24" s="207"/>
    </row>
    <row r="25" spans="1:61" ht="12.75" customHeight="1" thickTop="1" x14ac:dyDescent="0.2">
      <c r="A25" s="82"/>
      <c r="B25" s="82"/>
      <c r="C25" s="234"/>
      <c r="D25" s="30"/>
      <c r="E25" s="198"/>
      <c r="F25" s="745"/>
      <c r="G25" s="745"/>
      <c r="H25" s="745"/>
      <c r="I25" s="746"/>
      <c r="J25" s="745"/>
      <c r="K25" s="745"/>
      <c r="L25" s="745"/>
      <c r="M25" s="746"/>
      <c r="N25" s="745"/>
      <c r="O25" s="745"/>
      <c r="P25" s="745"/>
      <c r="Q25" s="746"/>
      <c r="R25" s="687"/>
      <c r="S25" s="687"/>
      <c r="T25" s="231"/>
      <c r="U25" s="235"/>
      <c r="V25" s="231"/>
      <c r="W25" s="231"/>
      <c r="X25" s="231"/>
      <c r="Y25" s="235"/>
      <c r="Z25" s="231"/>
      <c r="AA25" s="231"/>
      <c r="AB25" s="231"/>
      <c r="AC25" s="235"/>
      <c r="AD25" s="231"/>
      <c r="AE25" s="231"/>
      <c r="AF25" s="231"/>
      <c r="AG25" s="235"/>
      <c r="AH25" s="198"/>
      <c r="AI25" s="235"/>
      <c r="AJ25" s="235"/>
      <c r="AK25" s="235"/>
      <c r="AL25" s="198"/>
      <c r="AM25" s="235"/>
      <c r="AN25" s="235"/>
      <c r="AO25" s="235"/>
      <c r="AP25" s="198"/>
      <c r="AQ25" s="270"/>
      <c r="AR25" s="270"/>
      <c r="AS25" s="270"/>
      <c r="AT25" s="270"/>
      <c r="AU25" s="300"/>
      <c r="AV25" s="270"/>
      <c r="AW25" s="270"/>
      <c r="AX25" s="38">
        <v>0</v>
      </c>
      <c r="AY25" s="30" t="e">
        <v>#DIV/0!</v>
      </c>
      <c r="AZ25" s="198"/>
      <c r="BA25" s="198"/>
      <c r="BB25" s="175"/>
      <c r="BC25" s="175"/>
      <c r="BD25" s="175"/>
      <c r="BE25" s="3"/>
      <c r="BF25" s="3"/>
      <c r="BI25" s="3"/>
    </row>
    <row r="26" spans="1:61" ht="12.75" customHeight="1" x14ac:dyDescent="0.2">
      <c r="A26" s="141" t="s">
        <v>265</v>
      </c>
      <c r="B26" s="82"/>
      <c r="C26" s="234"/>
      <c r="D26" s="30"/>
      <c r="E26" s="198"/>
      <c r="F26" s="745"/>
      <c r="G26" s="745"/>
      <c r="H26" s="745"/>
      <c r="I26" s="746"/>
      <c r="J26" s="745"/>
      <c r="K26" s="745"/>
      <c r="L26" s="745"/>
      <c r="M26" s="746"/>
      <c r="N26" s="745"/>
      <c r="O26" s="745"/>
      <c r="P26" s="745"/>
      <c r="Q26" s="746"/>
      <c r="R26" s="687"/>
      <c r="S26" s="687"/>
      <c r="T26" s="231"/>
      <c r="U26" s="235"/>
      <c r="V26" s="231"/>
      <c r="W26" s="231"/>
      <c r="X26" s="231"/>
      <c r="Y26" s="235"/>
      <c r="Z26" s="231"/>
      <c r="AA26" s="231"/>
      <c r="AB26" s="231"/>
      <c r="AC26" s="235"/>
      <c r="AD26" s="231"/>
      <c r="AE26" s="231"/>
      <c r="AF26" s="231"/>
      <c r="AG26" s="235"/>
      <c r="AH26" s="198"/>
      <c r="AI26" s="235"/>
      <c r="AJ26" s="235"/>
      <c r="AK26" s="235"/>
      <c r="AL26" s="198"/>
      <c r="AM26" s="235"/>
      <c r="AN26" s="235"/>
      <c r="AO26" s="235"/>
      <c r="AP26" s="198"/>
      <c r="AQ26" s="270"/>
      <c r="AR26" s="270"/>
      <c r="AS26" s="270"/>
      <c r="AT26" s="270"/>
      <c r="AU26" s="300"/>
      <c r="AV26" s="270"/>
      <c r="AW26" s="270"/>
      <c r="AX26" s="38">
        <v>0</v>
      </c>
      <c r="AY26" s="30" t="e">
        <v>#DIV/0!</v>
      </c>
      <c r="AZ26" s="198"/>
      <c r="BA26" s="198"/>
      <c r="BB26" s="175"/>
      <c r="BC26" s="175"/>
      <c r="BD26" s="175"/>
      <c r="BE26" s="3"/>
      <c r="BF26" s="3"/>
      <c r="BI26" s="3"/>
    </row>
    <row r="27" spans="1:61" ht="12.75" customHeight="1" x14ac:dyDescent="0.2">
      <c r="A27" s="82"/>
      <c r="B27" s="82" t="s">
        <v>111</v>
      </c>
      <c r="C27" s="686">
        <v>20264</v>
      </c>
      <c r="D27" s="742" t="s">
        <v>42</v>
      </c>
      <c r="E27" s="1416"/>
      <c r="F27" s="754">
        <v>20264</v>
      </c>
      <c r="G27" s="754">
        <v>0</v>
      </c>
      <c r="H27" s="754">
        <v>0</v>
      </c>
      <c r="I27" s="29">
        <v>0</v>
      </c>
      <c r="J27" s="251">
        <v>0</v>
      </c>
      <c r="K27" s="754">
        <v>85080</v>
      </c>
      <c r="L27" s="754">
        <v>83430</v>
      </c>
      <c r="M27" s="746">
        <v>84185</v>
      </c>
      <c r="N27" s="251">
        <v>66138</v>
      </c>
      <c r="O27" s="33">
        <v>0</v>
      </c>
      <c r="P27" s="754">
        <v>29475</v>
      </c>
      <c r="Q27" s="746">
        <v>84536</v>
      </c>
      <c r="R27" s="687">
        <v>75141</v>
      </c>
      <c r="S27" s="33">
        <v>0</v>
      </c>
      <c r="T27" s="33">
        <v>0</v>
      </c>
      <c r="U27" s="235">
        <v>24125</v>
      </c>
      <c r="V27" s="231">
        <v>13580</v>
      </c>
      <c r="W27" s="231">
        <v>34913</v>
      </c>
      <c r="X27" s="421">
        <v>64733</v>
      </c>
      <c r="Y27" s="235">
        <v>82992</v>
      </c>
      <c r="Z27" s="231">
        <v>29435</v>
      </c>
      <c r="AA27" s="231">
        <v>44600</v>
      </c>
      <c r="AB27" s="421">
        <v>85600</v>
      </c>
      <c r="AC27" s="235">
        <v>105788</v>
      </c>
      <c r="AD27" s="231">
        <v>75600</v>
      </c>
      <c r="AE27" s="231">
        <v>39040</v>
      </c>
      <c r="AF27" s="421">
        <v>6854</v>
      </c>
      <c r="AG27" s="29">
        <v>0</v>
      </c>
      <c r="AH27" s="198">
        <v>15038</v>
      </c>
      <c r="AI27" s="29">
        <v>0</v>
      </c>
      <c r="AJ27" s="235">
        <v>48130</v>
      </c>
      <c r="AK27" s="235">
        <v>2265</v>
      </c>
      <c r="AL27" s="265">
        <v>0</v>
      </c>
      <c r="AM27" s="29">
        <v>0</v>
      </c>
      <c r="AN27" s="29">
        <v>0</v>
      </c>
      <c r="AO27" s="235">
        <v>556</v>
      </c>
      <c r="AP27" s="198"/>
      <c r="AQ27" s="270">
        <v>20264</v>
      </c>
      <c r="AR27" s="270">
        <v>0</v>
      </c>
      <c r="AS27" s="270">
        <v>66138</v>
      </c>
      <c r="AT27" s="270">
        <v>75141</v>
      </c>
      <c r="AU27" s="300">
        <v>13580</v>
      </c>
      <c r="AV27" s="270">
        <v>29435</v>
      </c>
      <c r="AW27" s="270">
        <v>75600</v>
      </c>
      <c r="AX27" s="38">
        <v>-46165</v>
      </c>
      <c r="AY27" s="30">
        <v>-0.61064814814814816</v>
      </c>
      <c r="AZ27" s="198">
        <v>15038</v>
      </c>
      <c r="BA27" s="29">
        <v>0</v>
      </c>
      <c r="BB27" s="175">
        <v>4684</v>
      </c>
      <c r="BC27" s="175">
        <v>0</v>
      </c>
      <c r="BD27" s="175">
        <v>2541</v>
      </c>
      <c r="BE27" s="3"/>
      <c r="BF27" s="3"/>
      <c r="BI27" s="3"/>
    </row>
    <row r="28" spans="1:61" s="95" customFormat="1" ht="12.75" customHeight="1" x14ac:dyDescent="0.2">
      <c r="A28" s="82"/>
      <c r="B28" s="82" t="s">
        <v>276</v>
      </c>
      <c r="C28" s="686">
        <v>0</v>
      </c>
      <c r="D28" s="742">
        <v>0</v>
      </c>
      <c r="E28" s="198"/>
      <c r="F28" s="33">
        <v>0</v>
      </c>
      <c r="G28" s="33">
        <v>0</v>
      </c>
      <c r="H28" s="33">
        <v>0</v>
      </c>
      <c r="I28" s="29">
        <v>0</v>
      </c>
      <c r="J28" s="754">
        <v>0</v>
      </c>
      <c r="K28" s="33">
        <v>0</v>
      </c>
      <c r="L28" s="33">
        <v>0</v>
      </c>
      <c r="M28" s="29">
        <v>0</v>
      </c>
      <c r="N28" s="754">
        <v>0</v>
      </c>
      <c r="O28" s="33">
        <v>0</v>
      </c>
      <c r="P28" s="33">
        <v>0</v>
      </c>
      <c r="Q28" s="29">
        <v>0</v>
      </c>
      <c r="R28" s="421">
        <v>150000</v>
      </c>
      <c r="S28" s="33">
        <v>0</v>
      </c>
      <c r="T28" s="33">
        <v>0</v>
      </c>
      <c r="U28" s="29">
        <v>0</v>
      </c>
      <c r="V28" s="33">
        <v>0</v>
      </c>
      <c r="W28" s="33">
        <v>0</v>
      </c>
      <c r="X28" s="33">
        <v>0</v>
      </c>
      <c r="Y28" s="29">
        <v>0</v>
      </c>
      <c r="Z28" s="33">
        <v>0</v>
      </c>
      <c r="AA28" s="33"/>
      <c r="AB28" s="33"/>
      <c r="AC28" s="29"/>
      <c r="AD28" s="33"/>
      <c r="AE28" s="33"/>
      <c r="AF28" s="33"/>
      <c r="AG28" s="29"/>
      <c r="AH28" s="265"/>
      <c r="AI28" s="29"/>
      <c r="AJ28" s="29"/>
      <c r="AK28" s="29"/>
      <c r="AL28" s="265"/>
      <c r="AM28" s="29"/>
      <c r="AN28" s="29"/>
      <c r="AO28" s="29"/>
      <c r="AP28" s="198"/>
      <c r="AQ28" s="270">
        <v>0</v>
      </c>
      <c r="AR28" s="270">
        <v>0</v>
      </c>
      <c r="AS28" s="270">
        <v>0</v>
      </c>
      <c r="AT28" s="270">
        <v>150000</v>
      </c>
      <c r="AU28" s="43">
        <v>0</v>
      </c>
      <c r="AV28" s="43">
        <v>0</v>
      </c>
      <c r="AW28" s="43">
        <v>0</v>
      </c>
      <c r="AX28" s="38"/>
      <c r="AY28" s="30"/>
      <c r="AZ28" s="265">
        <v>0</v>
      </c>
      <c r="BA28" s="29"/>
      <c r="BB28" s="175"/>
      <c r="BC28" s="175"/>
      <c r="BD28" s="175"/>
      <c r="BE28" s="207"/>
      <c r="BF28" s="207"/>
      <c r="BI28" s="207"/>
    </row>
    <row r="29" spans="1:61" ht="12.75" customHeight="1" x14ac:dyDescent="0.2">
      <c r="A29" s="82"/>
      <c r="B29" s="724" t="s">
        <v>300</v>
      </c>
      <c r="C29" s="515">
        <v>-259274</v>
      </c>
      <c r="D29" s="30">
        <v>-0.28369658818727822</v>
      </c>
      <c r="E29" s="198"/>
      <c r="F29" s="745">
        <v>654639</v>
      </c>
      <c r="G29" s="745">
        <v>839826</v>
      </c>
      <c r="H29" s="745">
        <v>777237</v>
      </c>
      <c r="I29" s="746">
        <v>564166</v>
      </c>
      <c r="J29" s="745">
        <v>913913</v>
      </c>
      <c r="K29" s="745">
        <v>816037</v>
      </c>
      <c r="L29" s="745">
        <v>718815</v>
      </c>
      <c r="M29" s="746">
        <v>1215685</v>
      </c>
      <c r="N29" s="745">
        <v>689020</v>
      </c>
      <c r="O29" s="745">
        <v>1193043</v>
      </c>
      <c r="P29" s="745">
        <v>847665</v>
      </c>
      <c r="Q29" s="746">
        <v>1036535</v>
      </c>
      <c r="R29" s="687">
        <v>914649</v>
      </c>
      <c r="S29" s="687">
        <v>952750</v>
      </c>
      <c r="T29" s="231">
        <v>1117268</v>
      </c>
      <c r="U29" s="235">
        <v>731730</v>
      </c>
      <c r="V29" s="231">
        <v>722613</v>
      </c>
      <c r="W29" s="231">
        <v>853869</v>
      </c>
      <c r="X29" s="231">
        <v>1236229</v>
      </c>
      <c r="Y29" s="235">
        <v>702976</v>
      </c>
      <c r="Z29" s="231">
        <v>364137</v>
      </c>
      <c r="AA29" s="231">
        <v>324877</v>
      </c>
      <c r="AB29" s="231">
        <v>382209</v>
      </c>
      <c r="AC29" s="235">
        <v>56318</v>
      </c>
      <c r="AD29" s="231">
        <v>79426</v>
      </c>
      <c r="AE29" s="231">
        <v>62151</v>
      </c>
      <c r="AF29" s="231">
        <v>15194</v>
      </c>
      <c r="AG29" s="235">
        <v>32227</v>
      </c>
      <c r="AH29" s="198">
        <v>13757</v>
      </c>
      <c r="AI29" s="235">
        <v>96383</v>
      </c>
      <c r="AJ29" s="235">
        <v>48784</v>
      </c>
      <c r="AK29" s="235">
        <v>85222</v>
      </c>
      <c r="AL29" s="198">
        <v>41176</v>
      </c>
      <c r="AM29" s="235">
        <v>54467</v>
      </c>
      <c r="AN29" s="235">
        <v>25926</v>
      </c>
      <c r="AO29" s="235">
        <v>109923</v>
      </c>
      <c r="AP29" s="198"/>
      <c r="AQ29" s="270">
        <v>654639</v>
      </c>
      <c r="AR29" s="270">
        <v>913913</v>
      </c>
      <c r="AS29" s="270">
        <v>689020</v>
      </c>
      <c r="AT29" s="270">
        <v>914649</v>
      </c>
      <c r="AU29" s="300">
        <v>722613</v>
      </c>
      <c r="AV29" s="270">
        <v>364137</v>
      </c>
      <c r="AW29" s="270">
        <v>79426</v>
      </c>
      <c r="AX29" s="38">
        <v>284711</v>
      </c>
      <c r="AY29" s="30">
        <v>3.5846070556241028</v>
      </c>
      <c r="AZ29" s="198">
        <v>13757</v>
      </c>
      <c r="BA29" s="198">
        <v>41176</v>
      </c>
      <c r="BB29" s="175">
        <v>37169</v>
      </c>
      <c r="BC29" s="175">
        <v>105527</v>
      </c>
      <c r="BD29" s="175">
        <v>281723</v>
      </c>
      <c r="BE29" s="3"/>
      <c r="BF29" s="3"/>
      <c r="BI29" s="3"/>
    </row>
    <row r="30" spans="1:61" s="95" customFormat="1" ht="12.75" customHeight="1" x14ac:dyDescent="0.2">
      <c r="A30" s="82"/>
      <c r="B30" s="82" t="s">
        <v>252</v>
      </c>
      <c r="C30" s="515">
        <v>-346311</v>
      </c>
      <c r="D30" s="742">
        <v>-0.11990269597651464</v>
      </c>
      <c r="E30" s="198"/>
      <c r="F30" s="745">
        <v>2541956</v>
      </c>
      <c r="G30" s="745">
        <v>1948539</v>
      </c>
      <c r="H30" s="745">
        <v>2756351</v>
      </c>
      <c r="I30" s="746">
        <v>2637409</v>
      </c>
      <c r="J30" s="754">
        <v>2888267</v>
      </c>
      <c r="K30" s="745">
        <v>2064779</v>
      </c>
      <c r="L30" s="745">
        <v>2317668</v>
      </c>
      <c r="M30" s="746">
        <v>2915765</v>
      </c>
      <c r="N30" s="754">
        <v>2746790</v>
      </c>
      <c r="O30" s="745">
        <v>2681775</v>
      </c>
      <c r="P30" s="745">
        <v>3150580</v>
      </c>
      <c r="Q30" s="746">
        <v>2887434</v>
      </c>
      <c r="R30" s="31">
        <v>3590266</v>
      </c>
      <c r="S30" s="687">
        <v>2592774</v>
      </c>
      <c r="T30" s="231">
        <v>3663323</v>
      </c>
      <c r="U30" s="235">
        <v>2802669</v>
      </c>
      <c r="V30" s="231">
        <v>3557275</v>
      </c>
      <c r="W30" s="231">
        <v>2910423</v>
      </c>
      <c r="X30" s="231">
        <v>3257736</v>
      </c>
      <c r="Y30" s="235">
        <v>2483250</v>
      </c>
      <c r="Z30" s="231">
        <v>2308146</v>
      </c>
      <c r="AA30" s="231">
        <v>1794123</v>
      </c>
      <c r="AB30" s="231">
        <v>2535971</v>
      </c>
      <c r="AC30" s="235">
        <v>1622288</v>
      </c>
      <c r="AD30" s="231">
        <v>1469369</v>
      </c>
      <c r="AE30" s="231">
        <v>1195533</v>
      </c>
      <c r="AF30" s="231">
        <v>1480714</v>
      </c>
      <c r="AG30" s="235">
        <v>1836764</v>
      </c>
      <c r="AH30" s="198">
        <v>1687479</v>
      </c>
      <c r="AI30" s="235">
        <v>1461130</v>
      </c>
      <c r="AJ30" s="235">
        <v>2021498</v>
      </c>
      <c r="AK30" s="235">
        <v>2189371</v>
      </c>
      <c r="AL30" s="198">
        <v>2156540</v>
      </c>
      <c r="AM30" s="235">
        <v>1380767</v>
      </c>
      <c r="AN30" s="235">
        <v>1311248</v>
      </c>
      <c r="AO30" s="235">
        <v>1359198</v>
      </c>
      <c r="AP30" s="198"/>
      <c r="AQ30" s="270">
        <v>2541956</v>
      </c>
      <c r="AR30" s="270">
        <v>2888267</v>
      </c>
      <c r="AS30" s="270">
        <v>2746790</v>
      </c>
      <c r="AT30" s="270">
        <v>3590266</v>
      </c>
      <c r="AU30" s="300">
        <v>3557275</v>
      </c>
      <c r="AV30" s="270">
        <v>2308146</v>
      </c>
      <c r="AW30" s="270">
        <v>1469369</v>
      </c>
      <c r="AX30" s="38">
        <v>838777</v>
      </c>
      <c r="AY30" s="30">
        <v>0.57084163338140381</v>
      </c>
      <c r="AZ30" s="198">
        <v>1687479</v>
      </c>
      <c r="BA30" s="198">
        <v>2156540</v>
      </c>
      <c r="BB30" s="175">
        <v>1832956</v>
      </c>
      <c r="BC30" s="175">
        <v>1262072</v>
      </c>
      <c r="BD30" s="175">
        <v>1048395</v>
      </c>
      <c r="BE30" s="207"/>
      <c r="BF30" s="207"/>
      <c r="BI30" s="207"/>
    </row>
    <row r="31" spans="1:61" s="95" customFormat="1" ht="12.75" customHeight="1" x14ac:dyDescent="0.2">
      <c r="A31" s="82"/>
      <c r="B31" s="82" t="s">
        <v>112</v>
      </c>
      <c r="C31" s="686">
        <v>-2650</v>
      </c>
      <c r="D31" s="742">
        <v>-0.24487155793753465</v>
      </c>
      <c r="E31" s="198"/>
      <c r="F31" s="754">
        <v>8172</v>
      </c>
      <c r="G31" s="754">
        <v>6082</v>
      </c>
      <c r="H31" s="754">
        <v>11774</v>
      </c>
      <c r="I31" s="28">
        <v>10653</v>
      </c>
      <c r="J31" s="754">
        <v>10822</v>
      </c>
      <c r="K31" s="754">
        <v>0</v>
      </c>
      <c r="L31" s="33">
        <v>0</v>
      </c>
      <c r="M31" s="29">
        <v>0</v>
      </c>
      <c r="N31" s="754">
        <v>4428</v>
      </c>
      <c r="O31" s="754">
        <v>2494</v>
      </c>
      <c r="P31" s="33">
        <v>0</v>
      </c>
      <c r="Q31" s="29">
        <v>0</v>
      </c>
      <c r="R31" s="31">
        <v>0</v>
      </c>
      <c r="S31" s="31">
        <v>0</v>
      </c>
      <c r="T31" s="33">
        <v>0</v>
      </c>
      <c r="U31" s="29">
        <v>0</v>
      </c>
      <c r="V31" s="231">
        <v>23977</v>
      </c>
      <c r="W31" s="31">
        <v>8668</v>
      </c>
      <c r="X31" s="33">
        <v>0</v>
      </c>
      <c r="Y31" s="29">
        <v>0</v>
      </c>
      <c r="Z31" s="231">
        <v>5385</v>
      </c>
      <c r="AA31" s="31">
        <v>4590</v>
      </c>
      <c r="AB31" s="33">
        <v>0</v>
      </c>
      <c r="AC31" s="29">
        <v>0</v>
      </c>
      <c r="AD31" s="33">
        <v>0</v>
      </c>
      <c r="AE31" s="33">
        <v>0</v>
      </c>
      <c r="AF31" s="33">
        <v>0</v>
      </c>
      <c r="AG31" s="29">
        <v>0</v>
      </c>
      <c r="AH31" s="265">
        <v>0</v>
      </c>
      <c r="AI31" s="29">
        <v>0</v>
      </c>
      <c r="AJ31" s="29">
        <v>0</v>
      </c>
      <c r="AK31" s="235">
        <v>2528</v>
      </c>
      <c r="AL31" s="198">
        <v>15035</v>
      </c>
      <c r="AM31" s="235">
        <v>3681</v>
      </c>
      <c r="AN31" s="235">
        <v>1150</v>
      </c>
      <c r="AO31" s="235">
        <v>8522</v>
      </c>
      <c r="AP31" s="198"/>
      <c r="AQ31" s="270">
        <v>8172</v>
      </c>
      <c r="AR31" s="270">
        <v>10822</v>
      </c>
      <c r="AS31" s="270">
        <v>4428</v>
      </c>
      <c r="AT31" s="270">
        <v>0</v>
      </c>
      <c r="AU31" s="300">
        <v>23977</v>
      </c>
      <c r="AV31" s="43">
        <v>5385</v>
      </c>
      <c r="AW31" s="43">
        <v>0</v>
      </c>
      <c r="AX31" s="38">
        <v>5385</v>
      </c>
      <c r="AY31" s="30" t="e">
        <v>#DIV/0!</v>
      </c>
      <c r="AZ31" s="265">
        <v>0</v>
      </c>
      <c r="BA31" s="198">
        <v>15035</v>
      </c>
      <c r="BB31" s="175">
        <v>15334</v>
      </c>
      <c r="BC31" s="175">
        <v>6737</v>
      </c>
      <c r="BD31" s="175">
        <v>16905</v>
      </c>
      <c r="BE31" s="207"/>
      <c r="BF31" s="207"/>
      <c r="BI31" s="207"/>
    </row>
    <row r="32" spans="1:61" s="95" customFormat="1" ht="12.75" customHeight="1" x14ac:dyDescent="0.2">
      <c r="A32" s="724"/>
      <c r="B32" s="724" t="s">
        <v>332</v>
      </c>
      <c r="C32" s="686">
        <v>0</v>
      </c>
      <c r="D32" s="742">
        <v>0</v>
      </c>
      <c r="E32" s="744"/>
      <c r="F32" s="754">
        <v>0</v>
      </c>
      <c r="G32" s="754">
        <v>0</v>
      </c>
      <c r="H32" s="754">
        <v>0</v>
      </c>
      <c r="I32" s="28">
        <v>0</v>
      </c>
      <c r="J32" s="754">
        <v>0</v>
      </c>
      <c r="K32" s="754">
        <v>5988</v>
      </c>
      <c r="L32" s="754">
        <v>14288</v>
      </c>
      <c r="M32" s="28">
        <v>14218</v>
      </c>
      <c r="N32" s="754">
        <v>14218</v>
      </c>
      <c r="O32" s="754">
        <v>14218</v>
      </c>
      <c r="P32" s="754">
        <v>6000</v>
      </c>
      <c r="Q32" s="29">
        <v>0</v>
      </c>
      <c r="R32" s="754">
        <v>0</v>
      </c>
      <c r="S32" s="754">
        <v>0</v>
      </c>
      <c r="T32" s="33">
        <v>0</v>
      </c>
      <c r="U32" s="29">
        <v>0</v>
      </c>
      <c r="V32" s="33">
        <v>0</v>
      </c>
      <c r="W32" s="33">
        <v>0</v>
      </c>
      <c r="X32" s="33">
        <v>0</v>
      </c>
      <c r="Y32" s="29"/>
      <c r="Z32" s="745"/>
      <c r="AA32" s="754"/>
      <c r="AB32" s="33"/>
      <c r="AC32" s="29"/>
      <c r="AD32" s="33"/>
      <c r="AE32" s="33"/>
      <c r="AF32" s="33"/>
      <c r="AG32" s="29"/>
      <c r="AH32" s="265"/>
      <c r="AI32" s="29"/>
      <c r="AJ32" s="29"/>
      <c r="AK32" s="746"/>
      <c r="AL32" s="744"/>
      <c r="AM32" s="746"/>
      <c r="AN32" s="746"/>
      <c r="AO32" s="746"/>
      <c r="AP32" s="744"/>
      <c r="AQ32" s="270">
        <v>0</v>
      </c>
      <c r="AR32" s="270">
        <v>0</v>
      </c>
      <c r="AS32" s="270">
        <v>14218</v>
      </c>
      <c r="AT32" s="270">
        <v>0</v>
      </c>
      <c r="AU32" s="43">
        <v>0</v>
      </c>
      <c r="AV32" s="43">
        <v>0</v>
      </c>
      <c r="AW32" s="43">
        <v>0</v>
      </c>
      <c r="AX32" s="265">
        <v>0</v>
      </c>
      <c r="AY32" s="742"/>
      <c r="AZ32" s="265">
        <v>0</v>
      </c>
      <c r="BA32" s="746"/>
      <c r="BB32" s="616"/>
      <c r="BC32" s="616"/>
      <c r="BD32" s="616"/>
      <c r="BE32" s="207"/>
      <c r="BF32" s="207"/>
      <c r="BI32" s="207"/>
    </row>
    <row r="33" spans="1:61" s="95" customFormat="1" ht="12.75" customHeight="1" x14ac:dyDescent="0.2">
      <c r="A33" s="82"/>
      <c r="B33" s="724" t="s">
        <v>301</v>
      </c>
      <c r="C33" s="38">
        <v>-971</v>
      </c>
      <c r="D33" s="30">
        <v>-0.32067371202113604</v>
      </c>
      <c r="E33" s="198"/>
      <c r="F33" s="754">
        <v>2057</v>
      </c>
      <c r="G33" s="754">
        <v>3029</v>
      </c>
      <c r="H33" s="754">
        <v>1899</v>
      </c>
      <c r="I33" s="28">
        <v>4796</v>
      </c>
      <c r="J33" s="754">
        <v>3028</v>
      </c>
      <c r="K33" s="754">
        <v>4530</v>
      </c>
      <c r="L33" s="754">
        <v>1493</v>
      </c>
      <c r="M33" s="28">
        <v>1711</v>
      </c>
      <c r="N33" s="754">
        <v>2576</v>
      </c>
      <c r="O33" s="754">
        <v>3575</v>
      </c>
      <c r="P33" s="754">
        <v>3872</v>
      </c>
      <c r="Q33" s="28">
        <v>7482</v>
      </c>
      <c r="R33" s="31">
        <v>8088</v>
      </c>
      <c r="S33" s="31">
        <v>8840</v>
      </c>
      <c r="T33" s="31">
        <v>6082</v>
      </c>
      <c r="U33" s="28">
        <v>7340</v>
      </c>
      <c r="V33" s="31">
        <v>8163</v>
      </c>
      <c r="W33" s="31">
        <v>8285</v>
      </c>
      <c r="X33" s="31">
        <v>7688</v>
      </c>
      <c r="Y33" s="28">
        <v>6690</v>
      </c>
      <c r="Z33" s="33">
        <v>0</v>
      </c>
      <c r="AA33" s="33">
        <v>0</v>
      </c>
      <c r="AB33" s="33">
        <v>0</v>
      </c>
      <c r="AC33" s="29">
        <v>0</v>
      </c>
      <c r="AD33" s="33">
        <v>0</v>
      </c>
      <c r="AE33" s="33">
        <v>0</v>
      </c>
      <c r="AF33" s="33">
        <v>0</v>
      </c>
      <c r="AG33" s="29">
        <v>0</v>
      </c>
      <c r="AH33" s="265">
        <v>0</v>
      </c>
      <c r="AI33" s="29">
        <v>0</v>
      </c>
      <c r="AJ33" s="29">
        <v>0</v>
      </c>
      <c r="AK33" s="29">
        <v>0</v>
      </c>
      <c r="AL33" s="265">
        <v>0</v>
      </c>
      <c r="AM33" s="29">
        <v>0</v>
      </c>
      <c r="AN33" s="29">
        <v>0</v>
      </c>
      <c r="AO33" s="29">
        <v>0</v>
      </c>
      <c r="AP33" s="198"/>
      <c r="AQ33" s="270">
        <v>2057</v>
      </c>
      <c r="AR33" s="270">
        <v>3028</v>
      </c>
      <c r="AS33" s="270">
        <v>2576</v>
      </c>
      <c r="AT33" s="270">
        <v>8088</v>
      </c>
      <c r="AU33" s="300">
        <v>8163</v>
      </c>
      <c r="AV33" s="43">
        <v>0</v>
      </c>
      <c r="AW33" s="43">
        <v>0</v>
      </c>
      <c r="AX33" s="38">
        <v>0</v>
      </c>
      <c r="AY33" s="30" t="e">
        <v>#DIV/0!</v>
      </c>
      <c r="AZ33" s="265">
        <v>0</v>
      </c>
      <c r="BA33" s="29">
        <v>0</v>
      </c>
      <c r="BB33" s="175">
        <v>0</v>
      </c>
      <c r="BC33" s="175">
        <v>0</v>
      </c>
      <c r="BD33" s="175">
        <v>973</v>
      </c>
      <c r="BE33" s="207"/>
      <c r="BF33" s="207"/>
      <c r="BI33" s="207"/>
    </row>
    <row r="34" spans="1:61" s="95" customFormat="1" ht="12.75" customHeight="1" x14ac:dyDescent="0.2">
      <c r="A34" s="82"/>
      <c r="B34" s="724" t="s">
        <v>113</v>
      </c>
      <c r="C34" s="39">
        <v>0</v>
      </c>
      <c r="D34" s="30">
        <v>0</v>
      </c>
      <c r="E34" s="198"/>
      <c r="F34" s="745">
        <v>15000</v>
      </c>
      <c r="G34" s="745">
        <v>15000</v>
      </c>
      <c r="H34" s="745">
        <v>15000</v>
      </c>
      <c r="I34" s="746">
        <v>15000</v>
      </c>
      <c r="J34" s="745">
        <v>15000</v>
      </c>
      <c r="K34" s="745">
        <v>15000</v>
      </c>
      <c r="L34" s="745">
        <v>15000</v>
      </c>
      <c r="M34" s="746">
        <v>15000</v>
      </c>
      <c r="N34" s="745">
        <v>15000</v>
      </c>
      <c r="O34" s="745">
        <v>15000</v>
      </c>
      <c r="P34" s="745">
        <v>15000</v>
      </c>
      <c r="Q34" s="746">
        <v>15000</v>
      </c>
      <c r="R34" s="687">
        <v>15000</v>
      </c>
      <c r="S34" s="687">
        <v>15000</v>
      </c>
      <c r="T34" s="231">
        <v>15000</v>
      </c>
      <c r="U34" s="235">
        <v>15000</v>
      </c>
      <c r="V34" s="231">
        <v>15000</v>
      </c>
      <c r="W34" s="231">
        <v>15000</v>
      </c>
      <c r="X34" s="231">
        <v>15000</v>
      </c>
      <c r="Y34" s="235">
        <v>15000</v>
      </c>
      <c r="Z34" s="231">
        <v>15000</v>
      </c>
      <c r="AA34" s="231">
        <v>15000</v>
      </c>
      <c r="AB34" s="231">
        <v>15000</v>
      </c>
      <c r="AC34" s="235">
        <v>15000</v>
      </c>
      <c r="AD34" s="231">
        <v>25000</v>
      </c>
      <c r="AE34" s="231">
        <v>25000</v>
      </c>
      <c r="AF34" s="231">
        <v>25000</v>
      </c>
      <c r="AG34" s="235">
        <v>25000</v>
      </c>
      <c r="AH34" s="198">
        <v>25000</v>
      </c>
      <c r="AI34" s="235">
        <v>25000</v>
      </c>
      <c r="AJ34" s="235">
        <v>25000</v>
      </c>
      <c r="AK34" s="235">
        <v>25000</v>
      </c>
      <c r="AL34" s="198">
        <v>25000</v>
      </c>
      <c r="AM34" s="29">
        <v>0</v>
      </c>
      <c r="AN34" s="29">
        <v>0</v>
      </c>
      <c r="AO34" s="29">
        <v>0</v>
      </c>
      <c r="AP34" s="198"/>
      <c r="AQ34" s="270">
        <v>15000</v>
      </c>
      <c r="AR34" s="270">
        <v>15000</v>
      </c>
      <c r="AS34" s="270">
        <v>15000</v>
      </c>
      <c r="AT34" s="270">
        <v>15000</v>
      </c>
      <c r="AU34" s="300">
        <v>15000</v>
      </c>
      <c r="AV34" s="270">
        <v>15000</v>
      </c>
      <c r="AW34" s="270">
        <v>25000</v>
      </c>
      <c r="AX34" s="38">
        <v>-10000</v>
      </c>
      <c r="AY34" s="30">
        <v>-0.4</v>
      </c>
      <c r="AZ34" s="198">
        <v>25000</v>
      </c>
      <c r="BA34" s="198">
        <v>25000</v>
      </c>
      <c r="BB34" s="175">
        <v>0</v>
      </c>
      <c r="BC34" s="175">
        <v>0</v>
      </c>
      <c r="BD34" s="175">
        <v>10000</v>
      </c>
      <c r="BE34" s="207"/>
      <c r="BF34" s="207"/>
      <c r="BI34" s="207"/>
    </row>
    <row r="35" spans="1:61" s="95" customFormat="1" ht="12.75" customHeight="1" x14ac:dyDescent="0.2">
      <c r="A35" s="82"/>
      <c r="B35" s="724" t="s">
        <v>321</v>
      </c>
      <c r="C35" s="686">
        <v>-4637</v>
      </c>
      <c r="D35" s="742">
        <v>-0.31095761802575106</v>
      </c>
      <c r="E35" s="198"/>
      <c r="F35" s="754">
        <v>10275</v>
      </c>
      <c r="G35" s="754">
        <v>9608</v>
      </c>
      <c r="H35" s="754">
        <v>15130</v>
      </c>
      <c r="I35" s="28">
        <v>15821</v>
      </c>
      <c r="J35" s="754">
        <v>14912</v>
      </c>
      <c r="K35" s="754">
        <v>12110</v>
      </c>
      <c r="L35" s="754">
        <v>12375</v>
      </c>
      <c r="M35" s="28">
        <v>12244</v>
      </c>
      <c r="N35" s="754">
        <v>16169</v>
      </c>
      <c r="O35" s="754">
        <v>15913</v>
      </c>
      <c r="P35" s="754">
        <v>16047</v>
      </c>
      <c r="Q35" s="28">
        <v>16882</v>
      </c>
      <c r="R35" s="31">
        <v>17454</v>
      </c>
      <c r="S35" s="31">
        <v>18218</v>
      </c>
      <c r="T35" s="33">
        <v>0</v>
      </c>
      <c r="U35" s="29">
        <v>0</v>
      </c>
      <c r="V35" s="33">
        <v>0</v>
      </c>
      <c r="W35" s="33">
        <v>0</v>
      </c>
      <c r="X35" s="33">
        <v>0</v>
      </c>
      <c r="Y35" s="29">
        <v>0</v>
      </c>
      <c r="Z35" s="33">
        <v>0</v>
      </c>
      <c r="AA35" s="33">
        <v>0</v>
      </c>
      <c r="AB35" s="231"/>
      <c r="AC35" s="235"/>
      <c r="AD35" s="231"/>
      <c r="AE35" s="231"/>
      <c r="AF35" s="231"/>
      <c r="AG35" s="235"/>
      <c r="AH35" s="198"/>
      <c r="AI35" s="235"/>
      <c r="AJ35" s="235"/>
      <c r="AK35" s="235"/>
      <c r="AL35" s="198"/>
      <c r="AM35" s="29"/>
      <c r="AN35" s="29"/>
      <c r="AO35" s="29"/>
      <c r="AP35" s="198"/>
      <c r="AQ35" s="270">
        <v>10275</v>
      </c>
      <c r="AR35" s="270">
        <v>14912</v>
      </c>
      <c r="AS35" s="270">
        <v>16169</v>
      </c>
      <c r="AT35" s="270">
        <v>17454</v>
      </c>
      <c r="AU35" s="28">
        <v>0</v>
      </c>
      <c r="AV35" s="43">
        <v>0</v>
      </c>
      <c r="AW35" s="43">
        <v>0</v>
      </c>
      <c r="AX35" s="686">
        <v>0</v>
      </c>
      <c r="AY35" s="685" t="e">
        <v>#DIV/0!</v>
      </c>
      <c r="AZ35" s="265">
        <v>0</v>
      </c>
      <c r="BA35" s="29">
        <v>0</v>
      </c>
      <c r="BB35" s="616"/>
      <c r="BC35" s="616"/>
      <c r="BD35" s="616"/>
      <c r="BE35" s="207"/>
      <c r="BF35" s="207"/>
      <c r="BI35" s="207"/>
    </row>
    <row r="36" spans="1:61" s="95" customFormat="1" ht="12.75" customHeight="1" x14ac:dyDescent="0.2">
      <c r="A36" s="82"/>
      <c r="B36" s="82" t="s">
        <v>114</v>
      </c>
      <c r="C36" s="515">
        <v>-51138</v>
      </c>
      <c r="D36" s="30">
        <v>-4.3757059246329194E-2</v>
      </c>
      <c r="E36" s="198"/>
      <c r="F36" s="745">
        <v>1117542</v>
      </c>
      <c r="G36" s="745">
        <v>1107952</v>
      </c>
      <c r="H36" s="745">
        <v>1141811</v>
      </c>
      <c r="I36" s="746">
        <v>1123293</v>
      </c>
      <c r="J36" s="745">
        <v>1168680</v>
      </c>
      <c r="K36" s="745">
        <v>1119396</v>
      </c>
      <c r="L36" s="745">
        <v>1082613</v>
      </c>
      <c r="M36" s="746">
        <v>1068625</v>
      </c>
      <c r="N36" s="745">
        <v>1049163</v>
      </c>
      <c r="O36" s="745">
        <v>1051183</v>
      </c>
      <c r="P36" s="745">
        <v>1033842</v>
      </c>
      <c r="Q36" s="746">
        <v>1057969</v>
      </c>
      <c r="R36" s="687">
        <v>992125</v>
      </c>
      <c r="S36" s="687">
        <v>852295</v>
      </c>
      <c r="T36" s="231">
        <v>863493</v>
      </c>
      <c r="U36" s="235">
        <v>848241</v>
      </c>
      <c r="V36" s="231">
        <v>756892</v>
      </c>
      <c r="W36" s="231">
        <v>724726</v>
      </c>
      <c r="X36" s="231">
        <v>680530</v>
      </c>
      <c r="Y36" s="235">
        <v>670996</v>
      </c>
      <c r="Z36" s="231">
        <v>401745</v>
      </c>
      <c r="AA36" s="231">
        <v>400667</v>
      </c>
      <c r="AB36" s="231">
        <v>388225</v>
      </c>
      <c r="AC36" s="235">
        <v>385396</v>
      </c>
      <c r="AD36" s="231">
        <v>372704</v>
      </c>
      <c r="AE36" s="231">
        <v>357961</v>
      </c>
      <c r="AF36" s="231">
        <v>414308</v>
      </c>
      <c r="AG36" s="235">
        <v>439902</v>
      </c>
      <c r="AH36" s="198">
        <v>357444</v>
      </c>
      <c r="AI36" s="235">
        <v>390228</v>
      </c>
      <c r="AJ36" s="235">
        <v>382313</v>
      </c>
      <c r="AK36" s="235">
        <v>389241</v>
      </c>
      <c r="AL36" s="198">
        <v>372191</v>
      </c>
      <c r="AM36" s="235">
        <v>355228</v>
      </c>
      <c r="AN36" s="235">
        <v>327089</v>
      </c>
      <c r="AO36" s="235">
        <v>311198</v>
      </c>
      <c r="AP36" s="198"/>
      <c r="AQ36" s="270">
        <v>1117542</v>
      </c>
      <c r="AR36" s="270">
        <v>1168680</v>
      </c>
      <c r="AS36" s="270">
        <v>1049163</v>
      </c>
      <c r="AT36" s="270">
        <v>992125</v>
      </c>
      <c r="AU36" s="300">
        <v>756892</v>
      </c>
      <c r="AV36" s="270">
        <v>401745</v>
      </c>
      <c r="AW36" s="270">
        <v>372704</v>
      </c>
      <c r="AX36" s="38">
        <v>29041</v>
      </c>
      <c r="AY36" s="30">
        <v>7.7919743281531728E-2</v>
      </c>
      <c r="AZ36" s="198">
        <v>357444</v>
      </c>
      <c r="BA36" s="198">
        <v>372191</v>
      </c>
      <c r="BB36" s="175">
        <v>287830</v>
      </c>
      <c r="BC36" s="175">
        <v>222211</v>
      </c>
      <c r="BD36" s="175">
        <v>98687</v>
      </c>
      <c r="BE36" s="207"/>
      <c r="BF36" s="207"/>
      <c r="BI36" s="207"/>
    </row>
    <row r="37" spans="1:61" s="95" customFormat="1" ht="12.75" customHeight="1" thickBot="1" x14ac:dyDescent="0.25">
      <c r="A37" s="141" t="s">
        <v>264</v>
      </c>
      <c r="B37" s="141"/>
      <c r="C37" s="1441">
        <v>-644717</v>
      </c>
      <c r="D37" s="466">
        <v>-0.12856741744442551</v>
      </c>
      <c r="E37" s="542"/>
      <c r="F37" s="257">
        <v>4369905</v>
      </c>
      <c r="G37" s="257">
        <v>3930036</v>
      </c>
      <c r="H37" s="257">
        <v>4719202</v>
      </c>
      <c r="I37" s="258">
        <v>4371138</v>
      </c>
      <c r="J37" s="257">
        <v>5014622</v>
      </c>
      <c r="K37" s="257">
        <v>4122920</v>
      </c>
      <c r="L37" s="257">
        <v>4245682</v>
      </c>
      <c r="M37" s="258">
        <v>5327433</v>
      </c>
      <c r="N37" s="257">
        <v>4603502</v>
      </c>
      <c r="O37" s="257">
        <v>4977201</v>
      </c>
      <c r="P37" s="257">
        <v>5102481</v>
      </c>
      <c r="Q37" s="258">
        <v>5105838</v>
      </c>
      <c r="R37" s="257">
        <v>5762723</v>
      </c>
      <c r="S37" s="257">
        <v>4439877</v>
      </c>
      <c r="T37" s="257">
        <v>5665166</v>
      </c>
      <c r="U37" s="258">
        <v>4429105</v>
      </c>
      <c r="V37" s="257">
        <v>5097500</v>
      </c>
      <c r="W37" s="257">
        <v>4555884</v>
      </c>
      <c r="X37" s="257">
        <v>5261916</v>
      </c>
      <c r="Y37" s="258">
        <v>3961904</v>
      </c>
      <c r="Z37" s="257">
        <v>3123848</v>
      </c>
      <c r="AA37" s="257">
        <v>2583857</v>
      </c>
      <c r="AB37" s="257">
        <v>3407005</v>
      </c>
      <c r="AC37" s="258">
        <v>2184790</v>
      </c>
      <c r="AD37" s="257">
        <v>2022099</v>
      </c>
      <c r="AE37" s="257">
        <v>1679685</v>
      </c>
      <c r="AF37" s="257">
        <v>1942070</v>
      </c>
      <c r="AG37" s="258">
        <v>2333893</v>
      </c>
      <c r="AH37" s="259">
        <v>2098718</v>
      </c>
      <c r="AI37" s="258">
        <v>1972741</v>
      </c>
      <c r="AJ37" s="258">
        <v>2525725</v>
      </c>
      <c r="AK37" s="258">
        <v>2693627</v>
      </c>
      <c r="AL37" s="259">
        <v>2609942</v>
      </c>
      <c r="AM37" s="258">
        <v>1794143</v>
      </c>
      <c r="AN37" s="258">
        <v>1665413</v>
      </c>
      <c r="AO37" s="258">
        <v>1789397</v>
      </c>
      <c r="AP37" s="542"/>
      <c r="AQ37" s="882">
        <v>4369905</v>
      </c>
      <c r="AR37" s="882">
        <v>5014622</v>
      </c>
      <c r="AS37" s="882">
        <v>4603502</v>
      </c>
      <c r="AT37" s="882">
        <v>5762723</v>
      </c>
      <c r="AU37" s="883">
        <v>5097500</v>
      </c>
      <c r="AV37" s="882">
        <v>3123848</v>
      </c>
      <c r="AW37" s="882">
        <v>2022099</v>
      </c>
      <c r="AX37" s="38">
        <v>1101749</v>
      </c>
      <c r="AY37" s="30">
        <v>0.54485413424367457</v>
      </c>
      <c r="AZ37" s="259">
        <v>2098718</v>
      </c>
      <c r="BA37" s="259">
        <v>2609942</v>
      </c>
      <c r="BB37" s="322">
        <v>2177973</v>
      </c>
      <c r="BC37" s="322">
        <v>1638165</v>
      </c>
      <c r="BD37" s="322">
        <v>1508366</v>
      </c>
      <c r="BE37" s="702"/>
      <c r="BF37" s="207"/>
      <c r="BI37" s="207"/>
    </row>
    <row r="38" spans="1:61" ht="12.75" customHeight="1" thickTop="1" x14ac:dyDescent="0.2">
      <c r="A38" s="142"/>
      <c r="B38" s="142"/>
      <c r="C38" s="251"/>
      <c r="D38" s="41"/>
      <c r="E38" s="41"/>
      <c r="F38" s="755"/>
      <c r="G38" s="755"/>
      <c r="H38" s="755"/>
      <c r="I38" s="755"/>
      <c r="J38" s="755"/>
      <c r="K38" s="755"/>
      <c r="L38" s="755"/>
      <c r="M38" s="755"/>
      <c r="N38" s="755"/>
      <c r="O38" s="755"/>
      <c r="P38" s="755"/>
      <c r="Q38" s="755"/>
      <c r="R38" s="41"/>
      <c r="S38" s="41"/>
      <c r="T38" s="41"/>
      <c r="U38" s="41"/>
      <c r="V38" s="41"/>
      <c r="W38" s="41"/>
      <c r="X38" s="41"/>
      <c r="Y38" s="41"/>
      <c r="Z38" s="41"/>
      <c r="AA38" s="41"/>
      <c r="AB38" s="41"/>
      <c r="AC38" s="41"/>
      <c r="AD38" s="41"/>
      <c r="AE38" s="41"/>
      <c r="AF38" s="41"/>
      <c r="AG38" s="376"/>
      <c r="AH38" s="376"/>
      <c r="AI38" s="376"/>
      <c r="AJ38" s="376"/>
      <c r="AK38" s="376"/>
      <c r="AL38" s="376"/>
      <c r="AM38" s="376"/>
      <c r="AN38" s="376"/>
      <c r="AO38" s="376"/>
      <c r="AP38" s="240"/>
      <c r="AQ38" s="240"/>
      <c r="AR38" s="240"/>
      <c r="AS38" s="240"/>
      <c r="AT38" s="240"/>
      <c r="AU38" s="240"/>
      <c r="AV38" s="240"/>
      <c r="AW38" s="240"/>
      <c r="AX38" s="251"/>
      <c r="AY38" s="41"/>
      <c r="BE38" s="3"/>
      <c r="BF38" s="3"/>
      <c r="BI38" s="3"/>
    </row>
    <row r="39" spans="1:61" ht="12.75" customHeight="1" x14ac:dyDescent="0.2">
      <c r="A39" s="7" t="s">
        <v>439</v>
      </c>
      <c r="B39" s="13"/>
      <c r="Z39" s="252"/>
      <c r="AA39" s="252"/>
      <c r="AB39" s="252"/>
      <c r="AC39" s="252"/>
      <c r="AD39" s="252"/>
      <c r="AE39" s="252"/>
      <c r="AF39" s="252"/>
      <c r="AG39" s="2"/>
      <c r="AK39" s="2"/>
      <c r="AM39" s="2"/>
      <c r="AN39" s="2"/>
      <c r="AO39" s="253"/>
      <c r="AP39" s="242"/>
      <c r="AQ39" s="242"/>
      <c r="AR39" s="242"/>
      <c r="AS39" s="242"/>
      <c r="AT39" s="242"/>
      <c r="AU39" s="242"/>
      <c r="AV39" s="242"/>
      <c r="AW39" s="242"/>
      <c r="AX39" s="252"/>
      <c r="AY39" s="252"/>
      <c r="BD39" s="3"/>
      <c r="BE39" s="3"/>
      <c r="BF39" s="3"/>
    </row>
    <row r="40" spans="1:61" x14ac:dyDescent="0.2">
      <c r="A40" s="1" t="s">
        <v>29</v>
      </c>
      <c r="B40" s="3"/>
      <c r="C40" s="240"/>
      <c r="D40" s="240"/>
      <c r="E40" s="240"/>
      <c r="F40" s="240"/>
      <c r="G40" s="240"/>
      <c r="H40" s="240"/>
      <c r="I40" s="240"/>
      <c r="J40" s="240"/>
      <c r="K40" s="240"/>
      <c r="L40" s="240"/>
      <c r="M40" s="240"/>
      <c r="N40" s="240"/>
      <c r="O40" s="240"/>
      <c r="P40" s="240"/>
      <c r="Q40" s="240"/>
      <c r="R40" s="240"/>
      <c r="S40" s="240"/>
      <c r="T40" s="240"/>
      <c r="U40" s="240"/>
      <c r="V40" s="240"/>
      <c r="W40" s="240"/>
      <c r="X40" s="240"/>
      <c r="Y40" s="612"/>
      <c r="Z40" s="240"/>
      <c r="AA40" s="240"/>
      <c r="AB40" s="240"/>
      <c r="AC40" s="240"/>
      <c r="AD40" s="240"/>
      <c r="AE40" s="240"/>
      <c r="AF40" s="240"/>
      <c r="AG40" s="32"/>
      <c r="AH40" s="44"/>
      <c r="AI40" s="32"/>
      <c r="AK40" s="32"/>
      <c r="AL40" s="37"/>
      <c r="AM40" s="37"/>
      <c r="AN40" s="34"/>
      <c r="AO40" s="252"/>
      <c r="AP40" s="242"/>
      <c r="AQ40" s="242"/>
      <c r="AR40" s="242"/>
      <c r="AS40" s="242"/>
      <c r="AT40" s="242"/>
      <c r="AU40" s="242"/>
      <c r="AV40" s="242"/>
      <c r="AW40" s="242"/>
      <c r="AX40" s="240"/>
      <c r="AY40" s="240"/>
      <c r="AZ40" s="251"/>
      <c r="BA40" s="251"/>
      <c r="BD40" s="3"/>
      <c r="BE40" s="3"/>
      <c r="BF40" s="3"/>
    </row>
    <row r="41" spans="1:61" x14ac:dyDescent="0.2">
      <c r="A41" s="2"/>
      <c r="C41" s="82"/>
      <c r="D41" s="82"/>
      <c r="E41" s="146"/>
      <c r="F41" s="725"/>
      <c r="G41" s="725"/>
      <c r="H41" s="725"/>
      <c r="I41" s="725"/>
      <c r="J41" s="725"/>
      <c r="K41" s="725"/>
      <c r="L41" s="725"/>
      <c r="M41" s="725"/>
      <c r="N41" s="725"/>
      <c r="O41" s="725"/>
      <c r="P41" s="725"/>
      <c r="Q41" s="725"/>
      <c r="R41" s="146"/>
      <c r="S41" s="146"/>
      <c r="T41" s="146"/>
      <c r="U41" s="146"/>
      <c r="V41" s="146"/>
      <c r="W41" s="146"/>
      <c r="X41" s="146"/>
      <c r="Y41" s="146"/>
      <c r="Z41" s="146"/>
      <c r="AA41" s="146"/>
      <c r="AB41" s="146"/>
      <c r="AC41" s="146"/>
      <c r="AD41" s="146"/>
      <c r="AE41" s="146"/>
      <c r="AF41" s="146"/>
      <c r="AG41" s="240"/>
      <c r="AH41" s="242"/>
      <c r="AI41" s="242"/>
      <c r="AJ41" s="242"/>
      <c r="AK41" s="231"/>
      <c r="AL41" s="231"/>
      <c r="AM41" s="231"/>
      <c r="AN41" s="231"/>
      <c r="AO41" s="31"/>
      <c r="AP41" s="82"/>
      <c r="AQ41" s="724"/>
      <c r="AR41" s="724"/>
      <c r="AS41" s="724"/>
      <c r="AT41" s="82"/>
      <c r="AU41" s="82"/>
      <c r="AV41" s="82"/>
      <c r="AW41" s="82"/>
      <c r="AX41" s="82"/>
      <c r="AY41" s="165">
        <v>1072708</v>
      </c>
      <c r="AZ41" s="31"/>
      <c r="BA41" s="31"/>
      <c r="BD41" s="3"/>
      <c r="BE41" s="3"/>
      <c r="BF41" s="3"/>
    </row>
    <row r="42" spans="1:61" s="721" customFormat="1" x14ac:dyDescent="0.2">
      <c r="A42" s="7" t="s">
        <v>339</v>
      </c>
      <c r="C42" s="724"/>
      <c r="D42" s="724"/>
      <c r="E42" s="725"/>
      <c r="F42" s="725"/>
      <c r="G42" s="725"/>
      <c r="H42" s="725"/>
      <c r="I42" s="725"/>
      <c r="J42" s="725"/>
      <c r="K42" s="725"/>
      <c r="L42" s="725"/>
      <c r="M42" s="725"/>
      <c r="N42" s="725"/>
      <c r="O42" s="725"/>
      <c r="P42" s="725"/>
      <c r="Q42" s="725"/>
      <c r="R42" s="725"/>
      <c r="S42" s="725"/>
      <c r="T42" s="725"/>
      <c r="U42" s="725"/>
      <c r="V42" s="725"/>
      <c r="W42" s="725"/>
      <c r="X42" s="725"/>
      <c r="Y42" s="725"/>
      <c r="Z42" s="725"/>
      <c r="AA42" s="725"/>
      <c r="AB42" s="725"/>
      <c r="AC42" s="725"/>
      <c r="AD42" s="725"/>
      <c r="AE42" s="725"/>
      <c r="AF42" s="725"/>
      <c r="AG42" s="240"/>
      <c r="AH42" s="242"/>
      <c r="AI42" s="242"/>
      <c r="AJ42" s="242"/>
      <c r="AK42" s="745"/>
      <c r="AL42" s="745"/>
      <c r="AM42" s="745"/>
      <c r="AN42" s="745"/>
      <c r="AO42" s="754"/>
      <c r="AP42" s="724"/>
      <c r="AQ42" s="724"/>
      <c r="AR42" s="724"/>
      <c r="AS42" s="724"/>
      <c r="AT42" s="724"/>
      <c r="AU42" s="724"/>
      <c r="AV42" s="724"/>
      <c r="AW42" s="724"/>
      <c r="AX42" s="724"/>
      <c r="AY42" s="165"/>
      <c r="AZ42" s="754"/>
      <c r="BA42" s="754"/>
      <c r="BD42" s="722"/>
      <c r="BE42" s="722"/>
      <c r="BF42" s="722"/>
    </row>
    <row r="43" spans="1:61" s="721" customFormat="1" x14ac:dyDescent="0.2">
      <c r="C43" s="724"/>
      <c r="D43" s="724"/>
      <c r="E43" s="725"/>
      <c r="F43" s="725"/>
      <c r="G43" s="725"/>
      <c r="H43" s="536"/>
      <c r="I43" s="536"/>
      <c r="J43" s="536"/>
      <c r="K43" s="725"/>
      <c r="L43" s="725"/>
      <c r="M43" s="725"/>
      <c r="N43" s="725"/>
      <c r="O43" s="725"/>
      <c r="P43" s="725"/>
      <c r="Q43" s="725"/>
      <c r="R43" s="725"/>
      <c r="S43" s="725"/>
      <c r="T43" s="725"/>
      <c r="U43" s="725"/>
      <c r="V43" s="725"/>
      <c r="W43" s="725"/>
      <c r="X43" s="725"/>
      <c r="Y43" s="725"/>
      <c r="Z43" s="725"/>
      <c r="AA43" s="725"/>
      <c r="AB43" s="725"/>
      <c r="AC43" s="725"/>
      <c r="AD43" s="725"/>
      <c r="AE43" s="725"/>
      <c r="AF43" s="725"/>
      <c r="AG43" s="240"/>
      <c r="AH43" s="242"/>
      <c r="AI43" s="242"/>
      <c r="AJ43" s="242"/>
      <c r="AK43" s="745"/>
      <c r="AL43" s="745"/>
      <c r="AM43" s="745"/>
      <c r="AN43" s="745"/>
      <c r="AO43" s="754"/>
      <c r="AP43" s="724"/>
      <c r="AQ43" s="724"/>
      <c r="AR43" s="724"/>
      <c r="AS43" s="724"/>
      <c r="AT43" s="724"/>
      <c r="AU43" s="724"/>
      <c r="AV43" s="724"/>
      <c r="AW43" s="724"/>
      <c r="AX43" s="724"/>
      <c r="AY43" s="165"/>
      <c r="AZ43" s="754"/>
      <c r="BA43" s="754"/>
      <c r="BD43" s="722"/>
      <c r="BE43" s="722"/>
      <c r="BF43" s="722"/>
    </row>
    <row r="44" spans="1:61" s="721" customFormat="1" x14ac:dyDescent="0.2">
      <c r="B44" s="724"/>
      <c r="C44" s="678"/>
      <c r="D44" s="1428"/>
      <c r="E44" s="725"/>
      <c r="F44" s="1440"/>
      <c r="G44" s="1440"/>
      <c r="H44" s="725"/>
      <c r="I44" s="725"/>
      <c r="J44" s="725"/>
      <c r="K44" s="725"/>
      <c r="L44" s="725"/>
      <c r="M44" s="725"/>
      <c r="N44" s="725"/>
      <c r="O44" s="725"/>
      <c r="P44" s="725"/>
      <c r="Q44" s="725"/>
      <c r="R44" s="725"/>
      <c r="S44" s="725"/>
      <c r="T44" s="725"/>
      <c r="U44" s="725"/>
      <c r="V44" s="725"/>
      <c r="W44" s="725"/>
      <c r="X44" s="725"/>
      <c r="Y44" s="725"/>
      <c r="Z44" s="725"/>
      <c r="AA44" s="725"/>
      <c r="AB44" s="725"/>
      <c r="AC44" s="725"/>
      <c r="AD44" s="725"/>
      <c r="AE44" s="725"/>
      <c r="AF44" s="725"/>
      <c r="AG44" s="240"/>
      <c r="AH44" s="242"/>
      <c r="AI44" s="242"/>
      <c r="AJ44" s="242"/>
      <c r="AK44" s="745"/>
      <c r="AL44" s="745"/>
      <c r="AM44" s="745"/>
      <c r="AN44" s="745"/>
      <c r="AO44" s="754"/>
      <c r="AP44" s="724"/>
      <c r="AQ44" s="724"/>
      <c r="AR44" s="724"/>
      <c r="AS44" s="724"/>
      <c r="AT44" s="724"/>
      <c r="AU44" s="724"/>
      <c r="AV44" s="724"/>
      <c r="AW44" s="724"/>
      <c r="AX44" s="724"/>
      <c r="AY44" s="165"/>
      <c r="AZ44" s="754"/>
      <c r="BA44" s="754"/>
      <c r="BD44" s="722"/>
      <c r="BE44" s="722"/>
      <c r="BF44" s="722"/>
    </row>
    <row r="45" spans="1:61" x14ac:dyDescent="0.2">
      <c r="B45" s="724"/>
      <c r="C45" s="678"/>
      <c r="D45" s="1428"/>
      <c r="E45" s="146"/>
      <c r="F45" s="678"/>
      <c r="G45" s="678"/>
      <c r="H45" s="536"/>
      <c r="I45" s="536"/>
      <c r="J45" s="678"/>
      <c r="K45" s="678"/>
      <c r="L45" s="536"/>
      <c r="M45" s="536"/>
      <c r="N45" s="678"/>
      <c r="O45" s="678"/>
      <c r="P45" s="536"/>
      <c r="Q45" s="536"/>
      <c r="R45" s="678"/>
      <c r="S45" s="678"/>
      <c r="T45" s="536"/>
      <c r="U45" s="536"/>
      <c r="V45" s="678"/>
      <c r="W45" s="678"/>
      <c r="X45" s="536"/>
      <c r="Y45" s="146"/>
      <c r="Z45" s="146"/>
      <c r="AA45" s="146"/>
      <c r="AB45" s="146"/>
      <c r="AC45" s="146"/>
      <c r="AD45" s="146"/>
      <c r="AE45" s="146"/>
      <c r="AF45" s="146"/>
      <c r="AO45" s="31"/>
      <c r="AP45" s="82"/>
      <c r="AQ45" s="724"/>
      <c r="AR45" s="724"/>
      <c r="AS45" s="724"/>
      <c r="AT45" s="82"/>
      <c r="AU45" s="82"/>
      <c r="AV45" s="82"/>
      <c r="AW45" s="82"/>
      <c r="AX45" s="82"/>
      <c r="AY45" s="82"/>
      <c r="AZ45" s="7"/>
      <c r="BA45" s="7"/>
    </row>
    <row r="46" spans="1:61" x14ac:dyDescent="0.2">
      <c r="B46" s="724"/>
      <c r="C46" s="678"/>
      <c r="D46" s="1428"/>
      <c r="E46" s="146"/>
      <c r="F46" s="678"/>
      <c r="G46" s="678"/>
      <c r="H46" s="516"/>
      <c r="I46" s="516"/>
      <c r="J46" s="678"/>
      <c r="K46" s="678"/>
      <c r="L46" s="516"/>
      <c r="M46" s="516"/>
      <c r="N46" s="678"/>
      <c r="O46" s="678"/>
      <c r="P46" s="516"/>
      <c r="Q46" s="516"/>
      <c r="R46" s="678"/>
      <c r="S46" s="678"/>
      <c r="T46" s="516"/>
      <c r="U46" s="516"/>
      <c r="V46" s="678"/>
      <c r="W46" s="678"/>
      <c r="X46" s="516"/>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82"/>
      <c r="AY46" s="178"/>
      <c r="AZ46" s="323"/>
      <c r="BA46" s="323"/>
      <c r="BB46" s="323"/>
      <c r="BC46" s="323"/>
      <c r="BD46" s="323"/>
      <c r="BE46" s="3"/>
      <c r="BF46" s="3"/>
    </row>
    <row r="47" spans="1:61" x14ac:dyDescent="0.2">
      <c r="B47" s="724"/>
      <c r="C47" s="678"/>
      <c r="D47" s="1428"/>
      <c r="F47" s="593"/>
      <c r="G47" s="593"/>
      <c r="J47" s="592"/>
      <c r="K47" s="593"/>
      <c r="N47" s="592"/>
      <c r="O47" s="593"/>
      <c r="R47" s="592"/>
      <c r="S47" s="593"/>
      <c r="V47" s="592"/>
      <c r="W47" s="593"/>
      <c r="AO47" s="33"/>
      <c r="AZ47" s="2"/>
      <c r="BA47" s="2"/>
    </row>
    <row r="48" spans="1:61" x14ac:dyDescent="0.2">
      <c r="B48" s="724"/>
      <c r="C48" s="678"/>
      <c r="D48" s="1428"/>
      <c r="I48" s="664"/>
      <c r="AO48" s="150"/>
      <c r="AZ48" s="2"/>
      <c r="BA48" s="2"/>
    </row>
    <row r="49" spans="2:53" x14ac:dyDescent="0.2">
      <c r="B49" s="724"/>
      <c r="C49" s="678"/>
      <c r="D49" s="1428"/>
      <c r="F49" s="594"/>
      <c r="G49" s="594"/>
      <c r="J49" s="594"/>
      <c r="K49" s="594"/>
      <c r="N49" s="594"/>
      <c r="O49" s="594"/>
      <c r="R49" s="594"/>
      <c r="S49" s="594"/>
      <c r="V49" s="594"/>
      <c r="W49" s="594"/>
      <c r="AO49" s="2"/>
      <c r="AZ49" s="51"/>
      <c r="BA49" s="51"/>
    </row>
    <row r="50" spans="2:53" x14ac:dyDescent="0.2">
      <c r="B50" s="724"/>
      <c r="C50" s="678"/>
      <c r="D50" s="1428"/>
      <c r="AO50" s="1"/>
      <c r="AZ50" s="51"/>
      <c r="BA50" s="51"/>
    </row>
    <row r="51" spans="2:53" x14ac:dyDescent="0.2">
      <c r="B51" s="724"/>
      <c r="C51" s="678"/>
      <c r="D51" s="1428"/>
      <c r="AO51" s="32"/>
      <c r="AZ51" s="52"/>
      <c r="BA51" s="52"/>
    </row>
    <row r="52" spans="2:53" x14ac:dyDescent="0.2">
      <c r="B52" s="724"/>
      <c r="C52" s="678"/>
      <c r="D52" s="1428"/>
      <c r="AO52" s="32"/>
      <c r="AZ52" s="52"/>
      <c r="BA52" s="52"/>
    </row>
    <row r="53" spans="2:53" x14ac:dyDescent="0.2">
      <c r="B53" s="724"/>
      <c r="C53" s="678"/>
      <c r="D53" s="1428"/>
      <c r="AO53" s="47"/>
      <c r="AZ53" s="53"/>
      <c r="BA53" s="53"/>
    </row>
    <row r="54" spans="2:53" x14ac:dyDescent="0.2">
      <c r="B54" s="141"/>
      <c r="C54" s="516"/>
      <c r="AO54" s="41"/>
      <c r="AZ54" s="35"/>
      <c r="BA54" s="35"/>
    </row>
    <row r="55" spans="2:53" x14ac:dyDescent="0.2">
      <c r="B55" s="724"/>
      <c r="C55" s="516"/>
      <c r="AO55" s="35"/>
      <c r="AZ55" s="36"/>
      <c r="BA55" s="36"/>
    </row>
    <row r="56" spans="2:53" x14ac:dyDescent="0.2">
      <c r="B56" s="724"/>
      <c r="C56" s="516"/>
      <c r="AO56" s="36"/>
      <c r="AZ56" s="36"/>
      <c r="BA56" s="36"/>
    </row>
    <row r="57" spans="2:53" x14ac:dyDescent="0.2">
      <c r="B57" s="724"/>
      <c r="C57" s="678"/>
      <c r="D57" s="1428"/>
      <c r="AO57" s="36"/>
      <c r="AZ57" s="3"/>
      <c r="BA57" s="3"/>
    </row>
    <row r="58" spans="2:53" x14ac:dyDescent="0.2">
      <c r="B58" s="724"/>
      <c r="C58" s="678"/>
      <c r="D58" s="1428"/>
      <c r="AO58" s="3"/>
      <c r="AZ58" s="3"/>
      <c r="BA58" s="3"/>
    </row>
    <row r="59" spans="2:53" x14ac:dyDescent="0.2">
      <c r="B59" s="724"/>
      <c r="C59" s="678"/>
      <c r="D59" s="1428"/>
      <c r="AO59" s="3"/>
      <c r="AZ59" s="3"/>
      <c r="BA59" s="3"/>
    </row>
    <row r="60" spans="2:53" x14ac:dyDescent="0.2">
      <c r="B60" s="724"/>
      <c r="C60" s="678"/>
      <c r="D60" s="1428"/>
      <c r="AZ60" s="3"/>
      <c r="BA60" s="3"/>
    </row>
    <row r="61" spans="2:53" x14ac:dyDescent="0.2">
      <c r="B61" s="724"/>
      <c r="C61" s="678"/>
      <c r="D61" s="1428"/>
      <c r="AZ61" s="3"/>
      <c r="BA61" s="3"/>
    </row>
    <row r="62" spans="2:53" x14ac:dyDescent="0.2">
      <c r="B62" s="724"/>
      <c r="C62" s="678"/>
      <c r="D62" s="1428"/>
    </row>
    <row r="63" spans="2:53" x14ac:dyDescent="0.2">
      <c r="B63" s="724"/>
      <c r="C63" s="678"/>
      <c r="D63" s="1428"/>
    </row>
    <row r="64" spans="2:53" x14ac:dyDescent="0.2">
      <c r="B64" s="724"/>
      <c r="C64" s="678"/>
      <c r="D64" s="1428"/>
    </row>
    <row r="65" spans="2:4" x14ac:dyDescent="0.2">
      <c r="B65" s="724"/>
      <c r="C65" s="678"/>
      <c r="D65" s="1428"/>
    </row>
    <row r="66" spans="2:4" x14ac:dyDescent="0.2">
      <c r="B66" s="724"/>
      <c r="C66" s="678"/>
      <c r="D66" s="1428"/>
    </row>
    <row r="67" spans="2:4" x14ac:dyDescent="0.2">
      <c r="B67" s="724"/>
      <c r="C67" s="516"/>
    </row>
    <row r="68" spans="2:4" x14ac:dyDescent="0.2">
      <c r="B68" s="724"/>
      <c r="C68" s="678"/>
      <c r="D68" s="1428"/>
    </row>
    <row r="69" spans="2:4" x14ac:dyDescent="0.2">
      <c r="C69" s="516"/>
    </row>
  </sheetData>
  <mergeCells count="4">
    <mergeCell ref="C11:D11"/>
    <mergeCell ref="AX10:AY10"/>
    <mergeCell ref="AX11:AY11"/>
    <mergeCell ref="C10:D10"/>
  </mergeCells>
  <phoneticPr fontId="6" type="noConversion"/>
  <conditionalFormatting sqref="A38:B38">
    <cfRule type="cellIs" dxfId="12" priority="1" stopIfTrue="1" operator="equal">
      <formula>0</formula>
    </cfRule>
  </conditionalFormatting>
  <printOptions horizontalCentered="1"/>
  <pageMargins left="0.3" right="0.3" top="0.4" bottom="0.6" header="0" footer="0.3"/>
  <pageSetup scale="63" orientation="landscape" r:id="rId1"/>
  <headerFooter alignWithMargins="0">
    <oddFooter>&amp;CPage 11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BI104"/>
  <sheetViews>
    <sheetView view="pageBreakPreview" topLeftCell="A26" zoomScale="90" zoomScaleNormal="100" zoomScaleSheetLayoutView="90" workbookViewId="0">
      <pane xSplit="2" topLeftCell="C1" activePane="topRight" state="frozenSplit"/>
      <selection activeCell="B21" sqref="B21:L21"/>
      <selection pane="topRight" activeCell="I77" sqref="I77"/>
    </sheetView>
  </sheetViews>
  <sheetFormatPr defaultRowHeight="12.75" outlineLevelRow="1" x14ac:dyDescent="0.2"/>
  <cols>
    <col min="1" max="1" width="2.7109375" customWidth="1"/>
    <col min="2" max="2" width="45.42578125" customWidth="1"/>
    <col min="3" max="3" width="9.5703125" customWidth="1"/>
    <col min="4" max="4" width="9.7109375" customWidth="1"/>
    <col min="5" max="5" width="1.5703125" style="3" customWidth="1"/>
    <col min="6" max="8" width="9.5703125" style="722" hidden="1" customWidth="1"/>
    <col min="9" max="13" width="9.5703125" style="722" customWidth="1"/>
    <col min="14" max="17" width="9.5703125" style="3" customWidth="1"/>
    <col min="18" max="24" width="9.5703125" style="3" hidden="1" customWidth="1"/>
    <col min="25" max="25" width="7.7109375" style="3" hidden="1" customWidth="1"/>
    <col min="26" max="26" width="7" style="3" hidden="1" customWidth="1"/>
    <col min="27" max="27" width="7.5703125" style="3" hidden="1" customWidth="1"/>
    <col min="28" max="28" width="7" style="3" hidden="1" customWidth="1"/>
    <col min="29" max="30" width="8" hidden="1" customWidth="1"/>
    <col min="31" max="37" width="8.5703125" hidden="1" customWidth="1"/>
    <col min="38" max="38" width="1.5703125" customWidth="1"/>
    <col min="39" max="40" width="10.140625" style="613" hidden="1" customWidth="1"/>
    <col min="41" max="41" width="10.140625" hidden="1" customWidth="1"/>
    <col min="42" max="42" width="9.85546875" hidden="1" customWidth="1"/>
    <col min="43" max="43" width="1.5703125" hidden="1" customWidth="1"/>
    <col min="44" max="44" width="9.7109375" style="721" customWidth="1"/>
    <col min="45" max="45" width="9.7109375" style="613" customWidth="1"/>
    <col min="46" max="48" width="9.7109375" customWidth="1"/>
    <col min="49" max="53" width="9.7109375" hidden="1" customWidth="1"/>
    <col min="54" max="54" width="1.5703125" customWidth="1"/>
  </cols>
  <sheetData>
    <row r="5" spans="1:61" x14ac:dyDescent="0.2">
      <c r="A5" s="3"/>
      <c r="B5" s="3"/>
      <c r="C5" s="3"/>
      <c r="D5" s="3"/>
      <c r="AC5" s="3"/>
      <c r="AD5" s="3"/>
      <c r="AE5" s="3"/>
    </row>
    <row r="6" spans="1:61" ht="18" customHeight="1" x14ac:dyDescent="0.2">
      <c r="A6" s="132" t="s">
        <v>89</v>
      </c>
      <c r="B6" s="3"/>
      <c r="C6" s="3"/>
      <c r="D6" s="3"/>
      <c r="AC6" s="3"/>
      <c r="AD6" s="3"/>
      <c r="AE6" s="3"/>
    </row>
    <row r="7" spans="1:61" ht="18" customHeight="1" x14ac:dyDescent="0.2">
      <c r="A7" s="132" t="s">
        <v>222</v>
      </c>
      <c r="B7" s="5"/>
      <c r="C7" s="5"/>
      <c r="D7" s="5"/>
      <c r="E7" s="5"/>
      <c r="F7" s="5"/>
      <c r="G7" s="5"/>
      <c r="H7" s="5"/>
      <c r="I7" s="5"/>
      <c r="J7" s="5"/>
      <c r="K7" s="5"/>
      <c r="L7" s="5"/>
      <c r="M7" s="5"/>
      <c r="N7" s="5"/>
      <c r="O7" s="5"/>
      <c r="P7" s="5"/>
      <c r="Q7" s="5"/>
      <c r="R7" s="5"/>
      <c r="S7" s="5"/>
      <c r="T7" s="5"/>
      <c r="U7" s="5"/>
      <c r="V7" s="5"/>
      <c r="W7" s="5"/>
      <c r="X7" s="5"/>
      <c r="Y7" s="5"/>
      <c r="Z7" s="5"/>
      <c r="AA7" s="5"/>
      <c r="AB7" s="5"/>
      <c r="AC7" s="3"/>
      <c r="AD7" s="3"/>
      <c r="AE7" s="3"/>
    </row>
    <row r="8" spans="1:61" ht="9.75" customHeight="1" x14ac:dyDescent="0.2">
      <c r="A8" s="2"/>
      <c r="B8" s="2"/>
      <c r="C8" s="424"/>
      <c r="D8" s="424"/>
      <c r="E8" s="2"/>
      <c r="F8" s="424"/>
      <c r="G8" s="424"/>
      <c r="H8" s="424"/>
      <c r="I8" s="424"/>
      <c r="J8" s="424"/>
      <c r="K8" s="424"/>
      <c r="L8" s="424"/>
      <c r="M8" s="424"/>
      <c r="N8" s="424"/>
      <c r="O8" s="424"/>
      <c r="P8" s="424"/>
      <c r="Q8" s="424"/>
      <c r="R8" s="424"/>
      <c r="S8" s="424"/>
      <c r="T8" s="424"/>
      <c r="U8" s="424"/>
      <c r="V8" s="424"/>
      <c r="W8" s="424"/>
      <c r="X8" s="424"/>
      <c r="Y8" s="424"/>
      <c r="Z8" s="424"/>
      <c r="AA8" s="424"/>
      <c r="AB8" s="424"/>
      <c r="AC8" s="27"/>
      <c r="AD8" s="27"/>
      <c r="AE8" s="27"/>
      <c r="AO8" s="553"/>
      <c r="AP8" s="553"/>
      <c r="AV8" s="27"/>
      <c r="AW8" s="27"/>
      <c r="AX8" s="27"/>
      <c r="AY8" s="27"/>
      <c r="AZ8" s="27"/>
    </row>
    <row r="9" spans="1:61" x14ac:dyDescent="0.2">
      <c r="A9" s="6" t="s">
        <v>1</v>
      </c>
      <c r="B9" s="7"/>
      <c r="C9" s="1479" t="s">
        <v>360</v>
      </c>
      <c r="D9" s="1480"/>
      <c r="E9" s="256"/>
      <c r="F9" s="410"/>
      <c r="G9" s="410"/>
      <c r="H9" s="410"/>
      <c r="I9" s="19"/>
      <c r="J9" s="410"/>
      <c r="K9" s="410"/>
      <c r="L9" s="410"/>
      <c r="M9" s="19"/>
      <c r="N9" s="17"/>
      <c r="O9" s="18"/>
      <c r="P9" s="410"/>
      <c r="Q9" s="19"/>
      <c r="R9" s="17"/>
      <c r="S9" s="18"/>
      <c r="T9" s="410"/>
      <c r="U9" s="19"/>
      <c r="V9" s="722"/>
      <c r="W9" s="18"/>
      <c r="X9" s="2"/>
      <c r="Y9" s="19"/>
      <c r="Z9" s="18"/>
      <c r="AA9" s="722"/>
      <c r="AB9" s="410"/>
      <c r="AC9" s="19"/>
      <c r="AD9" s="18"/>
      <c r="AE9" s="18"/>
      <c r="AF9" s="18"/>
      <c r="AG9" s="18"/>
      <c r="AH9" s="22"/>
      <c r="AI9" s="19"/>
      <c r="AJ9" s="19"/>
      <c r="AK9" s="19"/>
      <c r="AL9" s="24"/>
      <c r="AM9" s="661" t="s">
        <v>340</v>
      </c>
      <c r="AN9" s="647"/>
      <c r="AO9" s="647" t="s">
        <v>320</v>
      </c>
      <c r="AP9" s="648"/>
      <c r="AQ9" s="15"/>
      <c r="AR9" s="87"/>
      <c r="AS9" s="87"/>
      <c r="AT9" s="87"/>
      <c r="AU9" s="87"/>
      <c r="AV9" s="87"/>
      <c r="AW9" s="22"/>
      <c r="AX9" s="22"/>
      <c r="AY9" s="87"/>
      <c r="AZ9" s="87"/>
      <c r="BA9" s="87"/>
      <c r="BB9" s="25"/>
    </row>
    <row r="10" spans="1:61" ht="13.5" x14ac:dyDescent="0.2">
      <c r="A10" s="6" t="s">
        <v>2</v>
      </c>
      <c r="B10" s="7"/>
      <c r="C10" s="1481" t="s">
        <v>39</v>
      </c>
      <c r="D10" s="1482"/>
      <c r="E10" s="530"/>
      <c r="F10" s="21" t="s">
        <v>363</v>
      </c>
      <c r="G10" s="21" t="s">
        <v>362</v>
      </c>
      <c r="H10" s="21" t="s">
        <v>361</v>
      </c>
      <c r="I10" s="14" t="s">
        <v>359</v>
      </c>
      <c r="J10" s="21" t="s">
        <v>302</v>
      </c>
      <c r="K10" s="21" t="s">
        <v>303</v>
      </c>
      <c r="L10" s="21" t="s">
        <v>304</v>
      </c>
      <c r="M10" s="14" t="s">
        <v>305</v>
      </c>
      <c r="N10" s="20" t="s">
        <v>231</v>
      </c>
      <c r="O10" s="21" t="s">
        <v>232</v>
      </c>
      <c r="P10" s="21" t="s">
        <v>233</v>
      </c>
      <c r="Q10" s="14" t="s">
        <v>230</v>
      </c>
      <c r="R10" s="20" t="s">
        <v>194</v>
      </c>
      <c r="S10" s="21" t="s">
        <v>195</v>
      </c>
      <c r="T10" s="21" t="s">
        <v>196</v>
      </c>
      <c r="U10" s="14" t="s">
        <v>197</v>
      </c>
      <c r="V10" s="21" t="s">
        <v>126</v>
      </c>
      <c r="W10" s="21" t="s">
        <v>125</v>
      </c>
      <c r="X10" s="21" t="s">
        <v>124</v>
      </c>
      <c r="Y10" s="14" t="s">
        <v>123</v>
      </c>
      <c r="Z10" s="21" t="s">
        <v>86</v>
      </c>
      <c r="AA10" s="21" t="s">
        <v>87</v>
      </c>
      <c r="AB10" s="21" t="s">
        <v>88</v>
      </c>
      <c r="AC10" s="14" t="s">
        <v>30</v>
      </c>
      <c r="AD10" s="21" t="s">
        <v>31</v>
      </c>
      <c r="AE10" s="21" t="s">
        <v>32</v>
      </c>
      <c r="AF10" s="21" t="s">
        <v>33</v>
      </c>
      <c r="AG10" s="21" t="s">
        <v>34</v>
      </c>
      <c r="AH10" s="23" t="s">
        <v>35</v>
      </c>
      <c r="AI10" s="14" t="s">
        <v>36</v>
      </c>
      <c r="AJ10" s="14" t="s">
        <v>37</v>
      </c>
      <c r="AK10" s="14" t="s">
        <v>38</v>
      </c>
      <c r="AL10" s="256"/>
      <c r="AM10" s="21" t="s">
        <v>303</v>
      </c>
      <c r="AN10" s="21" t="s">
        <v>232</v>
      </c>
      <c r="AO10" s="1503" t="s">
        <v>39</v>
      </c>
      <c r="AP10" s="1478"/>
      <c r="AQ10" s="16"/>
      <c r="AR10" s="20" t="s">
        <v>307</v>
      </c>
      <c r="AS10" s="20" t="s">
        <v>235</v>
      </c>
      <c r="AT10" s="20" t="s">
        <v>128</v>
      </c>
      <c r="AU10" s="20" t="s">
        <v>127</v>
      </c>
      <c r="AV10" s="20" t="s">
        <v>43</v>
      </c>
      <c r="AW10" s="23" t="s">
        <v>40</v>
      </c>
      <c r="AX10" s="23" t="s">
        <v>41</v>
      </c>
      <c r="AY10" s="14" t="s">
        <v>146</v>
      </c>
      <c r="AZ10" s="14" t="s">
        <v>147</v>
      </c>
      <c r="BA10" s="14" t="s">
        <v>148</v>
      </c>
      <c r="BB10" s="25"/>
      <c r="BC10" s="3"/>
      <c r="BG10" s="3"/>
      <c r="BH10" s="3"/>
      <c r="BI10" s="3"/>
    </row>
    <row r="11" spans="1:61" s="613" customFormat="1" x14ac:dyDescent="0.2">
      <c r="A11" s="6"/>
      <c r="B11" s="7"/>
      <c r="C11" s="866"/>
      <c r="D11" s="631"/>
      <c r="E11" s="530"/>
      <c r="F11" s="633" t="s">
        <v>254</v>
      </c>
      <c r="G11" s="633" t="s">
        <v>254</v>
      </c>
      <c r="H11" s="633" t="s">
        <v>254</v>
      </c>
      <c r="I11" s="634" t="s">
        <v>254</v>
      </c>
      <c r="J11" s="633" t="s">
        <v>254</v>
      </c>
      <c r="K11" s="633" t="s">
        <v>254</v>
      </c>
      <c r="L11" s="633" t="s">
        <v>254</v>
      </c>
      <c r="M11" s="634" t="s">
        <v>254</v>
      </c>
      <c r="N11" s="632" t="s">
        <v>254</v>
      </c>
      <c r="O11" s="633" t="s">
        <v>254</v>
      </c>
      <c r="P11" s="633" t="s">
        <v>254</v>
      </c>
      <c r="Q11" s="634" t="s">
        <v>254</v>
      </c>
      <c r="R11" s="632" t="s">
        <v>254</v>
      </c>
      <c r="S11" s="633" t="s">
        <v>254</v>
      </c>
      <c r="T11" s="633" t="s">
        <v>254</v>
      </c>
      <c r="U11" s="634" t="s">
        <v>254</v>
      </c>
      <c r="V11" s="632" t="s">
        <v>255</v>
      </c>
      <c r="W11" s="633" t="s">
        <v>255</v>
      </c>
      <c r="X11" s="634" t="s">
        <v>255</v>
      </c>
      <c r="Y11" s="634" t="s">
        <v>255</v>
      </c>
      <c r="Z11" s="15"/>
      <c r="AA11" s="15"/>
      <c r="AB11" s="15"/>
      <c r="AC11" s="230"/>
      <c r="AD11" s="15"/>
      <c r="AE11" s="15"/>
      <c r="AF11" s="15"/>
      <c r="AG11" s="15"/>
      <c r="AH11" s="256"/>
      <c r="AI11" s="230"/>
      <c r="AJ11" s="230"/>
      <c r="AK11" s="230"/>
      <c r="AL11" s="256"/>
      <c r="AM11" s="632" t="s">
        <v>254</v>
      </c>
      <c r="AN11" s="633" t="s">
        <v>254</v>
      </c>
      <c r="AO11" s="649"/>
      <c r="AP11" s="650"/>
      <c r="AQ11" s="627"/>
      <c r="AR11" s="632" t="s">
        <v>254</v>
      </c>
      <c r="AS11" s="632" t="s">
        <v>254</v>
      </c>
      <c r="AT11" s="632" t="s">
        <v>254</v>
      </c>
      <c r="AU11" s="632" t="s">
        <v>255</v>
      </c>
      <c r="AV11" s="632" t="s">
        <v>255</v>
      </c>
      <c r="AW11" s="635" t="s">
        <v>255</v>
      </c>
      <c r="AX11" s="635" t="s">
        <v>255</v>
      </c>
      <c r="AY11" s="230"/>
      <c r="AZ11" s="230"/>
      <c r="BA11" s="230"/>
      <c r="BB11" s="25"/>
      <c r="BC11" s="3"/>
      <c r="BG11" s="3"/>
      <c r="BH11" s="3"/>
      <c r="BI11" s="3"/>
    </row>
    <row r="12" spans="1:61" ht="12.75" customHeight="1" x14ac:dyDescent="0.2">
      <c r="A12" s="140" t="s">
        <v>64</v>
      </c>
      <c r="B12" s="8"/>
      <c r="C12" s="162"/>
      <c r="D12" s="164"/>
      <c r="E12" s="88"/>
      <c r="F12" s="725"/>
      <c r="G12" s="725"/>
      <c r="H12" s="725"/>
      <c r="I12" s="164"/>
      <c r="J12" s="725"/>
      <c r="K12" s="725"/>
      <c r="L12" s="725"/>
      <c r="M12" s="164"/>
      <c r="N12" s="146"/>
      <c r="O12" s="192"/>
      <c r="P12" s="146"/>
      <c r="Q12" s="164"/>
      <c r="R12" s="146"/>
      <c r="S12" s="192"/>
      <c r="T12" s="146"/>
      <c r="U12" s="164"/>
      <c r="V12" s="146"/>
      <c r="W12" s="192"/>
      <c r="X12" s="146"/>
      <c r="Y12" s="164"/>
      <c r="Z12" s="146"/>
      <c r="AA12" s="192"/>
      <c r="AB12" s="146"/>
      <c r="AC12" s="164"/>
      <c r="AD12" s="192"/>
      <c r="AE12" s="146"/>
      <c r="AF12" s="146"/>
      <c r="AG12" s="164"/>
      <c r="AH12" s="88"/>
      <c r="AI12" s="164"/>
      <c r="AJ12" s="164"/>
      <c r="AK12" s="164"/>
      <c r="AL12" s="88"/>
      <c r="AM12" s="146"/>
      <c r="AN12" s="146"/>
      <c r="AO12" s="192"/>
      <c r="AP12" s="163"/>
      <c r="AQ12" s="82"/>
      <c r="AR12" s="88"/>
      <c r="AS12" s="88"/>
      <c r="AT12" s="88"/>
      <c r="AU12" s="88"/>
      <c r="AV12" s="88"/>
      <c r="AW12" s="88"/>
      <c r="AX12" s="88"/>
      <c r="AY12" s="301"/>
      <c r="AZ12" s="301"/>
      <c r="BA12" s="301"/>
      <c r="BB12" s="25"/>
      <c r="BC12" s="3"/>
      <c r="BG12" s="3"/>
    </row>
    <row r="13" spans="1:61" ht="12.75" customHeight="1" x14ac:dyDescent="0.2">
      <c r="A13" s="7"/>
      <c r="B13" s="82" t="s">
        <v>191</v>
      </c>
      <c r="C13" s="38" t="e">
        <f>I13-M13</f>
        <v>#REF!</v>
      </c>
      <c r="D13" s="45" t="e">
        <f>IF(OR((C13/M13)&gt;3,(C13/M13)&lt;-3),"n.m.",(C13/M13))</f>
        <v>#REF!</v>
      </c>
      <c r="E13" s="520"/>
      <c r="F13" s="748" t="e">
        <f>+#REF!</f>
        <v>#REF!</v>
      </c>
      <c r="G13" s="748" t="e">
        <f>+#REF!</f>
        <v>#REF!</v>
      </c>
      <c r="H13" s="748" t="e">
        <f>+#REF!</f>
        <v>#REF!</v>
      </c>
      <c r="I13" s="213" t="e">
        <f>+#REF!</f>
        <v>#REF!</v>
      </c>
      <c r="J13" s="748" t="e">
        <f>+#REF!</f>
        <v>#REF!</v>
      </c>
      <c r="K13" s="748" t="e">
        <f>+#REF!</f>
        <v>#REF!</v>
      </c>
      <c r="L13" s="748" t="e">
        <f>+#REF!</f>
        <v>#REF!</v>
      </c>
      <c r="M13" s="213" t="e">
        <f>+#REF!</f>
        <v>#REF!</v>
      </c>
      <c r="N13" s="398" t="e">
        <f>#REF!</f>
        <v>#REF!</v>
      </c>
      <c r="O13" s="398" t="e">
        <f>#REF!</f>
        <v>#REF!</v>
      </c>
      <c r="P13" s="398" t="e">
        <f>#REF!</f>
        <v>#REF!</v>
      </c>
      <c r="Q13" s="213" t="e">
        <f>#REF!</f>
        <v>#REF!</v>
      </c>
      <c r="R13" s="398" t="e">
        <f>#REF!</f>
        <v>#REF!</v>
      </c>
      <c r="S13" s="398" t="e">
        <f>#REF!</f>
        <v>#REF!</v>
      </c>
      <c r="T13" s="398" t="e">
        <f>#REF!</f>
        <v>#REF!</v>
      </c>
      <c r="U13" s="213">
        <v>58053</v>
      </c>
      <c r="V13" s="398">
        <v>39289</v>
      </c>
      <c r="W13" s="398">
        <v>67352</v>
      </c>
      <c r="X13" s="398">
        <v>34463</v>
      </c>
      <c r="Y13" s="213">
        <v>36477</v>
      </c>
      <c r="Z13" s="398">
        <v>31276</v>
      </c>
      <c r="AA13" s="398">
        <v>20429</v>
      </c>
      <c r="AB13" s="398">
        <v>29110</v>
      </c>
      <c r="AC13" s="213">
        <v>42035</v>
      </c>
      <c r="AD13" s="210">
        <v>39733</v>
      </c>
      <c r="AE13" s="165">
        <v>52078</v>
      </c>
      <c r="AF13" s="165">
        <v>48387</v>
      </c>
      <c r="AG13" s="166">
        <v>72387</v>
      </c>
      <c r="AH13" s="175">
        <v>68481</v>
      </c>
      <c r="AI13" s="166">
        <v>58781</v>
      </c>
      <c r="AJ13" s="166">
        <v>46473</v>
      </c>
      <c r="AK13" s="166">
        <v>53589</v>
      </c>
      <c r="AL13" s="88"/>
      <c r="AM13" s="327" t="e">
        <f>SUM(K13:M13)</f>
        <v>#REF!</v>
      </c>
      <c r="AN13" s="327" t="e">
        <f>SUM(O13:Q13)</f>
        <v>#REF!</v>
      </c>
      <c r="AO13" s="31" t="e">
        <f>AR13-AS13</f>
        <v>#REF!</v>
      </c>
      <c r="AP13" s="742" t="e">
        <f>IF(OR((AO13/AS13)&gt;3,(AO13/AS13)&lt;-3),"n.m.",(AO13/AS13))</f>
        <v>#REF!</v>
      </c>
      <c r="AQ13" s="82"/>
      <c r="AR13" s="744" t="e">
        <f>SUM(J13:M13)</f>
        <v>#REF!</v>
      </c>
      <c r="AS13" s="198" t="e">
        <f>SUM(N13:Q13)</f>
        <v>#REF!</v>
      </c>
      <c r="AT13" s="198">
        <v>338520</v>
      </c>
      <c r="AU13" s="198">
        <v>177581</v>
      </c>
      <c r="AV13" s="198">
        <v>122850</v>
      </c>
      <c r="AW13" s="198">
        <v>212585</v>
      </c>
      <c r="AX13" s="198">
        <v>227324</v>
      </c>
      <c r="AY13" s="43">
        <v>189074</v>
      </c>
      <c r="AZ13" s="43">
        <v>123564</v>
      </c>
      <c r="BA13" s="43">
        <v>127269</v>
      </c>
      <c r="BB13" s="146"/>
      <c r="BC13" s="146"/>
      <c r="BG13" s="3"/>
    </row>
    <row r="14" spans="1:61" ht="12.75" customHeight="1" x14ac:dyDescent="0.2">
      <c r="A14" s="7"/>
      <c r="B14" s="724" t="s">
        <v>346</v>
      </c>
      <c r="C14" s="38" t="e">
        <f>I14-M14</f>
        <v>#REF!</v>
      </c>
      <c r="D14" s="30" t="e">
        <f>IF(OR((C14/M14)&gt;3,(C14/M14)&lt;-3),"n.m.",(C14/M14))</f>
        <v>#REF!</v>
      </c>
      <c r="E14" s="520"/>
      <c r="F14" s="748" t="e">
        <f>+#REF!</f>
        <v>#REF!</v>
      </c>
      <c r="G14" s="748" t="e">
        <f>+#REF!</f>
        <v>#REF!</v>
      </c>
      <c r="H14" s="748" t="e">
        <f>+#REF!</f>
        <v>#REF!</v>
      </c>
      <c r="I14" s="213" t="e">
        <f>+#REF!</f>
        <v>#REF!</v>
      </c>
      <c r="J14" s="748" t="e">
        <f>+#REF!</f>
        <v>#REF!</v>
      </c>
      <c r="K14" s="748" t="e">
        <f>+#REF!</f>
        <v>#REF!</v>
      </c>
      <c r="L14" s="748" t="e">
        <f>+#REF!</f>
        <v>#REF!</v>
      </c>
      <c r="M14" s="213" t="e">
        <f>+#REF!</f>
        <v>#REF!</v>
      </c>
      <c r="N14" s="398" t="e">
        <f>#REF!</f>
        <v>#REF!</v>
      </c>
      <c r="O14" s="398" t="e">
        <f>#REF!</f>
        <v>#REF!</v>
      </c>
      <c r="P14" s="398" t="e">
        <f>#REF!</f>
        <v>#REF!</v>
      </c>
      <c r="Q14" s="213" t="e">
        <f>#REF!</f>
        <v>#REF!</v>
      </c>
      <c r="R14" s="398" t="e">
        <f>#REF!</f>
        <v>#REF!</v>
      </c>
      <c r="S14" s="398" t="e">
        <f>#REF!</f>
        <v>#REF!</v>
      </c>
      <c r="T14" s="398" t="e">
        <f>#REF!</f>
        <v>#REF!</v>
      </c>
      <c r="U14" s="213">
        <v>46307</v>
      </c>
      <c r="V14" s="398">
        <v>54086</v>
      </c>
      <c r="W14" s="398">
        <v>50900</v>
      </c>
      <c r="X14" s="398">
        <v>39596</v>
      </c>
      <c r="Y14" s="213">
        <v>39676</v>
      </c>
      <c r="Z14" s="398">
        <v>36739</v>
      </c>
      <c r="AA14" s="398">
        <v>33072</v>
      </c>
      <c r="AB14" s="398">
        <v>43016</v>
      </c>
      <c r="AC14" s="213">
        <v>56801</v>
      </c>
      <c r="AD14" s="209">
        <v>53686</v>
      </c>
      <c r="AE14" s="209">
        <v>60447</v>
      </c>
      <c r="AF14" s="209">
        <v>56588</v>
      </c>
      <c r="AG14" s="209">
        <v>74990</v>
      </c>
      <c r="AH14" s="159">
        <v>74727</v>
      </c>
      <c r="AI14" s="213">
        <v>67907</v>
      </c>
      <c r="AJ14" s="213">
        <v>54960</v>
      </c>
      <c r="AK14" s="213">
        <v>70996</v>
      </c>
      <c r="AL14" s="88"/>
      <c r="AM14" s="738" t="e">
        <f>SUM(K14:M14)</f>
        <v>#REF!</v>
      </c>
      <c r="AN14" s="738" t="e">
        <f>SUM(O14:Q14)</f>
        <v>#REF!</v>
      </c>
      <c r="AO14" s="31" t="e">
        <f>AR14-AS14</f>
        <v>#REF!</v>
      </c>
      <c r="AP14" s="742" t="e">
        <f t="shared" ref="AP14:AP31" si="0">IF(OR((AO14/AS14)&gt;3,(AO14/AS14)&lt;-3),"n.m.",(AO14/AS14))</f>
        <v>#REF!</v>
      </c>
      <c r="AQ14" s="82"/>
      <c r="AR14" s="744" t="e">
        <f>SUM(J14:M14)</f>
        <v>#REF!</v>
      </c>
      <c r="AS14" s="198" t="e">
        <f>SUM(N14:Q14)</f>
        <v>#REF!</v>
      </c>
      <c r="AT14" s="198">
        <v>228098</v>
      </c>
      <c r="AU14" s="198">
        <v>184258</v>
      </c>
      <c r="AV14" s="198">
        <v>169628</v>
      </c>
      <c r="AW14" s="198">
        <v>245711</v>
      </c>
      <c r="AX14" s="198">
        <v>268590</v>
      </c>
      <c r="AY14" s="43">
        <v>223925</v>
      </c>
      <c r="AZ14" s="43">
        <v>178176</v>
      </c>
      <c r="BA14" s="43">
        <v>175983</v>
      </c>
      <c r="BB14" s="146"/>
      <c r="BC14" s="146"/>
      <c r="BG14" s="3"/>
    </row>
    <row r="15" spans="1:61" ht="12.75" customHeight="1" x14ac:dyDescent="0.2">
      <c r="A15" s="7"/>
      <c r="B15" s="82" t="s">
        <v>97</v>
      </c>
      <c r="C15" s="38">
        <f>I15-M15</f>
        <v>-2689</v>
      </c>
      <c r="D15" s="30">
        <f>IF(OR((C15/M15)&gt;3,(C15/M15)&lt;-3),"n.m.",(C15/M15))</f>
        <v>-0.54944830404577039</v>
      </c>
      <c r="E15" s="520"/>
      <c r="F15" s="748">
        <f>+'10 Other'!J13</f>
        <v>1853</v>
      </c>
      <c r="G15" s="748">
        <f>+'10 Other'!K13</f>
        <v>4988</v>
      </c>
      <c r="H15" s="748">
        <f>+'10 Other'!L13</f>
        <v>6372</v>
      </c>
      <c r="I15" s="213">
        <f>+'10 Other'!M13</f>
        <v>2205</v>
      </c>
      <c r="J15" s="748">
        <f>+'10 Other'!N13</f>
        <v>5045</v>
      </c>
      <c r="K15" s="748">
        <f>+'10 Other'!O13</f>
        <v>4535</v>
      </c>
      <c r="L15" s="748">
        <f>+'10 Other'!P13</f>
        <v>10003</v>
      </c>
      <c r="M15" s="213">
        <f>+'10 Other'!Q15</f>
        <v>4894</v>
      </c>
      <c r="N15" s="398">
        <f>'10 Other'!R13</f>
        <v>10101</v>
      </c>
      <c r="O15" s="398">
        <f>'10 Other'!S13</f>
        <v>9737</v>
      </c>
      <c r="P15" s="398">
        <f>'10 Other'!T13</f>
        <v>2636</v>
      </c>
      <c r="Q15" s="213">
        <f>'10 Other'!U13</f>
        <v>7623</v>
      </c>
      <c r="R15" s="398">
        <f>'10 Other'!V13</f>
        <v>11120</v>
      </c>
      <c r="S15" s="398">
        <f>'10 Other'!W13</f>
        <v>8477</v>
      </c>
      <c r="T15" s="398">
        <f>'10 Other'!X13</f>
        <v>7783</v>
      </c>
      <c r="U15" s="213">
        <v>4558</v>
      </c>
      <c r="V15" s="398">
        <v>4647</v>
      </c>
      <c r="W15" s="398">
        <v>5374</v>
      </c>
      <c r="X15" s="398">
        <v>5131</v>
      </c>
      <c r="Y15" s="213">
        <v>11781</v>
      </c>
      <c r="Z15" s="398">
        <v>4769</v>
      </c>
      <c r="AA15" s="398">
        <v>4406</v>
      </c>
      <c r="AB15" s="398">
        <v>8649</v>
      </c>
      <c r="AC15" s="213">
        <v>10062</v>
      </c>
      <c r="AD15" s="209">
        <v>11018</v>
      </c>
      <c r="AE15" s="209">
        <v>12605</v>
      </c>
      <c r="AF15" s="209">
        <v>12383</v>
      </c>
      <c r="AG15" s="209">
        <v>14764</v>
      </c>
      <c r="AH15" s="159">
        <v>10416</v>
      </c>
      <c r="AI15" s="213">
        <v>8017</v>
      </c>
      <c r="AJ15" s="213">
        <v>6975</v>
      </c>
      <c r="AK15" s="213">
        <v>8665</v>
      </c>
      <c r="AL15" s="88"/>
      <c r="AM15" s="738">
        <f>SUM(K15:M15)</f>
        <v>19432</v>
      </c>
      <c r="AN15" s="738">
        <f>SUM(O15:Q15)</f>
        <v>19996</v>
      </c>
      <c r="AO15" s="31">
        <f>AR15-AS15</f>
        <v>-5620</v>
      </c>
      <c r="AP15" s="742">
        <f t="shared" si="0"/>
        <v>-0.18672957437618368</v>
      </c>
      <c r="AQ15" s="82"/>
      <c r="AR15" s="744">
        <f>SUM(J15:M15)</f>
        <v>24477</v>
      </c>
      <c r="AS15" s="198">
        <f>SUM(N15:Q15)</f>
        <v>30097</v>
      </c>
      <c r="AT15" s="198">
        <v>31938</v>
      </c>
      <c r="AU15" s="198">
        <v>26933</v>
      </c>
      <c r="AV15" s="198">
        <v>27886</v>
      </c>
      <c r="AW15" s="198">
        <v>50770</v>
      </c>
      <c r="AX15" s="198">
        <v>34578</v>
      </c>
      <c r="AY15" s="43">
        <v>24555</v>
      </c>
      <c r="AZ15" s="43">
        <v>14948</v>
      </c>
      <c r="BA15" s="43">
        <v>14416</v>
      </c>
      <c r="BB15" s="146"/>
      <c r="BC15" s="146"/>
      <c r="BG15" s="3"/>
    </row>
    <row r="16" spans="1:61" ht="12.75" customHeight="1" x14ac:dyDescent="0.2">
      <c r="A16" s="8"/>
      <c r="B16" s="7"/>
      <c r="C16" s="167" t="e">
        <f>I16-M16</f>
        <v>#REF!</v>
      </c>
      <c r="D16" s="168" t="e">
        <f>IF(OR((C16/M16)&gt;3,(C16/M16)&lt;-3),"n.m.",(C16/M16))</f>
        <v>#REF!</v>
      </c>
      <c r="E16" s="520"/>
      <c r="F16" s="217" t="e">
        <f t="shared" ref="F16:K16" si="1">SUM(F13:F15)</f>
        <v>#REF!</v>
      </c>
      <c r="G16" s="217" t="e">
        <f t="shared" si="1"/>
        <v>#REF!</v>
      </c>
      <c r="H16" s="217" t="e">
        <f t="shared" si="1"/>
        <v>#REF!</v>
      </c>
      <c r="I16" s="218" t="e">
        <f t="shared" si="1"/>
        <v>#REF!</v>
      </c>
      <c r="J16" s="217" t="e">
        <f t="shared" si="1"/>
        <v>#REF!</v>
      </c>
      <c r="K16" s="217" t="e">
        <f t="shared" si="1"/>
        <v>#REF!</v>
      </c>
      <c r="L16" s="217" t="e">
        <f t="shared" ref="L16:Q16" si="2">SUM(L13:L15)</f>
        <v>#REF!</v>
      </c>
      <c r="M16" s="218" t="e">
        <f t="shared" si="2"/>
        <v>#REF!</v>
      </c>
      <c r="N16" s="217" t="e">
        <f t="shared" si="2"/>
        <v>#REF!</v>
      </c>
      <c r="O16" s="217" t="e">
        <f t="shared" si="2"/>
        <v>#REF!</v>
      </c>
      <c r="P16" s="217" t="e">
        <f t="shared" si="2"/>
        <v>#REF!</v>
      </c>
      <c r="Q16" s="218" t="e">
        <f t="shared" si="2"/>
        <v>#REF!</v>
      </c>
      <c r="R16" s="217" t="e">
        <f>SUM(R13:R15)</f>
        <v>#REF!</v>
      </c>
      <c r="S16" s="217" t="e">
        <f>SUM(S13:S15)</f>
        <v>#REF!</v>
      </c>
      <c r="T16" s="217" t="e">
        <f>SUM(T13:T15)</f>
        <v>#REF!</v>
      </c>
      <c r="U16" s="218">
        <f>SUM(U13:U15)</f>
        <v>108918</v>
      </c>
      <c r="V16" s="217">
        <v>98022</v>
      </c>
      <c r="W16" s="217">
        <v>123626</v>
      </c>
      <c r="X16" s="217">
        <v>79190</v>
      </c>
      <c r="Y16" s="218">
        <v>87934</v>
      </c>
      <c r="Z16" s="217">
        <v>72784</v>
      </c>
      <c r="AA16" s="217">
        <v>57907</v>
      </c>
      <c r="AB16" s="217">
        <v>80775</v>
      </c>
      <c r="AC16" s="217">
        <v>108898</v>
      </c>
      <c r="AD16" s="176">
        <v>104437</v>
      </c>
      <c r="AE16" s="217">
        <v>125130</v>
      </c>
      <c r="AF16" s="217">
        <v>117358</v>
      </c>
      <c r="AG16" s="217">
        <v>162141</v>
      </c>
      <c r="AH16" s="176">
        <v>153624</v>
      </c>
      <c r="AI16" s="218">
        <v>134705</v>
      </c>
      <c r="AJ16" s="218">
        <v>108408</v>
      </c>
      <c r="AK16" s="218">
        <v>133250</v>
      </c>
      <c r="AL16" s="88"/>
      <c r="AM16" s="217" t="e">
        <f>SUM(AM13:AM15)</f>
        <v>#REF!</v>
      </c>
      <c r="AN16" s="217" t="e">
        <f>SUM(AN13:AN15)</f>
        <v>#REF!</v>
      </c>
      <c r="AO16" s="336" t="e">
        <f>AR16-AS16</f>
        <v>#REF!</v>
      </c>
      <c r="AP16" s="168" t="e">
        <f t="shared" si="0"/>
        <v>#REF!</v>
      </c>
      <c r="AQ16" s="82"/>
      <c r="AR16" s="199" t="e">
        <f>SUM(AR13:AR15)</f>
        <v>#REF!</v>
      </c>
      <c r="AS16" s="199" t="e">
        <f>SUM(AS13:AS15)</f>
        <v>#REF!</v>
      </c>
      <c r="AT16" s="199">
        <v>598556</v>
      </c>
      <c r="AU16" s="199">
        <v>388772</v>
      </c>
      <c r="AV16" s="199">
        <v>320364</v>
      </c>
      <c r="AW16" s="199">
        <v>509066</v>
      </c>
      <c r="AX16" s="199">
        <v>530492</v>
      </c>
      <c r="AY16" s="199">
        <f>SUM(AY13:AY15)</f>
        <v>437554</v>
      </c>
      <c r="AZ16" s="199">
        <f>SUM(AZ13:AZ15)</f>
        <v>316688</v>
      </c>
      <c r="BA16" s="302">
        <v>317668</v>
      </c>
      <c r="BB16" s="146"/>
      <c r="BC16" s="146"/>
      <c r="BG16" s="3"/>
    </row>
    <row r="17" spans="1:59" ht="12.75" customHeight="1" x14ac:dyDescent="0.2">
      <c r="A17" s="140" t="s">
        <v>5</v>
      </c>
      <c r="B17" s="7"/>
      <c r="C17" s="38"/>
      <c r="D17" s="30"/>
      <c r="E17" s="520"/>
      <c r="F17" s="748"/>
      <c r="G17" s="748"/>
      <c r="H17" s="748"/>
      <c r="I17" s="213"/>
      <c r="J17" s="748"/>
      <c r="K17" s="748"/>
      <c r="L17" s="748"/>
      <c r="M17" s="213"/>
      <c r="N17" s="398"/>
      <c r="O17" s="398"/>
      <c r="P17" s="398"/>
      <c r="Q17" s="213"/>
      <c r="R17" s="398"/>
      <c r="S17" s="398"/>
      <c r="T17" s="398"/>
      <c r="U17" s="213"/>
      <c r="V17" s="398"/>
      <c r="W17" s="398"/>
      <c r="X17" s="398"/>
      <c r="Y17" s="213"/>
      <c r="Z17" s="409"/>
      <c r="AA17" s="398"/>
      <c r="AB17" s="398"/>
      <c r="AC17" s="213"/>
      <c r="AD17" s="221"/>
      <c r="AE17" s="209"/>
      <c r="AF17" s="209"/>
      <c r="AG17" s="209"/>
      <c r="AH17" s="159"/>
      <c r="AI17" s="213"/>
      <c r="AJ17" s="213"/>
      <c r="AK17" s="213"/>
      <c r="AL17" s="88"/>
      <c r="AM17" s="146"/>
      <c r="AN17" s="146"/>
      <c r="AO17" s="31"/>
      <c r="AP17" s="30"/>
      <c r="AQ17" s="82"/>
      <c r="AR17" s="200"/>
      <c r="AS17" s="200"/>
      <c r="AT17" s="200"/>
      <c r="AU17" s="200"/>
      <c r="AV17" s="200"/>
      <c r="AW17" s="198"/>
      <c r="AX17" s="198"/>
      <c r="AY17" s="43"/>
      <c r="AZ17" s="43"/>
      <c r="BA17" s="43"/>
      <c r="BB17" s="146"/>
      <c r="BC17" s="146"/>
      <c r="BG17" s="3"/>
    </row>
    <row r="18" spans="1:59" s="721" customFormat="1" ht="12.75" customHeight="1" x14ac:dyDescent="0.2">
      <c r="A18" s="615"/>
      <c r="B18" s="7" t="s">
        <v>333</v>
      </c>
      <c r="C18" s="686">
        <f t="shared" ref="C18:C36" si="3">I18-M18</f>
        <v>-9081</v>
      </c>
      <c r="D18" s="742">
        <f t="shared" ref="D18:D29" si="4">IF(OR((C18/M18)&gt;3,(C18/M18)&lt;-3),"n.m.",(C18/M18))</f>
        <v>-0.28840473846349285</v>
      </c>
      <c r="E18" s="741"/>
      <c r="F18" s="748"/>
      <c r="G18" s="748"/>
      <c r="H18" s="748"/>
      <c r="I18" s="213">
        <v>22406</v>
      </c>
      <c r="J18" s="748">
        <v>42572</v>
      </c>
      <c r="K18" s="748">
        <v>50525</v>
      </c>
      <c r="L18" s="748">
        <v>31407</v>
      </c>
      <c r="M18" s="213">
        <v>31487</v>
      </c>
      <c r="N18" s="748">
        <v>57210</v>
      </c>
      <c r="O18" s="748">
        <v>46334</v>
      </c>
      <c r="P18" s="748">
        <v>38835</v>
      </c>
      <c r="Q18" s="213">
        <v>58739</v>
      </c>
      <c r="R18" s="748">
        <v>89001</v>
      </c>
      <c r="S18" s="748">
        <v>93267</v>
      </c>
      <c r="T18" s="748">
        <v>46394</v>
      </c>
      <c r="U18" s="213"/>
      <c r="V18" s="748"/>
      <c r="W18" s="748"/>
      <c r="X18" s="748"/>
      <c r="Y18" s="213"/>
      <c r="Z18" s="748"/>
      <c r="AA18" s="748"/>
      <c r="AB18" s="748"/>
      <c r="AC18" s="213"/>
      <c r="AD18" s="172"/>
      <c r="AE18" s="209"/>
      <c r="AF18" s="209"/>
      <c r="AG18" s="209"/>
      <c r="AH18" s="728"/>
      <c r="AI18" s="213"/>
      <c r="AJ18" s="213"/>
      <c r="AK18" s="213"/>
      <c r="AL18" s="88"/>
      <c r="AM18" s="738">
        <f t="shared" ref="AM18:AM34" si="5">SUM(K18:M18)</f>
        <v>113419</v>
      </c>
      <c r="AN18" s="738">
        <f t="shared" ref="AN18:AN34" si="6">SUM(O18:Q18)</f>
        <v>143908</v>
      </c>
      <c r="AO18" s="754">
        <f t="shared" ref="AO18:AO31" si="7">AR18-AS18</f>
        <v>-45126</v>
      </c>
      <c r="AP18" s="742">
        <f t="shared" si="0"/>
        <v>-0.22437685526335416</v>
      </c>
      <c r="AQ18" s="724"/>
      <c r="AR18" s="744">
        <f t="shared" ref="AR18:AR34" si="8">SUM(J18:M18)</f>
        <v>155991</v>
      </c>
      <c r="AS18" s="744">
        <v>201117</v>
      </c>
      <c r="AT18" s="744">
        <v>277879</v>
      </c>
      <c r="AU18" s="744">
        <v>182044</v>
      </c>
      <c r="AV18" s="744">
        <v>141136</v>
      </c>
      <c r="AW18" s="744">
        <v>226244</v>
      </c>
      <c r="AX18" s="744"/>
      <c r="AY18" s="43"/>
      <c r="AZ18" s="43"/>
      <c r="BA18" s="43"/>
      <c r="BB18" s="725"/>
      <c r="BC18" s="725"/>
      <c r="BG18" s="722"/>
    </row>
    <row r="19" spans="1:59" s="721" customFormat="1" ht="12.75" customHeight="1" x14ac:dyDescent="0.2">
      <c r="A19" s="615"/>
      <c r="B19" s="7" t="s">
        <v>334</v>
      </c>
      <c r="C19" s="404">
        <f t="shared" si="3"/>
        <v>1347</v>
      </c>
      <c r="D19" s="147">
        <f t="shared" si="4"/>
        <v>0.32094353109363832</v>
      </c>
      <c r="E19" s="741"/>
      <c r="F19" s="408"/>
      <c r="G19" s="408"/>
      <c r="H19" s="408"/>
      <c r="I19" s="216">
        <v>5544</v>
      </c>
      <c r="J19" s="408">
        <v>5436</v>
      </c>
      <c r="K19" s="408">
        <v>6168</v>
      </c>
      <c r="L19" s="408">
        <v>7680</v>
      </c>
      <c r="M19" s="216">
        <v>4197</v>
      </c>
      <c r="N19" s="408">
        <v>7417</v>
      </c>
      <c r="O19" s="408">
        <v>4597</v>
      </c>
      <c r="P19" s="408">
        <v>5903</v>
      </c>
      <c r="Q19" s="216">
        <v>-2011</v>
      </c>
      <c r="R19" s="408">
        <v>-2346</v>
      </c>
      <c r="S19" s="408">
        <v>2005</v>
      </c>
      <c r="T19" s="408">
        <v>2966</v>
      </c>
      <c r="U19" s="213"/>
      <c r="V19" s="748"/>
      <c r="W19" s="748"/>
      <c r="X19" s="748"/>
      <c r="Y19" s="213"/>
      <c r="Z19" s="748"/>
      <c r="AA19" s="748"/>
      <c r="AB19" s="748"/>
      <c r="AC19" s="213"/>
      <c r="AD19" s="172"/>
      <c r="AE19" s="209"/>
      <c r="AF19" s="209"/>
      <c r="AG19" s="209"/>
      <c r="AH19" s="728"/>
      <c r="AI19" s="213"/>
      <c r="AJ19" s="213"/>
      <c r="AK19" s="213"/>
      <c r="AL19" s="88"/>
      <c r="AM19" s="335">
        <f t="shared" si="5"/>
        <v>18045</v>
      </c>
      <c r="AN19" s="335">
        <f t="shared" si="6"/>
        <v>8489</v>
      </c>
      <c r="AO19" s="156">
        <f t="shared" si="7"/>
        <v>7574</v>
      </c>
      <c r="AP19" s="147">
        <f t="shared" si="0"/>
        <v>0.47614257873891996</v>
      </c>
      <c r="AQ19" s="724"/>
      <c r="AR19" s="204">
        <f t="shared" si="8"/>
        <v>23481</v>
      </c>
      <c r="AS19" s="204">
        <v>15907</v>
      </c>
      <c r="AT19" s="204">
        <v>3497</v>
      </c>
      <c r="AU19" s="204">
        <v>13721</v>
      </c>
      <c r="AV19" s="204">
        <v>4928</v>
      </c>
      <c r="AW19" s="204">
        <v>5477</v>
      </c>
      <c r="AX19" s="744"/>
      <c r="AY19" s="43"/>
      <c r="AZ19" s="43"/>
      <c r="BA19" s="43"/>
      <c r="BB19" s="725"/>
      <c r="BC19" s="725"/>
      <c r="BG19" s="722"/>
    </row>
    <row r="20" spans="1:59" ht="12.75" customHeight="1" x14ac:dyDescent="0.2">
      <c r="A20" s="8"/>
      <c r="B20" s="724" t="s">
        <v>218</v>
      </c>
      <c r="C20" s="38">
        <f t="shared" si="3"/>
        <v>-7734</v>
      </c>
      <c r="D20" s="30">
        <f t="shared" si="4"/>
        <v>-0.21673579195157494</v>
      </c>
      <c r="E20" s="520"/>
      <c r="F20" s="748"/>
      <c r="G20" s="748"/>
      <c r="H20" s="748"/>
      <c r="I20" s="213">
        <f>+I18+I19</f>
        <v>27950</v>
      </c>
      <c r="J20" s="748">
        <f>SUM(J18:J19)</f>
        <v>48008</v>
      </c>
      <c r="K20" s="748">
        <f>SUM(K18:K19)</f>
        <v>56693</v>
      </c>
      <c r="L20" s="748">
        <v>39087</v>
      </c>
      <c r="M20" s="213">
        <v>35684</v>
      </c>
      <c r="N20" s="398">
        <v>64627</v>
      </c>
      <c r="O20" s="398">
        <f>51829-898</f>
        <v>50931</v>
      </c>
      <c r="P20" s="398">
        <v>44738</v>
      </c>
      <c r="Q20" s="213">
        <v>56728</v>
      </c>
      <c r="R20" s="398">
        <v>86655</v>
      </c>
      <c r="S20" s="398">
        <v>95272</v>
      </c>
      <c r="T20" s="398">
        <v>49360</v>
      </c>
      <c r="U20" s="213">
        <v>50089</v>
      </c>
      <c r="V20" s="398">
        <v>48182</v>
      </c>
      <c r="W20" s="398">
        <v>65080</v>
      </c>
      <c r="X20" s="398">
        <v>38928</v>
      </c>
      <c r="Y20" s="213">
        <v>43575</v>
      </c>
      <c r="Z20" s="398">
        <v>29690</v>
      </c>
      <c r="AA20" s="398">
        <v>28216</v>
      </c>
      <c r="AB20" s="398">
        <v>35846</v>
      </c>
      <c r="AC20" s="213">
        <v>52312</v>
      </c>
      <c r="AD20" s="172">
        <v>42278</v>
      </c>
      <c r="AE20" s="209">
        <v>58353</v>
      </c>
      <c r="AF20" s="209">
        <v>52413</v>
      </c>
      <c r="AG20" s="209">
        <v>78677</v>
      </c>
      <c r="AH20" s="159">
        <v>77445</v>
      </c>
      <c r="AI20" s="213">
        <v>67818</v>
      </c>
      <c r="AJ20" s="213">
        <v>52505</v>
      </c>
      <c r="AK20" s="213">
        <v>65428</v>
      </c>
      <c r="AL20" s="88"/>
      <c r="AM20" s="738">
        <f t="shared" si="5"/>
        <v>131464</v>
      </c>
      <c r="AN20" s="738">
        <f t="shared" si="6"/>
        <v>152397</v>
      </c>
      <c r="AO20" s="31">
        <f t="shared" si="7"/>
        <v>-37552</v>
      </c>
      <c r="AP20" s="30">
        <f t="shared" si="0"/>
        <v>-0.17303155411383073</v>
      </c>
      <c r="AQ20" s="82"/>
      <c r="AR20" s="744">
        <f>SUM(AR18:AR19)</f>
        <v>179472</v>
      </c>
      <c r="AS20" s="198">
        <f>SUM(N20:Q20)</f>
        <v>217024</v>
      </c>
      <c r="AT20" s="198">
        <f>SUM(R20:U20)</f>
        <v>281376</v>
      </c>
      <c r="AU20" s="198">
        <v>195765</v>
      </c>
      <c r="AV20" s="198">
        <v>146064</v>
      </c>
      <c r="AW20" s="198">
        <v>231721</v>
      </c>
      <c r="AX20" s="198">
        <v>263196</v>
      </c>
      <c r="AY20" s="43">
        <v>221165</v>
      </c>
      <c r="AZ20" s="43">
        <v>154427</v>
      </c>
      <c r="BA20" s="43">
        <v>164826</v>
      </c>
      <c r="BB20" s="146"/>
      <c r="BC20" s="146"/>
      <c r="BG20" s="3"/>
    </row>
    <row r="21" spans="1:59" ht="12.75" customHeight="1" x14ac:dyDescent="0.2">
      <c r="A21" s="8"/>
      <c r="B21" s="82" t="s">
        <v>69</v>
      </c>
      <c r="C21" s="38">
        <f t="shared" si="3"/>
        <v>-1085</v>
      </c>
      <c r="D21" s="30">
        <f t="shared" si="4"/>
        <v>-7.994400235779546E-2</v>
      </c>
      <c r="E21" s="520"/>
      <c r="F21" s="748"/>
      <c r="G21" s="748"/>
      <c r="H21" s="748"/>
      <c r="I21" s="213">
        <v>12487</v>
      </c>
      <c r="J21" s="748">
        <v>12411</v>
      </c>
      <c r="K21" s="748">
        <v>11698</v>
      </c>
      <c r="L21" s="748">
        <v>12687</v>
      </c>
      <c r="M21" s="213">
        <v>13572</v>
      </c>
      <c r="N21" s="398">
        <v>13896</v>
      </c>
      <c r="O21" s="398">
        <f>16652-4300-275</f>
        <v>12077</v>
      </c>
      <c r="P21" s="398">
        <v>11648</v>
      </c>
      <c r="Q21" s="213">
        <v>13773</v>
      </c>
      <c r="R21" s="398">
        <v>14496</v>
      </c>
      <c r="S21" s="398">
        <v>12178</v>
      </c>
      <c r="T21" s="398">
        <v>13744</v>
      </c>
      <c r="U21" s="213">
        <v>13380</v>
      </c>
      <c r="V21" s="398">
        <v>13818</v>
      </c>
      <c r="W21" s="398">
        <v>12075</v>
      </c>
      <c r="X21" s="398">
        <v>11462</v>
      </c>
      <c r="Y21" s="213">
        <v>11235</v>
      </c>
      <c r="Z21" s="398">
        <v>11808</v>
      </c>
      <c r="AA21" s="398">
        <v>10244</v>
      </c>
      <c r="AB21" s="398">
        <v>11347</v>
      </c>
      <c r="AC21" s="213">
        <v>12594</v>
      </c>
      <c r="AD21" s="172">
        <v>12403</v>
      </c>
      <c r="AE21" s="209">
        <v>10559</v>
      </c>
      <c r="AF21" s="209">
        <v>10399</v>
      </c>
      <c r="AG21" s="209">
        <v>11856</v>
      </c>
      <c r="AH21" s="159">
        <v>11055</v>
      </c>
      <c r="AI21" s="213">
        <v>9161</v>
      </c>
      <c r="AJ21" s="213">
        <v>9102</v>
      </c>
      <c r="AK21" s="213">
        <v>10041</v>
      </c>
      <c r="AL21" s="88"/>
      <c r="AM21" s="327">
        <f t="shared" si="5"/>
        <v>37957</v>
      </c>
      <c r="AN21" s="327">
        <f t="shared" si="6"/>
        <v>37498</v>
      </c>
      <c r="AO21" s="31">
        <f t="shared" si="7"/>
        <v>-1026</v>
      </c>
      <c r="AP21" s="30">
        <f t="shared" si="0"/>
        <v>-1.9963419854457719E-2</v>
      </c>
      <c r="AQ21" s="82"/>
      <c r="AR21" s="744">
        <f t="shared" si="8"/>
        <v>50368</v>
      </c>
      <c r="AS21" s="198">
        <f t="shared" ref="AS21:AS34" si="9">SUM(N21:Q21)</f>
        <v>51394</v>
      </c>
      <c r="AT21" s="198">
        <f t="shared" ref="AT21:AT31" si="10">SUM(R21:U21)</f>
        <v>53798</v>
      </c>
      <c r="AU21" s="198">
        <v>48590</v>
      </c>
      <c r="AV21" s="198">
        <v>45993</v>
      </c>
      <c r="AW21" s="198">
        <v>45217</v>
      </c>
      <c r="AX21" s="198">
        <v>39359</v>
      </c>
      <c r="AY21" s="43">
        <v>37196</v>
      </c>
      <c r="AZ21" s="43">
        <v>36920</v>
      </c>
      <c r="BA21" s="43">
        <v>31335</v>
      </c>
      <c r="BB21" s="146"/>
      <c r="BC21" s="146"/>
      <c r="BG21" s="3"/>
    </row>
    <row r="22" spans="1:59" ht="12.75" hidden="1" customHeight="1" x14ac:dyDescent="0.2">
      <c r="A22" s="8"/>
      <c r="B22" s="7" t="s">
        <v>200</v>
      </c>
      <c r="C22" s="38">
        <f t="shared" si="3"/>
        <v>0</v>
      </c>
      <c r="D22" s="30" t="e">
        <f t="shared" si="4"/>
        <v>#DIV/0!</v>
      </c>
      <c r="E22" s="520"/>
      <c r="F22" s="754"/>
      <c r="G22" s="754"/>
      <c r="H22" s="754"/>
      <c r="I22" s="28"/>
      <c r="J22" s="754"/>
      <c r="K22" s="754"/>
      <c r="L22" s="754"/>
      <c r="M22" s="28"/>
      <c r="N22" s="31"/>
      <c r="O22" s="31"/>
      <c r="P22" s="31"/>
      <c r="Q22" s="28"/>
      <c r="R22" s="31"/>
      <c r="S22" s="31"/>
      <c r="T22" s="31"/>
      <c r="U22" s="28"/>
      <c r="V22" s="31">
        <v>0</v>
      </c>
      <c r="W22" s="31">
        <v>0</v>
      </c>
      <c r="X22" s="31">
        <v>0</v>
      </c>
      <c r="Y22" s="28">
        <v>0</v>
      </c>
      <c r="Z22" s="31">
        <v>0</v>
      </c>
      <c r="AA22" s="31">
        <v>0</v>
      </c>
      <c r="AB22" s="31">
        <v>0</v>
      </c>
      <c r="AC22" s="28">
        <v>0</v>
      </c>
      <c r="AD22" s="231"/>
      <c r="AE22" s="231"/>
      <c r="AF22" s="231"/>
      <c r="AG22" s="235"/>
      <c r="AH22" s="198"/>
      <c r="AI22" s="235"/>
      <c r="AJ22" s="235"/>
      <c r="AK22" s="235"/>
      <c r="AL22" s="200"/>
      <c r="AM22" s="327">
        <f t="shared" si="5"/>
        <v>0</v>
      </c>
      <c r="AN22" s="327">
        <f t="shared" si="6"/>
        <v>0</v>
      </c>
      <c r="AO22" s="251">
        <f t="shared" si="7"/>
        <v>0</v>
      </c>
      <c r="AP22" s="30" t="e">
        <f t="shared" si="0"/>
        <v>#DIV/0!</v>
      </c>
      <c r="AQ22" s="240"/>
      <c r="AR22" s="744">
        <f t="shared" si="8"/>
        <v>0</v>
      </c>
      <c r="AS22" s="198">
        <f t="shared" si="9"/>
        <v>0</v>
      </c>
      <c r="AT22" s="198">
        <f t="shared" si="10"/>
        <v>0</v>
      </c>
      <c r="AU22" s="43">
        <v>0</v>
      </c>
      <c r="AV22" s="43">
        <v>0</v>
      </c>
      <c r="AW22" s="43">
        <v>0</v>
      </c>
      <c r="AX22" s="43">
        <v>0</v>
      </c>
      <c r="AY22" s="43">
        <v>0</v>
      </c>
      <c r="AZ22" s="43"/>
      <c r="BA22" s="43"/>
      <c r="BB22" s="146"/>
      <c r="BC22" s="146"/>
      <c r="BG22" s="3"/>
    </row>
    <row r="23" spans="1:59" ht="12.75" customHeight="1" x14ac:dyDescent="0.2">
      <c r="A23" s="8"/>
      <c r="B23" s="82" t="s">
        <v>98</v>
      </c>
      <c r="C23" s="38">
        <f t="shared" si="3"/>
        <v>-1205</v>
      </c>
      <c r="D23" s="30">
        <f t="shared" si="4"/>
        <v>-0.24845360824742269</v>
      </c>
      <c r="E23" s="520"/>
      <c r="F23" s="748"/>
      <c r="G23" s="748"/>
      <c r="H23" s="748"/>
      <c r="I23" s="213">
        <v>3645</v>
      </c>
      <c r="J23" s="748">
        <v>4416</v>
      </c>
      <c r="K23" s="748">
        <v>4503</v>
      </c>
      <c r="L23" s="748">
        <v>3784</v>
      </c>
      <c r="M23" s="213">
        <v>4850</v>
      </c>
      <c r="N23" s="398">
        <v>4636</v>
      </c>
      <c r="O23" s="398">
        <v>5332</v>
      </c>
      <c r="P23" s="398">
        <v>5193</v>
      </c>
      <c r="Q23" s="213">
        <v>6806</v>
      </c>
      <c r="R23" s="398">
        <v>6617</v>
      </c>
      <c r="S23" s="398">
        <v>6104</v>
      </c>
      <c r="T23" s="398">
        <v>5375</v>
      </c>
      <c r="U23" s="213">
        <v>5783</v>
      </c>
      <c r="V23" s="398">
        <v>5147</v>
      </c>
      <c r="W23" s="398">
        <v>4751</v>
      </c>
      <c r="X23" s="398">
        <v>4541</v>
      </c>
      <c r="Y23" s="213">
        <v>4327</v>
      </c>
      <c r="Z23" s="398">
        <v>3862</v>
      </c>
      <c r="AA23" s="398">
        <v>4063</v>
      </c>
      <c r="AB23" s="398">
        <v>3347</v>
      </c>
      <c r="AC23" s="213">
        <v>3325</v>
      </c>
      <c r="AD23" s="172">
        <v>3357</v>
      </c>
      <c r="AE23" s="209">
        <v>4334</v>
      </c>
      <c r="AF23" s="209">
        <v>4309</v>
      </c>
      <c r="AG23" s="209">
        <v>4262</v>
      </c>
      <c r="AH23" s="159">
        <v>4096</v>
      </c>
      <c r="AI23" s="213">
        <v>3153</v>
      </c>
      <c r="AJ23" s="213">
        <v>3830</v>
      </c>
      <c r="AK23" s="213">
        <v>5904</v>
      </c>
      <c r="AL23" s="88"/>
      <c r="AM23" s="327">
        <f t="shared" si="5"/>
        <v>13137</v>
      </c>
      <c r="AN23" s="327">
        <f t="shared" si="6"/>
        <v>17331</v>
      </c>
      <c r="AO23" s="31">
        <f t="shared" si="7"/>
        <v>-4414</v>
      </c>
      <c r="AP23" s="30">
        <f t="shared" si="0"/>
        <v>-0.20093777029180135</v>
      </c>
      <c r="AQ23" s="82"/>
      <c r="AR23" s="744">
        <f t="shared" si="8"/>
        <v>17553</v>
      </c>
      <c r="AS23" s="198">
        <f t="shared" si="9"/>
        <v>21967</v>
      </c>
      <c r="AT23" s="198">
        <f t="shared" si="10"/>
        <v>23879</v>
      </c>
      <c r="AU23" s="198">
        <v>18766</v>
      </c>
      <c r="AV23" s="198">
        <v>14597</v>
      </c>
      <c r="AW23" s="198">
        <v>16262</v>
      </c>
      <c r="AX23" s="198">
        <v>16983</v>
      </c>
      <c r="AY23" s="43">
        <v>17399</v>
      </c>
      <c r="AZ23" s="43">
        <v>15700</v>
      </c>
      <c r="BA23" s="43">
        <v>16193</v>
      </c>
      <c r="BB23" s="146"/>
      <c r="BC23" s="146"/>
      <c r="BG23" s="3"/>
    </row>
    <row r="24" spans="1:59" ht="12.75" customHeight="1" x14ac:dyDescent="0.2">
      <c r="A24" s="8"/>
      <c r="B24" s="82" t="s">
        <v>71</v>
      </c>
      <c r="C24" s="38">
        <f t="shared" si="3"/>
        <v>-413</v>
      </c>
      <c r="D24" s="30">
        <f t="shared" si="4"/>
        <v>-9.7405660377358497E-2</v>
      </c>
      <c r="E24" s="520"/>
      <c r="F24" s="748"/>
      <c r="G24" s="748"/>
      <c r="H24" s="748"/>
      <c r="I24" s="213">
        <v>3827</v>
      </c>
      <c r="J24" s="748">
        <v>4013</v>
      </c>
      <c r="K24" s="748">
        <v>3786</v>
      </c>
      <c r="L24" s="748">
        <v>4094</v>
      </c>
      <c r="M24" s="213">
        <v>4240</v>
      </c>
      <c r="N24" s="398">
        <v>4490</v>
      </c>
      <c r="O24" s="398">
        <v>4349</v>
      </c>
      <c r="P24" s="398">
        <v>4395</v>
      </c>
      <c r="Q24" s="213">
        <v>4575</v>
      </c>
      <c r="R24" s="398">
        <v>5263</v>
      </c>
      <c r="S24" s="398">
        <v>5085</v>
      </c>
      <c r="T24" s="398">
        <v>4655</v>
      </c>
      <c r="U24" s="213">
        <v>4086</v>
      </c>
      <c r="V24" s="398">
        <v>4079</v>
      </c>
      <c r="W24" s="398">
        <v>4027</v>
      </c>
      <c r="X24" s="398">
        <v>3885</v>
      </c>
      <c r="Y24" s="213">
        <v>3702</v>
      </c>
      <c r="Z24" s="398">
        <v>4062</v>
      </c>
      <c r="AA24" s="398">
        <v>4010</v>
      </c>
      <c r="AB24" s="398">
        <v>3660</v>
      </c>
      <c r="AC24" s="213">
        <v>3721</v>
      </c>
      <c r="AD24" s="172">
        <v>3733</v>
      </c>
      <c r="AE24" s="209">
        <v>3630</v>
      </c>
      <c r="AF24" s="209">
        <v>3659</v>
      </c>
      <c r="AG24" s="209">
        <v>3478</v>
      </c>
      <c r="AH24" s="159">
        <v>3407</v>
      </c>
      <c r="AI24" s="213">
        <v>3507</v>
      </c>
      <c r="AJ24" s="213">
        <v>3794</v>
      </c>
      <c r="AK24" s="213">
        <v>3821</v>
      </c>
      <c r="AL24" s="88"/>
      <c r="AM24" s="327">
        <f t="shared" si="5"/>
        <v>12120</v>
      </c>
      <c r="AN24" s="327">
        <f t="shared" si="6"/>
        <v>13319</v>
      </c>
      <c r="AO24" s="31">
        <f t="shared" si="7"/>
        <v>-1676</v>
      </c>
      <c r="AP24" s="30">
        <f t="shared" si="0"/>
        <v>-9.4109719804593178E-2</v>
      </c>
      <c r="AQ24" s="82"/>
      <c r="AR24" s="744">
        <f t="shared" si="8"/>
        <v>16133</v>
      </c>
      <c r="AS24" s="198">
        <f t="shared" si="9"/>
        <v>17809</v>
      </c>
      <c r="AT24" s="198">
        <f t="shared" si="10"/>
        <v>19089</v>
      </c>
      <c r="AU24" s="198">
        <v>15693</v>
      </c>
      <c r="AV24" s="198">
        <v>15453</v>
      </c>
      <c r="AW24" s="198">
        <v>14500</v>
      </c>
      <c r="AX24" s="198">
        <v>14529</v>
      </c>
      <c r="AY24" s="43">
        <v>12701</v>
      </c>
      <c r="AZ24" s="43">
        <v>9706</v>
      </c>
      <c r="BA24" s="43">
        <v>10444</v>
      </c>
      <c r="BB24" s="146"/>
      <c r="BC24" s="146"/>
      <c r="BG24" s="3"/>
    </row>
    <row r="25" spans="1:59" ht="12.75" customHeight="1" x14ac:dyDescent="0.2">
      <c r="A25" s="8"/>
      <c r="B25" s="82" t="s">
        <v>72</v>
      </c>
      <c r="C25" s="38">
        <f t="shared" si="3"/>
        <v>-511</v>
      </c>
      <c r="D25" s="30">
        <f t="shared" si="4"/>
        <v>-0.12363900314541496</v>
      </c>
      <c r="E25" s="520"/>
      <c r="F25" s="748"/>
      <c r="G25" s="748"/>
      <c r="H25" s="748"/>
      <c r="I25" s="213">
        <v>3622</v>
      </c>
      <c r="J25" s="748">
        <v>4103</v>
      </c>
      <c r="K25" s="748">
        <v>4087</v>
      </c>
      <c r="L25" s="748">
        <v>3963</v>
      </c>
      <c r="M25" s="213">
        <v>4133</v>
      </c>
      <c r="N25" s="398">
        <v>4924</v>
      </c>
      <c r="O25" s="398">
        <v>3872</v>
      </c>
      <c r="P25" s="398">
        <v>3885</v>
      </c>
      <c r="Q25" s="213">
        <v>3756</v>
      </c>
      <c r="R25" s="398">
        <v>3726</v>
      </c>
      <c r="S25" s="398">
        <v>3429</v>
      </c>
      <c r="T25" s="398">
        <v>4011</v>
      </c>
      <c r="U25" s="213">
        <v>3664</v>
      </c>
      <c r="V25" s="398">
        <v>3374</v>
      </c>
      <c r="W25" s="398">
        <v>3740</v>
      </c>
      <c r="X25" s="398">
        <v>3502</v>
      </c>
      <c r="Y25" s="213">
        <v>3811</v>
      </c>
      <c r="Z25" s="398">
        <v>4293</v>
      </c>
      <c r="AA25" s="398">
        <v>4604</v>
      </c>
      <c r="AB25" s="398">
        <v>4576</v>
      </c>
      <c r="AC25" s="213">
        <v>4647</v>
      </c>
      <c r="AD25" s="172">
        <v>4496</v>
      </c>
      <c r="AE25" s="209">
        <v>4310</v>
      </c>
      <c r="AF25" s="209">
        <v>4532</v>
      </c>
      <c r="AG25" s="209">
        <v>4498</v>
      </c>
      <c r="AH25" s="159">
        <v>4418</v>
      </c>
      <c r="AI25" s="213">
        <v>4199</v>
      </c>
      <c r="AJ25" s="213">
        <v>4325</v>
      </c>
      <c r="AK25" s="213">
        <v>4019</v>
      </c>
      <c r="AL25" s="88"/>
      <c r="AM25" s="327">
        <f t="shared" si="5"/>
        <v>12183</v>
      </c>
      <c r="AN25" s="327">
        <f t="shared" si="6"/>
        <v>11513</v>
      </c>
      <c r="AO25" s="31">
        <f t="shared" si="7"/>
        <v>-151</v>
      </c>
      <c r="AP25" s="30">
        <f t="shared" si="0"/>
        <v>-9.1865912271095699E-3</v>
      </c>
      <c r="AQ25" s="82"/>
      <c r="AR25" s="744">
        <f t="shared" si="8"/>
        <v>16286</v>
      </c>
      <c r="AS25" s="198">
        <f t="shared" si="9"/>
        <v>16437</v>
      </c>
      <c r="AT25" s="198">
        <f t="shared" si="10"/>
        <v>14830</v>
      </c>
      <c r="AU25" s="198">
        <v>14427</v>
      </c>
      <c r="AV25" s="198">
        <v>18120</v>
      </c>
      <c r="AW25" s="198">
        <v>17836</v>
      </c>
      <c r="AX25" s="198">
        <v>16961</v>
      </c>
      <c r="AY25" s="43">
        <v>14662</v>
      </c>
      <c r="AZ25" s="43">
        <v>13001</v>
      </c>
      <c r="BA25" s="43">
        <v>11453</v>
      </c>
      <c r="BB25" s="146"/>
      <c r="BC25" s="146"/>
      <c r="BG25" s="3"/>
    </row>
    <row r="26" spans="1:59" ht="12.75" customHeight="1" x14ac:dyDescent="0.2">
      <c r="A26" s="8"/>
      <c r="B26" s="82" t="s">
        <v>67</v>
      </c>
      <c r="C26" s="38">
        <f t="shared" si="3"/>
        <v>-777</v>
      </c>
      <c r="D26" s="30">
        <f t="shared" si="4"/>
        <v>-0.24705882352941178</v>
      </c>
      <c r="E26" s="520"/>
      <c r="F26" s="748"/>
      <c r="G26" s="748"/>
      <c r="H26" s="748"/>
      <c r="I26" s="213">
        <v>2368</v>
      </c>
      <c r="J26" s="748">
        <v>2231</v>
      </c>
      <c r="K26" s="748">
        <v>2706</v>
      </c>
      <c r="L26" s="748">
        <v>1856</v>
      </c>
      <c r="M26" s="213">
        <v>3145</v>
      </c>
      <c r="N26" s="398">
        <v>2822</v>
      </c>
      <c r="O26" s="398">
        <v>2286</v>
      </c>
      <c r="P26" s="398">
        <v>1893</v>
      </c>
      <c r="Q26" s="213">
        <v>2378</v>
      </c>
      <c r="R26" s="398">
        <v>2383</v>
      </c>
      <c r="S26" s="398">
        <v>2974</v>
      </c>
      <c r="T26" s="398">
        <v>1630</v>
      </c>
      <c r="U26" s="213">
        <v>540</v>
      </c>
      <c r="V26" s="398">
        <v>172</v>
      </c>
      <c r="W26" s="398">
        <v>429</v>
      </c>
      <c r="X26" s="398">
        <v>277</v>
      </c>
      <c r="Y26" s="213">
        <v>-260</v>
      </c>
      <c r="Z26" s="398">
        <v>198</v>
      </c>
      <c r="AA26" s="398">
        <v>1663</v>
      </c>
      <c r="AB26" s="398">
        <v>2707</v>
      </c>
      <c r="AC26" s="213">
        <v>3325</v>
      </c>
      <c r="AD26" s="172">
        <v>4900</v>
      </c>
      <c r="AE26" s="209">
        <v>6118</v>
      </c>
      <c r="AF26" s="209">
        <v>5934</v>
      </c>
      <c r="AG26" s="209">
        <v>5847</v>
      </c>
      <c r="AH26" s="159">
        <v>5089</v>
      </c>
      <c r="AI26" s="213">
        <v>4823</v>
      </c>
      <c r="AJ26" s="213">
        <v>5321</v>
      </c>
      <c r="AK26" s="213">
        <v>4888</v>
      </c>
      <c r="AL26" s="88"/>
      <c r="AM26" s="327">
        <f t="shared" si="5"/>
        <v>7707</v>
      </c>
      <c r="AN26" s="327">
        <f t="shared" si="6"/>
        <v>6557</v>
      </c>
      <c r="AO26" s="31">
        <f t="shared" si="7"/>
        <v>559</v>
      </c>
      <c r="AP26" s="30">
        <f t="shared" si="0"/>
        <v>5.96012368056296E-2</v>
      </c>
      <c r="AQ26" s="82"/>
      <c r="AR26" s="744">
        <f t="shared" si="8"/>
        <v>9938</v>
      </c>
      <c r="AS26" s="198">
        <f t="shared" si="9"/>
        <v>9379</v>
      </c>
      <c r="AT26" s="198">
        <f t="shared" si="10"/>
        <v>7527</v>
      </c>
      <c r="AU26" s="198">
        <v>618</v>
      </c>
      <c r="AV26" s="198">
        <v>7893</v>
      </c>
      <c r="AW26" s="198">
        <v>22799</v>
      </c>
      <c r="AX26" s="198">
        <v>20121</v>
      </c>
      <c r="AY26" s="43">
        <v>10820</v>
      </c>
      <c r="AZ26" s="43">
        <v>7823</v>
      </c>
      <c r="BA26" s="43">
        <v>3959</v>
      </c>
      <c r="BB26" s="146"/>
      <c r="BC26" s="146"/>
      <c r="BG26" s="3"/>
    </row>
    <row r="27" spans="1:59" ht="12.75" customHeight="1" x14ac:dyDescent="0.2">
      <c r="A27" s="8"/>
      <c r="B27" s="82" t="s">
        <v>73</v>
      </c>
      <c r="C27" s="38">
        <f t="shared" si="3"/>
        <v>-1876</v>
      </c>
      <c r="D27" s="30">
        <f t="shared" si="4"/>
        <v>-0.2040905134899913</v>
      </c>
      <c r="E27" s="520"/>
      <c r="F27" s="748"/>
      <c r="G27" s="748"/>
      <c r="H27" s="748"/>
      <c r="I27" s="213">
        <v>7316</v>
      </c>
      <c r="J27" s="748">
        <v>8088</v>
      </c>
      <c r="K27" s="748">
        <v>8977</v>
      </c>
      <c r="L27" s="748">
        <v>9260</v>
      </c>
      <c r="M27" s="213">
        <v>9192</v>
      </c>
      <c r="N27" s="398">
        <v>12634</v>
      </c>
      <c r="O27" s="398">
        <v>10435</v>
      </c>
      <c r="P27" s="398">
        <v>11255</v>
      </c>
      <c r="Q27" s="213">
        <v>10637</v>
      </c>
      <c r="R27" s="398">
        <v>14217</v>
      </c>
      <c r="S27" s="398">
        <v>12149</v>
      </c>
      <c r="T27" s="398">
        <v>11678</v>
      </c>
      <c r="U27" s="213">
        <v>10345</v>
      </c>
      <c r="V27" s="398">
        <v>12296</v>
      </c>
      <c r="W27" s="398">
        <v>9716</v>
      </c>
      <c r="X27" s="398">
        <v>7759</v>
      </c>
      <c r="Y27" s="213">
        <v>7413</v>
      </c>
      <c r="Z27" s="398">
        <v>5941</v>
      </c>
      <c r="AA27" s="398">
        <v>13192</v>
      </c>
      <c r="AB27" s="398">
        <v>10569</v>
      </c>
      <c r="AC27" s="213">
        <v>11595</v>
      </c>
      <c r="AD27" s="172">
        <v>10702</v>
      </c>
      <c r="AE27" s="209">
        <v>12891</v>
      </c>
      <c r="AF27" s="209">
        <v>9494</v>
      </c>
      <c r="AG27" s="209">
        <v>12158</v>
      </c>
      <c r="AH27" s="159">
        <v>8743</v>
      </c>
      <c r="AI27" s="213">
        <v>9700</v>
      </c>
      <c r="AJ27" s="213">
        <v>9574</v>
      </c>
      <c r="AK27" s="213">
        <v>14575</v>
      </c>
      <c r="AL27" s="88"/>
      <c r="AM27" s="327">
        <f t="shared" si="5"/>
        <v>27429</v>
      </c>
      <c r="AN27" s="327">
        <f t="shared" si="6"/>
        <v>32327</v>
      </c>
      <c r="AO27" s="31">
        <f t="shared" si="7"/>
        <v>-9444</v>
      </c>
      <c r="AP27" s="30">
        <f t="shared" si="0"/>
        <v>-0.21004870888103022</v>
      </c>
      <c r="AQ27" s="82"/>
      <c r="AR27" s="744">
        <f t="shared" si="8"/>
        <v>35517</v>
      </c>
      <c r="AS27" s="198">
        <f t="shared" si="9"/>
        <v>44961</v>
      </c>
      <c r="AT27" s="198">
        <f t="shared" si="10"/>
        <v>48389</v>
      </c>
      <c r="AU27" s="198">
        <v>37184</v>
      </c>
      <c r="AV27" s="198">
        <v>41297</v>
      </c>
      <c r="AW27" s="198">
        <v>45245</v>
      </c>
      <c r="AX27" s="198">
        <v>42592</v>
      </c>
      <c r="AY27" s="43">
        <v>38066</v>
      </c>
      <c r="AZ27" s="43">
        <v>26292</v>
      </c>
      <c r="BA27" s="43">
        <v>21726</v>
      </c>
      <c r="BB27" s="146"/>
      <c r="BC27" s="146"/>
      <c r="BG27" s="3"/>
    </row>
    <row r="28" spans="1:59" ht="12.75" customHeight="1" x14ac:dyDescent="0.2">
      <c r="A28" s="8"/>
      <c r="B28" s="82" t="s">
        <v>74</v>
      </c>
      <c r="C28" s="38">
        <f t="shared" si="3"/>
        <v>-124</v>
      </c>
      <c r="D28" s="30">
        <f t="shared" si="4"/>
        <v>-5.4385964912280704E-2</v>
      </c>
      <c r="E28" s="520"/>
      <c r="F28" s="748"/>
      <c r="G28" s="748"/>
      <c r="H28" s="748"/>
      <c r="I28" s="213">
        <v>2156</v>
      </c>
      <c r="J28" s="748">
        <v>4130</v>
      </c>
      <c r="K28" s="748">
        <v>2981</v>
      </c>
      <c r="L28" s="748">
        <v>2285</v>
      </c>
      <c r="M28" s="213">
        <v>2280</v>
      </c>
      <c r="N28" s="398">
        <v>2386</v>
      </c>
      <c r="O28" s="398">
        <f>3210-837</f>
        <v>2373</v>
      </c>
      <c r="P28" s="398">
        <v>2307</v>
      </c>
      <c r="Q28" s="213">
        <v>2322</v>
      </c>
      <c r="R28" s="398">
        <v>2425</v>
      </c>
      <c r="S28" s="398">
        <v>2214</v>
      </c>
      <c r="T28" s="398">
        <v>3116</v>
      </c>
      <c r="U28" s="213">
        <v>2710</v>
      </c>
      <c r="V28" s="398">
        <v>1260</v>
      </c>
      <c r="W28" s="398">
        <v>1226</v>
      </c>
      <c r="X28" s="398">
        <v>1204</v>
      </c>
      <c r="Y28" s="213">
        <v>1192</v>
      </c>
      <c r="Z28" s="398">
        <v>1390</v>
      </c>
      <c r="AA28" s="398">
        <v>1936</v>
      </c>
      <c r="AB28" s="398">
        <v>1372</v>
      </c>
      <c r="AC28" s="213">
        <v>1355</v>
      </c>
      <c r="AD28" s="172">
        <v>1478</v>
      </c>
      <c r="AE28" s="209">
        <v>1452</v>
      </c>
      <c r="AF28" s="209">
        <v>1389</v>
      </c>
      <c r="AG28" s="209">
        <v>1286</v>
      </c>
      <c r="AH28" s="159">
        <v>1349</v>
      </c>
      <c r="AI28" s="213">
        <v>1280</v>
      </c>
      <c r="AJ28" s="213">
        <v>1418</v>
      </c>
      <c r="AK28" s="213">
        <v>1381</v>
      </c>
      <c r="AL28" s="88"/>
      <c r="AM28" s="327">
        <f t="shared" si="5"/>
        <v>7546</v>
      </c>
      <c r="AN28" s="327">
        <f t="shared" si="6"/>
        <v>7002</v>
      </c>
      <c r="AO28" s="31">
        <f t="shared" si="7"/>
        <v>2288</v>
      </c>
      <c r="AP28" s="30">
        <f t="shared" si="0"/>
        <v>0.24371538133787815</v>
      </c>
      <c r="AQ28" s="82"/>
      <c r="AR28" s="744">
        <f t="shared" si="8"/>
        <v>11676</v>
      </c>
      <c r="AS28" s="198">
        <f t="shared" si="9"/>
        <v>9388</v>
      </c>
      <c r="AT28" s="198">
        <f t="shared" si="10"/>
        <v>10465</v>
      </c>
      <c r="AU28" s="198">
        <v>4882</v>
      </c>
      <c r="AV28" s="198">
        <v>6053</v>
      </c>
      <c r="AW28" s="198">
        <v>5605</v>
      </c>
      <c r="AX28" s="198">
        <v>5428</v>
      </c>
      <c r="AY28" s="43">
        <v>3923</v>
      </c>
      <c r="AZ28" s="43">
        <v>2565</v>
      </c>
      <c r="BA28" s="43">
        <v>2849</v>
      </c>
      <c r="BB28" s="146"/>
      <c r="BC28" s="146"/>
      <c r="BG28" s="3"/>
    </row>
    <row r="29" spans="1:59" ht="12.75" customHeight="1" x14ac:dyDescent="0.2">
      <c r="A29" s="7"/>
      <c r="B29" s="82" t="s">
        <v>75</v>
      </c>
      <c r="C29" s="38">
        <f t="shared" si="3"/>
        <v>-683</v>
      </c>
      <c r="D29" s="30">
        <f t="shared" si="4"/>
        <v>-0.26391035548686242</v>
      </c>
      <c r="E29" s="520"/>
      <c r="F29" s="748"/>
      <c r="G29" s="748"/>
      <c r="H29" s="748"/>
      <c r="I29" s="213">
        <v>1905</v>
      </c>
      <c r="J29" s="748">
        <v>1993</v>
      </c>
      <c r="K29" s="748">
        <v>2071</v>
      </c>
      <c r="L29" s="748">
        <v>3527</v>
      </c>
      <c r="M29" s="213">
        <v>2588</v>
      </c>
      <c r="N29" s="398">
        <v>2802</v>
      </c>
      <c r="O29" s="398">
        <v>2446</v>
      </c>
      <c r="P29" s="398">
        <v>2763</v>
      </c>
      <c r="Q29" s="213">
        <v>3039</v>
      </c>
      <c r="R29" s="398">
        <v>3450</v>
      </c>
      <c r="S29" s="398">
        <v>3476</v>
      </c>
      <c r="T29" s="398">
        <v>3749</v>
      </c>
      <c r="U29" s="213">
        <v>3883</v>
      </c>
      <c r="V29" s="398">
        <v>4449</v>
      </c>
      <c r="W29" s="398">
        <v>5476</v>
      </c>
      <c r="X29" s="398">
        <v>4114</v>
      </c>
      <c r="Y29" s="213">
        <v>3772</v>
      </c>
      <c r="Z29" s="398">
        <v>4637</v>
      </c>
      <c r="AA29" s="398">
        <v>4127</v>
      </c>
      <c r="AB29" s="398">
        <v>3304</v>
      </c>
      <c r="AC29" s="213">
        <v>3855</v>
      </c>
      <c r="AD29" s="172">
        <v>4230</v>
      </c>
      <c r="AE29" s="209">
        <v>3260</v>
      </c>
      <c r="AF29" s="209">
        <v>3297</v>
      </c>
      <c r="AG29" s="209">
        <v>3251</v>
      </c>
      <c r="AH29" s="159">
        <v>3137</v>
      </c>
      <c r="AI29" s="213">
        <v>3316</v>
      </c>
      <c r="AJ29" s="213">
        <v>2833</v>
      </c>
      <c r="AK29" s="213">
        <v>2819</v>
      </c>
      <c r="AL29" s="88"/>
      <c r="AM29" s="327">
        <f t="shared" si="5"/>
        <v>8186</v>
      </c>
      <c r="AN29" s="327">
        <f t="shared" si="6"/>
        <v>8248</v>
      </c>
      <c r="AO29" s="31">
        <f t="shared" si="7"/>
        <v>-871</v>
      </c>
      <c r="AP29" s="30">
        <f t="shared" si="0"/>
        <v>-7.8823529411764709E-2</v>
      </c>
      <c r="AQ29" s="82"/>
      <c r="AR29" s="744">
        <f t="shared" si="8"/>
        <v>10179</v>
      </c>
      <c r="AS29" s="198">
        <f t="shared" si="9"/>
        <v>11050</v>
      </c>
      <c r="AT29" s="198">
        <f t="shared" si="10"/>
        <v>14558</v>
      </c>
      <c r="AU29" s="198">
        <v>17811</v>
      </c>
      <c r="AV29" s="198">
        <v>15923</v>
      </c>
      <c r="AW29" s="198">
        <v>14038</v>
      </c>
      <c r="AX29" s="198">
        <v>12105</v>
      </c>
      <c r="AY29" s="43">
        <v>9243</v>
      </c>
      <c r="AZ29" s="43">
        <v>7924</v>
      </c>
      <c r="BA29" s="43">
        <v>8240</v>
      </c>
      <c r="BB29" s="146"/>
      <c r="BC29" s="146"/>
      <c r="BG29" s="3"/>
    </row>
    <row r="30" spans="1:59" ht="12.75" customHeight="1" x14ac:dyDescent="0.2">
      <c r="A30" s="8"/>
      <c r="B30" s="7" t="s">
        <v>169</v>
      </c>
      <c r="C30" s="38">
        <f t="shared" si="3"/>
        <v>0</v>
      </c>
      <c r="D30" s="518">
        <v>0</v>
      </c>
      <c r="E30" s="520"/>
      <c r="F30" s="730"/>
      <c r="G30" s="730"/>
      <c r="H30" s="730"/>
      <c r="I30" s="166">
        <v>0</v>
      </c>
      <c r="J30" s="730">
        <v>0</v>
      </c>
      <c r="K30" s="730">
        <v>0</v>
      </c>
      <c r="L30" s="730">
        <v>15042</v>
      </c>
      <c r="M30" s="166">
        <v>0</v>
      </c>
      <c r="N30" s="210">
        <v>8153</v>
      </c>
      <c r="O30" s="210">
        <f>4300+275+899</f>
        <v>5474</v>
      </c>
      <c r="P30" s="210">
        <v>0</v>
      </c>
      <c r="Q30" s="166">
        <v>0</v>
      </c>
      <c r="R30" s="210">
        <v>0</v>
      </c>
      <c r="S30" s="210">
        <v>0</v>
      </c>
      <c r="T30" s="210">
        <v>0</v>
      </c>
      <c r="U30" s="166">
        <v>0</v>
      </c>
      <c r="V30" s="210">
        <v>0</v>
      </c>
      <c r="W30" s="210">
        <v>0</v>
      </c>
      <c r="X30" s="210">
        <v>0</v>
      </c>
      <c r="Y30" s="166">
        <v>0</v>
      </c>
      <c r="Z30" s="398">
        <v>142</v>
      </c>
      <c r="AA30" s="398">
        <v>2623</v>
      </c>
      <c r="AB30" s="210">
        <v>0</v>
      </c>
      <c r="AC30" s="166">
        <v>0</v>
      </c>
      <c r="AD30" s="212">
        <v>4000</v>
      </c>
      <c r="AE30" s="211">
        <v>0</v>
      </c>
      <c r="AF30" s="211">
        <v>0</v>
      </c>
      <c r="AG30" s="211">
        <v>0</v>
      </c>
      <c r="AH30" s="201">
        <v>0</v>
      </c>
      <c r="AI30" s="214">
        <v>0</v>
      </c>
      <c r="AJ30" s="213"/>
      <c r="AK30" s="213"/>
      <c r="AL30" s="88"/>
      <c r="AM30" s="210">
        <f t="shared" si="5"/>
        <v>15042</v>
      </c>
      <c r="AN30" s="31">
        <f t="shared" si="6"/>
        <v>5474</v>
      </c>
      <c r="AO30" s="210">
        <f t="shared" si="7"/>
        <v>1415</v>
      </c>
      <c r="AP30" s="685">
        <f t="shared" si="0"/>
        <v>0.10383796873853379</v>
      </c>
      <c r="AQ30" s="88"/>
      <c r="AR30" s="744">
        <f t="shared" si="8"/>
        <v>15042</v>
      </c>
      <c r="AS30" s="214">
        <f>SUM(N30:Q30)</f>
        <v>13627</v>
      </c>
      <c r="AT30" s="214">
        <v>0</v>
      </c>
      <c r="AU30" s="214">
        <v>0</v>
      </c>
      <c r="AV30" s="201">
        <v>2765</v>
      </c>
      <c r="AW30" s="617">
        <v>4000</v>
      </c>
      <c r="AX30" s="201">
        <v>0</v>
      </c>
      <c r="AY30" s="201">
        <v>0</v>
      </c>
      <c r="AZ30" s="201">
        <v>0</v>
      </c>
      <c r="BA30" s="201">
        <v>0</v>
      </c>
      <c r="BB30" s="146"/>
      <c r="BC30" s="146"/>
      <c r="BG30" s="3"/>
    </row>
    <row r="31" spans="1:59" x14ac:dyDescent="0.2">
      <c r="A31" s="7"/>
      <c r="B31" s="7" t="s">
        <v>190</v>
      </c>
      <c r="C31" s="38">
        <f t="shared" si="3"/>
        <v>0</v>
      </c>
      <c r="D31" s="518">
        <v>0</v>
      </c>
      <c r="E31" s="520"/>
      <c r="F31" s="730"/>
      <c r="G31" s="730"/>
      <c r="H31" s="730"/>
      <c r="I31" s="166">
        <v>0</v>
      </c>
      <c r="J31" s="730">
        <v>0</v>
      </c>
      <c r="K31" s="730">
        <v>0</v>
      </c>
      <c r="L31" s="730">
        <v>388</v>
      </c>
      <c r="M31" s="166">
        <v>0</v>
      </c>
      <c r="N31" s="210">
        <v>0</v>
      </c>
      <c r="O31" s="210">
        <v>2700</v>
      </c>
      <c r="P31" s="210">
        <v>2956</v>
      </c>
      <c r="Q31" s="166">
        <v>0</v>
      </c>
      <c r="R31" s="210">
        <v>0</v>
      </c>
      <c r="S31" s="210">
        <v>1750</v>
      </c>
      <c r="T31" s="210">
        <v>0</v>
      </c>
      <c r="U31" s="166">
        <v>10990</v>
      </c>
      <c r="V31" s="210">
        <v>5000</v>
      </c>
      <c r="W31" s="210">
        <v>0</v>
      </c>
      <c r="X31" s="210">
        <v>0</v>
      </c>
      <c r="Y31" s="166">
        <v>0</v>
      </c>
      <c r="Z31" s="210">
        <v>0</v>
      </c>
      <c r="AA31" s="210">
        <v>0</v>
      </c>
      <c r="AB31" s="210">
        <v>0</v>
      </c>
      <c r="AC31" s="166">
        <v>0</v>
      </c>
      <c r="AD31" s="173">
        <v>0</v>
      </c>
      <c r="AE31" s="211"/>
      <c r="AF31" s="211"/>
      <c r="AG31" s="211"/>
      <c r="AH31" s="201"/>
      <c r="AI31" s="214"/>
      <c r="AJ31" s="214"/>
      <c r="AK31" s="214"/>
      <c r="AL31" s="88"/>
      <c r="AM31" s="730">
        <f t="shared" si="5"/>
        <v>388</v>
      </c>
      <c r="AN31" s="327">
        <f t="shared" si="6"/>
        <v>5656</v>
      </c>
      <c r="AO31" s="210">
        <f t="shared" si="7"/>
        <v>-5268</v>
      </c>
      <c r="AP31" s="30">
        <f t="shared" si="0"/>
        <v>-0.93140028288543142</v>
      </c>
      <c r="AQ31" s="82"/>
      <c r="AR31" s="744">
        <f t="shared" si="8"/>
        <v>388</v>
      </c>
      <c r="AS31" s="198">
        <f t="shared" si="9"/>
        <v>5656</v>
      </c>
      <c r="AT31" s="198">
        <f t="shared" si="10"/>
        <v>12740</v>
      </c>
      <c r="AU31" s="201">
        <v>5000</v>
      </c>
      <c r="AV31" s="201">
        <v>0</v>
      </c>
      <c r="AW31" s="617">
        <v>0</v>
      </c>
      <c r="AX31" s="201">
        <v>0</v>
      </c>
      <c r="AY31" s="201">
        <v>0</v>
      </c>
      <c r="AZ31" s="201"/>
      <c r="BA31" s="201"/>
      <c r="BB31" s="146"/>
      <c r="BC31" s="146"/>
      <c r="BG31" s="3"/>
    </row>
    <row r="32" spans="1:59" x14ac:dyDescent="0.2">
      <c r="A32" s="7"/>
      <c r="B32" s="82" t="s">
        <v>76</v>
      </c>
      <c r="C32" s="38">
        <f t="shared" si="3"/>
        <v>0</v>
      </c>
      <c r="D32" s="518">
        <v>0</v>
      </c>
      <c r="E32" s="520"/>
      <c r="F32" s="730"/>
      <c r="G32" s="730"/>
      <c r="H32" s="730"/>
      <c r="I32" s="166">
        <v>0</v>
      </c>
      <c r="J32" s="730">
        <v>0</v>
      </c>
      <c r="K32" s="730">
        <v>0</v>
      </c>
      <c r="L32" s="730">
        <v>0</v>
      </c>
      <c r="M32" s="166">
        <v>0</v>
      </c>
      <c r="N32" s="210">
        <v>0</v>
      </c>
      <c r="O32" s="210">
        <v>0</v>
      </c>
      <c r="P32" s="210">
        <v>0</v>
      </c>
      <c r="Q32" s="166">
        <v>0</v>
      </c>
      <c r="R32" s="210">
        <v>0</v>
      </c>
      <c r="S32" s="210">
        <v>0</v>
      </c>
      <c r="T32" s="210">
        <v>0</v>
      </c>
      <c r="U32" s="166">
        <v>0</v>
      </c>
      <c r="V32" s="210">
        <v>0</v>
      </c>
      <c r="W32" s="210">
        <v>0</v>
      </c>
      <c r="X32" s="210">
        <v>0</v>
      </c>
      <c r="Y32" s="166">
        <v>0</v>
      </c>
      <c r="Z32" s="210">
        <v>0</v>
      </c>
      <c r="AA32" s="210">
        <v>6700</v>
      </c>
      <c r="AB32" s="210">
        <v>0</v>
      </c>
      <c r="AC32" s="166">
        <v>0</v>
      </c>
      <c r="AD32" s="172">
        <v>4172</v>
      </c>
      <c r="AE32" s="209">
        <v>4226</v>
      </c>
      <c r="AF32" s="209">
        <v>4399</v>
      </c>
      <c r="AG32" s="210">
        <v>0</v>
      </c>
      <c r="AH32" s="175">
        <v>0</v>
      </c>
      <c r="AI32" s="166">
        <v>0</v>
      </c>
      <c r="AJ32" s="166">
        <v>0</v>
      </c>
      <c r="AK32" s="166">
        <v>0</v>
      </c>
      <c r="AL32" s="88"/>
      <c r="AM32" s="210">
        <f t="shared" si="5"/>
        <v>0</v>
      </c>
      <c r="AN32" s="210">
        <f t="shared" si="6"/>
        <v>0</v>
      </c>
      <c r="AO32" s="210">
        <v>0</v>
      </c>
      <c r="AP32" s="30">
        <v>0</v>
      </c>
      <c r="AQ32" s="82"/>
      <c r="AR32" s="616">
        <f t="shared" si="8"/>
        <v>0</v>
      </c>
      <c r="AS32" s="616">
        <f t="shared" si="9"/>
        <v>0</v>
      </c>
      <c r="AT32" s="175">
        <v>0</v>
      </c>
      <c r="AU32" s="175">
        <v>0</v>
      </c>
      <c r="AV32" s="175">
        <v>6700</v>
      </c>
      <c r="AW32" s="198">
        <v>12797</v>
      </c>
      <c r="AX32" s="201">
        <v>0</v>
      </c>
      <c r="AY32" s="43">
        <v>0</v>
      </c>
      <c r="AZ32" s="43">
        <v>0</v>
      </c>
      <c r="BA32" s="43">
        <v>0</v>
      </c>
      <c r="BB32" s="146"/>
      <c r="BC32" s="146"/>
      <c r="BG32" s="3"/>
    </row>
    <row r="33" spans="1:59" ht="12.75" customHeight="1" x14ac:dyDescent="0.2">
      <c r="A33" s="7"/>
      <c r="B33" s="142" t="s">
        <v>168</v>
      </c>
      <c r="C33" s="38">
        <f t="shared" si="3"/>
        <v>0</v>
      </c>
      <c r="D33" s="518">
        <v>0</v>
      </c>
      <c r="E33" s="520"/>
      <c r="F33" s="730"/>
      <c r="G33" s="730"/>
      <c r="H33" s="730"/>
      <c r="I33" s="166">
        <v>0</v>
      </c>
      <c r="J33" s="730">
        <v>0</v>
      </c>
      <c r="K33" s="730">
        <v>0</v>
      </c>
      <c r="L33" s="730">
        <v>0</v>
      </c>
      <c r="M33" s="166">
        <v>0</v>
      </c>
      <c r="N33" s="210">
        <v>0</v>
      </c>
      <c r="O33" s="210">
        <v>0</v>
      </c>
      <c r="P33" s="210">
        <v>0</v>
      </c>
      <c r="Q33" s="166">
        <v>0</v>
      </c>
      <c r="R33" s="210">
        <v>0</v>
      </c>
      <c r="S33" s="210">
        <v>0</v>
      </c>
      <c r="T33" s="210">
        <v>0</v>
      </c>
      <c r="U33" s="166">
        <v>0</v>
      </c>
      <c r="V33" s="210">
        <v>0</v>
      </c>
      <c r="W33" s="210">
        <v>0</v>
      </c>
      <c r="X33" s="210">
        <v>0</v>
      </c>
      <c r="Y33" s="166">
        <v>0</v>
      </c>
      <c r="Z33" s="210">
        <v>0</v>
      </c>
      <c r="AA33" s="210">
        <v>5347</v>
      </c>
      <c r="AB33" s="210">
        <v>0</v>
      </c>
      <c r="AC33" s="166">
        <v>0</v>
      </c>
      <c r="AD33" s="172">
        <v>54200</v>
      </c>
      <c r="AE33" s="211">
        <v>0</v>
      </c>
      <c r="AF33" s="211">
        <v>0</v>
      </c>
      <c r="AG33" s="211">
        <v>0</v>
      </c>
      <c r="AH33" s="201">
        <v>0</v>
      </c>
      <c r="AI33" s="214">
        <v>0</v>
      </c>
      <c r="AJ33" s="214">
        <v>0</v>
      </c>
      <c r="AK33" s="214">
        <v>0</v>
      </c>
      <c r="AL33" s="88"/>
      <c r="AM33" s="210">
        <f t="shared" si="5"/>
        <v>0</v>
      </c>
      <c r="AN33" s="210">
        <f t="shared" si="6"/>
        <v>0</v>
      </c>
      <c r="AO33" s="210">
        <v>0</v>
      </c>
      <c r="AP33" s="30">
        <v>0</v>
      </c>
      <c r="AQ33" s="82"/>
      <c r="AR33" s="617">
        <f t="shared" si="8"/>
        <v>0</v>
      </c>
      <c r="AS33" s="617">
        <f t="shared" si="9"/>
        <v>0</v>
      </c>
      <c r="AT33" s="201">
        <v>0</v>
      </c>
      <c r="AU33" s="201">
        <v>0</v>
      </c>
      <c r="AV33" s="201">
        <v>5347</v>
      </c>
      <c r="AW33" s="198">
        <v>54200</v>
      </c>
      <c r="AX33" s="201">
        <v>0</v>
      </c>
      <c r="AY33" s="43">
        <v>0</v>
      </c>
      <c r="AZ33" s="43">
        <v>0</v>
      </c>
      <c r="BA33" s="43">
        <v>0</v>
      </c>
      <c r="BB33" s="146"/>
      <c r="BC33" s="146"/>
      <c r="BG33" s="3"/>
    </row>
    <row r="34" spans="1:59" ht="12.75" customHeight="1" x14ac:dyDescent="0.2">
      <c r="A34" s="7"/>
      <c r="B34" s="7" t="s">
        <v>167</v>
      </c>
      <c r="C34" s="38">
        <f t="shared" si="3"/>
        <v>0</v>
      </c>
      <c r="D34" s="518">
        <v>0</v>
      </c>
      <c r="E34" s="520"/>
      <c r="F34" s="730"/>
      <c r="G34" s="730"/>
      <c r="H34" s="730"/>
      <c r="I34" s="166">
        <v>0</v>
      </c>
      <c r="J34" s="730">
        <v>0</v>
      </c>
      <c r="K34" s="730">
        <v>0</v>
      </c>
      <c r="L34" s="730">
        <v>0</v>
      </c>
      <c r="M34" s="166">
        <v>0</v>
      </c>
      <c r="N34" s="210">
        <v>0</v>
      </c>
      <c r="O34" s="210">
        <v>0</v>
      </c>
      <c r="P34" s="210">
        <v>0</v>
      </c>
      <c r="Q34" s="166">
        <v>0</v>
      </c>
      <c r="R34" s="210">
        <v>0</v>
      </c>
      <c r="S34" s="210">
        <v>0</v>
      </c>
      <c r="T34" s="210">
        <v>0</v>
      </c>
      <c r="U34" s="166">
        <v>0</v>
      </c>
      <c r="V34" s="210">
        <v>0</v>
      </c>
      <c r="W34" s="210">
        <v>0</v>
      </c>
      <c r="X34" s="210">
        <v>0</v>
      </c>
      <c r="Y34" s="166">
        <v>0</v>
      </c>
      <c r="Z34" s="210">
        <v>0</v>
      </c>
      <c r="AA34" s="210">
        <v>3958</v>
      </c>
      <c r="AB34" s="210">
        <v>0</v>
      </c>
      <c r="AC34" s="166">
        <v>0</v>
      </c>
      <c r="AD34" s="173">
        <v>0</v>
      </c>
      <c r="AE34" s="211">
        <v>0</v>
      </c>
      <c r="AF34" s="211">
        <v>0</v>
      </c>
      <c r="AG34" s="211">
        <v>0</v>
      </c>
      <c r="AH34" s="201">
        <v>0</v>
      </c>
      <c r="AI34" s="214">
        <v>0</v>
      </c>
      <c r="AJ34" s="214"/>
      <c r="AK34" s="214"/>
      <c r="AL34" s="88"/>
      <c r="AM34" s="210">
        <f t="shared" si="5"/>
        <v>0</v>
      </c>
      <c r="AN34" s="210">
        <f t="shared" si="6"/>
        <v>0</v>
      </c>
      <c r="AO34" s="210">
        <v>0</v>
      </c>
      <c r="AP34" s="30">
        <v>0</v>
      </c>
      <c r="AQ34" s="82"/>
      <c r="AR34" s="617">
        <f t="shared" si="8"/>
        <v>0</v>
      </c>
      <c r="AS34" s="617">
        <f t="shared" si="9"/>
        <v>0</v>
      </c>
      <c r="AT34" s="201">
        <v>0</v>
      </c>
      <c r="AU34" s="201">
        <v>0</v>
      </c>
      <c r="AV34" s="201">
        <v>3958</v>
      </c>
      <c r="AW34" s="617">
        <v>0</v>
      </c>
      <c r="AX34" s="201">
        <v>0</v>
      </c>
      <c r="AY34" s="201">
        <v>0</v>
      </c>
      <c r="AZ34" s="201">
        <v>0</v>
      </c>
      <c r="BA34" s="201">
        <v>0</v>
      </c>
      <c r="BB34" s="146"/>
      <c r="BC34" s="146"/>
      <c r="BG34" s="3"/>
    </row>
    <row r="35" spans="1:59" ht="12.75" customHeight="1" x14ac:dyDescent="0.2">
      <c r="A35" s="8"/>
      <c r="B35" s="7"/>
      <c r="C35" s="167">
        <f t="shared" si="3"/>
        <v>-14408</v>
      </c>
      <c r="D35" s="168">
        <f>IF(OR((C35/M35)&gt;3,(C35/M35)&lt;-3),"n.m.",(C35/M35))</f>
        <v>-0.18081421615380755</v>
      </c>
      <c r="E35" s="520"/>
      <c r="F35" s="217">
        <f t="shared" ref="F35:M35" si="11">SUM(F20:F34)</f>
        <v>0</v>
      </c>
      <c r="G35" s="217">
        <f t="shared" si="11"/>
        <v>0</v>
      </c>
      <c r="H35" s="217">
        <f t="shared" si="11"/>
        <v>0</v>
      </c>
      <c r="I35" s="218">
        <f t="shared" si="11"/>
        <v>65276</v>
      </c>
      <c r="J35" s="217">
        <f t="shared" si="11"/>
        <v>89393</v>
      </c>
      <c r="K35" s="217">
        <f t="shared" si="11"/>
        <v>97502</v>
      </c>
      <c r="L35" s="217">
        <f t="shared" si="11"/>
        <v>95973</v>
      </c>
      <c r="M35" s="218">
        <f t="shared" si="11"/>
        <v>79684</v>
      </c>
      <c r="N35" s="217">
        <f t="shared" ref="N35:U35" si="12">SUM(N20:N34)</f>
        <v>121370</v>
      </c>
      <c r="O35" s="217">
        <f t="shared" si="12"/>
        <v>102275</v>
      </c>
      <c r="P35" s="217">
        <f t="shared" si="12"/>
        <v>91033</v>
      </c>
      <c r="Q35" s="218">
        <f t="shared" si="12"/>
        <v>104014</v>
      </c>
      <c r="R35" s="217">
        <f t="shared" si="12"/>
        <v>139232</v>
      </c>
      <c r="S35" s="217">
        <f t="shared" si="12"/>
        <v>144631</v>
      </c>
      <c r="T35" s="217">
        <f t="shared" si="12"/>
        <v>97318</v>
      </c>
      <c r="U35" s="218">
        <f t="shared" si="12"/>
        <v>105470</v>
      </c>
      <c r="V35" s="217">
        <v>97777</v>
      </c>
      <c r="W35" s="217">
        <v>106520</v>
      </c>
      <c r="X35" s="217">
        <v>75672</v>
      </c>
      <c r="Y35" s="218">
        <v>78767</v>
      </c>
      <c r="Z35" s="217">
        <v>66023</v>
      </c>
      <c r="AA35" s="217">
        <v>90683</v>
      </c>
      <c r="AB35" s="217">
        <v>76728</v>
      </c>
      <c r="AC35" s="218">
        <v>96729</v>
      </c>
      <c r="AD35" s="176">
        <v>149949</v>
      </c>
      <c r="AE35" s="217">
        <v>109133</v>
      </c>
      <c r="AF35" s="217">
        <v>99825</v>
      </c>
      <c r="AG35" s="217">
        <v>125313</v>
      </c>
      <c r="AH35" s="169">
        <v>118739</v>
      </c>
      <c r="AI35" s="218">
        <v>106957</v>
      </c>
      <c r="AJ35" s="218">
        <v>92702</v>
      </c>
      <c r="AK35" s="218">
        <v>112876</v>
      </c>
      <c r="AL35" s="88"/>
      <c r="AM35" s="217">
        <f>SUM(AM20:AM34)</f>
        <v>273159</v>
      </c>
      <c r="AN35" s="217">
        <f>SUM(AN20:AN34)</f>
        <v>297322</v>
      </c>
      <c r="AO35" s="336">
        <f>AR35-AS35</f>
        <v>-56140</v>
      </c>
      <c r="AP35" s="472">
        <f>IF(OR((AO35/AS35)&gt;3,(AO35/AS35)&lt;-3),"n.m.",(AO35/AS35))</f>
        <v>-0.13408424331011817</v>
      </c>
      <c r="AQ35" s="88"/>
      <c r="AR35" s="218">
        <f>SUM(AR20:AR34)</f>
        <v>362552</v>
      </c>
      <c r="AS35" s="218">
        <f>SUM(AS20:AS34)</f>
        <v>418692</v>
      </c>
      <c r="AT35" s="218">
        <f>SUM(AT20:AT34)</f>
        <v>486651</v>
      </c>
      <c r="AU35" s="246">
        <v>358736</v>
      </c>
      <c r="AV35" s="199">
        <v>330163</v>
      </c>
      <c r="AW35" s="199">
        <v>484220</v>
      </c>
      <c r="AX35" s="199">
        <v>431274</v>
      </c>
      <c r="AY35" s="302">
        <v>363542</v>
      </c>
      <c r="AZ35" s="302">
        <v>274358</v>
      </c>
      <c r="BA35" s="302">
        <v>271025</v>
      </c>
      <c r="BB35" s="146"/>
      <c r="BC35" s="146"/>
      <c r="BG35" s="3"/>
    </row>
    <row r="36" spans="1:59" ht="12.75" customHeight="1" thickBot="1" x14ac:dyDescent="0.25">
      <c r="A36" s="1485" t="s">
        <v>374</v>
      </c>
      <c r="B36" s="1486"/>
      <c r="C36" s="405" t="e">
        <f t="shared" si="3"/>
        <v>#REF!</v>
      </c>
      <c r="D36" s="179" t="e">
        <f>IF(OR((C36/M36)&gt;3,(C36/M36)&lt;-3),"n.m.",(C36/M36))</f>
        <v>#REF!</v>
      </c>
      <c r="E36" s="520"/>
      <c r="F36" s="219" t="e">
        <f t="shared" ref="F36:L36" si="13">+F16-F35</f>
        <v>#REF!</v>
      </c>
      <c r="G36" s="219" t="e">
        <f t="shared" si="13"/>
        <v>#REF!</v>
      </c>
      <c r="H36" s="219" t="e">
        <f t="shared" si="13"/>
        <v>#REF!</v>
      </c>
      <c r="I36" s="220" t="e">
        <f t="shared" si="13"/>
        <v>#REF!</v>
      </c>
      <c r="J36" s="219" t="e">
        <f t="shared" si="13"/>
        <v>#REF!</v>
      </c>
      <c r="K36" s="219" t="e">
        <f t="shared" si="13"/>
        <v>#REF!</v>
      </c>
      <c r="L36" s="219" t="e">
        <f t="shared" si="13"/>
        <v>#REF!</v>
      </c>
      <c r="M36" s="220" t="e">
        <f t="shared" ref="M36:U36" si="14">M16-M35</f>
        <v>#REF!</v>
      </c>
      <c r="N36" s="219" t="e">
        <f t="shared" si="14"/>
        <v>#REF!</v>
      </c>
      <c r="O36" s="219" t="e">
        <f t="shared" si="14"/>
        <v>#REF!</v>
      </c>
      <c r="P36" s="219" t="e">
        <f t="shared" si="14"/>
        <v>#REF!</v>
      </c>
      <c r="Q36" s="220" t="e">
        <f t="shared" si="14"/>
        <v>#REF!</v>
      </c>
      <c r="R36" s="219" t="e">
        <f t="shared" si="14"/>
        <v>#REF!</v>
      </c>
      <c r="S36" s="219" t="e">
        <f t="shared" si="14"/>
        <v>#REF!</v>
      </c>
      <c r="T36" s="219" t="e">
        <f t="shared" si="14"/>
        <v>#REF!</v>
      </c>
      <c r="U36" s="220">
        <f t="shared" si="14"/>
        <v>3448</v>
      </c>
      <c r="V36" s="219">
        <v>245</v>
      </c>
      <c r="W36" s="219">
        <v>17106</v>
      </c>
      <c r="X36" s="219">
        <v>3518</v>
      </c>
      <c r="Y36" s="220">
        <v>9167</v>
      </c>
      <c r="Z36" s="219">
        <v>6761</v>
      </c>
      <c r="AA36" s="219">
        <v>-32776</v>
      </c>
      <c r="AB36" s="219">
        <v>4047</v>
      </c>
      <c r="AC36" s="220">
        <v>12169</v>
      </c>
      <c r="AD36" s="220">
        <v>-45512</v>
      </c>
      <c r="AE36" s="341"/>
      <c r="AF36" s="341"/>
      <c r="AG36" s="217"/>
      <c r="AH36" s="217"/>
      <c r="AI36" s="217"/>
      <c r="AJ36" s="217"/>
      <c r="AK36" s="217"/>
      <c r="AL36" s="88"/>
      <c r="AM36" s="219" t="e">
        <f>AM16-AM35</f>
        <v>#REF!</v>
      </c>
      <c r="AN36" s="219" t="e">
        <f>AN16-AN35</f>
        <v>#REF!</v>
      </c>
      <c r="AO36" s="479" t="e">
        <f>AR36-AS36</f>
        <v>#REF!</v>
      </c>
      <c r="AP36" s="179" t="e">
        <f>IF(OR((AO36/AS36)&gt;3,(AO36/AS36)&lt;-3),"n.m.",(AO36/AS36))</f>
        <v>#REF!</v>
      </c>
      <c r="AQ36" s="88"/>
      <c r="AR36" s="220" t="e">
        <f>AR16-AR35</f>
        <v>#REF!</v>
      </c>
      <c r="AS36" s="220" t="e">
        <f>AS16-AS35</f>
        <v>#REF!</v>
      </c>
      <c r="AT36" s="220">
        <f>AT16-AT35</f>
        <v>111905</v>
      </c>
      <c r="AU36" s="206">
        <v>30036</v>
      </c>
      <c r="AV36" s="206">
        <v>-9799</v>
      </c>
      <c r="AW36" s="206">
        <v>24846</v>
      </c>
      <c r="AX36" s="250">
        <v>99218</v>
      </c>
      <c r="AY36" s="303">
        <f>AY16-AY35</f>
        <v>74012</v>
      </c>
      <c r="AZ36" s="303">
        <f>AZ16-AZ35</f>
        <v>42330</v>
      </c>
      <c r="BA36" s="307"/>
      <c r="BB36" s="146"/>
      <c r="BC36" s="146"/>
      <c r="BG36" s="3"/>
    </row>
    <row r="37" spans="1:59" ht="12.75" customHeight="1" thickTop="1" x14ac:dyDescent="0.2">
      <c r="A37" s="8"/>
      <c r="B37" s="412"/>
      <c r="C37" s="31"/>
      <c r="D37" s="30"/>
      <c r="E37" s="30"/>
      <c r="F37" s="209"/>
      <c r="G37" s="209"/>
      <c r="H37" s="209"/>
      <c r="I37" s="213"/>
      <c r="J37" s="209"/>
      <c r="K37" s="209"/>
      <c r="L37" s="209"/>
      <c r="M37" s="213"/>
      <c r="N37" s="209"/>
      <c r="O37" s="209"/>
      <c r="P37" s="209"/>
      <c r="Q37" s="213"/>
      <c r="R37" s="209"/>
      <c r="S37" s="209"/>
      <c r="T37" s="209"/>
      <c r="U37" s="213"/>
      <c r="V37" s="209"/>
      <c r="W37" s="209"/>
      <c r="X37" s="209"/>
      <c r="Y37" s="213"/>
      <c r="Z37" s="209"/>
      <c r="AA37" s="209"/>
      <c r="AB37" s="209"/>
      <c r="AC37" s="213"/>
      <c r="AD37" s="213"/>
      <c r="AE37" s="341"/>
      <c r="AF37" s="341"/>
      <c r="AG37" s="217"/>
      <c r="AH37" s="217"/>
      <c r="AI37" s="217"/>
      <c r="AJ37" s="217"/>
      <c r="AK37" s="217"/>
      <c r="AL37" s="164"/>
      <c r="AM37" s="146"/>
      <c r="AN37" s="146"/>
      <c r="AO37" s="31"/>
      <c r="AP37" s="30"/>
      <c r="AQ37" s="164"/>
      <c r="AR37" s="906"/>
      <c r="AS37" s="906"/>
      <c r="AT37" s="906"/>
      <c r="AU37" s="906"/>
      <c r="AV37" s="906"/>
      <c r="AW37" s="235"/>
      <c r="AX37" s="235"/>
      <c r="AY37" s="28"/>
      <c r="AZ37" s="28"/>
      <c r="BA37" s="155"/>
      <c r="BB37" s="146"/>
      <c r="BC37" s="146"/>
      <c r="BG37" s="3"/>
    </row>
    <row r="38" spans="1:59" s="721" customFormat="1" ht="12.75" hidden="1" customHeight="1" outlineLevel="1" x14ac:dyDescent="0.2">
      <c r="A38" s="8"/>
      <c r="B38" s="412" t="s">
        <v>375</v>
      </c>
      <c r="C38" s="686">
        <f>I38-M38</f>
        <v>-825</v>
      </c>
      <c r="D38" s="742" t="s">
        <v>42</v>
      </c>
      <c r="E38" s="742"/>
      <c r="F38" s="209"/>
      <c r="G38" s="209"/>
      <c r="H38" s="209"/>
      <c r="I38" s="213">
        <f>-275*3</f>
        <v>-825</v>
      </c>
      <c r="J38" s="830">
        <v>0</v>
      </c>
      <c r="K38" s="830">
        <v>0</v>
      </c>
      <c r="L38" s="830">
        <v>0</v>
      </c>
      <c r="M38" s="889">
        <v>0</v>
      </c>
      <c r="N38" s="830">
        <v>0</v>
      </c>
      <c r="O38" s="830">
        <v>0</v>
      </c>
      <c r="P38" s="830">
        <v>0</v>
      </c>
      <c r="Q38" s="889">
        <v>0</v>
      </c>
      <c r="R38" s="209"/>
      <c r="S38" s="209"/>
      <c r="T38" s="209"/>
      <c r="U38" s="213"/>
      <c r="V38" s="209"/>
      <c r="W38" s="209"/>
      <c r="X38" s="209"/>
      <c r="Y38" s="213"/>
      <c r="Z38" s="209"/>
      <c r="AA38" s="209"/>
      <c r="AB38" s="209"/>
      <c r="AC38" s="213"/>
      <c r="AD38" s="213"/>
      <c r="AE38" s="341"/>
      <c r="AF38" s="341"/>
      <c r="AG38" s="217"/>
      <c r="AH38" s="217"/>
      <c r="AI38" s="217"/>
      <c r="AJ38" s="217"/>
      <c r="AK38" s="217"/>
      <c r="AL38" s="164"/>
      <c r="AM38" s="725"/>
      <c r="AN38" s="725"/>
      <c r="AO38" s="754"/>
      <c r="AP38" s="742"/>
      <c r="AQ38" s="164"/>
      <c r="AR38" s="897">
        <v>0</v>
      </c>
      <c r="AS38" s="897">
        <v>0</v>
      </c>
      <c r="AT38" s="897">
        <v>0</v>
      </c>
      <c r="AU38" s="897">
        <v>0</v>
      </c>
      <c r="AV38" s="897">
        <v>0</v>
      </c>
      <c r="AW38" s="746"/>
      <c r="AX38" s="746"/>
      <c r="AY38" s="28"/>
      <c r="AZ38" s="28"/>
      <c r="BA38" s="155"/>
      <c r="BB38" s="725"/>
      <c r="BC38" s="725"/>
      <c r="BG38" s="722"/>
    </row>
    <row r="39" spans="1:59" ht="12.75" hidden="1" customHeight="1" outlineLevel="1" x14ac:dyDescent="0.2">
      <c r="A39" s="8"/>
      <c r="B39" s="164" t="s">
        <v>376</v>
      </c>
      <c r="C39" s="404">
        <f>I39-M39</f>
        <v>-831</v>
      </c>
      <c r="D39" s="147" t="s">
        <v>42</v>
      </c>
      <c r="E39" s="741"/>
      <c r="F39" s="209"/>
      <c r="G39" s="209"/>
      <c r="H39" s="209"/>
      <c r="I39" s="216">
        <f>-250*3-81</f>
        <v>-831</v>
      </c>
      <c r="J39" s="927">
        <v>0</v>
      </c>
      <c r="K39" s="927">
        <v>0</v>
      </c>
      <c r="L39" s="927">
        <v>0</v>
      </c>
      <c r="M39" s="928">
        <v>0</v>
      </c>
      <c r="N39" s="927">
        <v>0</v>
      </c>
      <c r="O39" s="927">
        <v>0</v>
      </c>
      <c r="P39" s="927">
        <v>0</v>
      </c>
      <c r="Q39" s="928">
        <v>0</v>
      </c>
      <c r="R39" s="209"/>
      <c r="S39" s="209"/>
      <c r="T39" s="209"/>
      <c r="U39" s="213"/>
      <c r="V39" s="209"/>
      <c r="W39" s="209"/>
      <c r="X39" s="209"/>
      <c r="Y39" s="213"/>
      <c r="Z39" s="209"/>
      <c r="AA39" s="209"/>
      <c r="AB39" s="209"/>
      <c r="AC39" s="213"/>
      <c r="AD39" s="213"/>
      <c r="AE39" s="341"/>
      <c r="AF39" s="341"/>
      <c r="AG39" s="217"/>
      <c r="AH39" s="217"/>
      <c r="AI39" s="217"/>
      <c r="AJ39" s="217"/>
      <c r="AK39" s="217"/>
      <c r="AL39" s="164"/>
      <c r="AM39" s="725"/>
      <c r="AN39" s="725"/>
      <c r="AO39" s="754"/>
      <c r="AP39" s="742"/>
      <c r="AQ39" s="164"/>
      <c r="AR39" s="929">
        <v>0</v>
      </c>
      <c r="AS39" s="929">
        <v>0</v>
      </c>
      <c r="AT39" s="929">
        <v>0</v>
      </c>
      <c r="AU39" s="929">
        <v>0</v>
      </c>
      <c r="AV39" s="929">
        <v>0</v>
      </c>
      <c r="AW39" s="235">
        <v>9904</v>
      </c>
      <c r="AX39" s="235">
        <v>35059</v>
      </c>
      <c r="AY39" s="28">
        <v>24207</v>
      </c>
      <c r="AZ39" s="28">
        <v>12780</v>
      </c>
      <c r="BA39" s="155"/>
      <c r="BB39" s="146"/>
      <c r="BC39" s="146"/>
      <c r="BG39" s="3"/>
    </row>
    <row r="40" spans="1:59" s="721" customFormat="1" ht="12.75" customHeight="1" collapsed="1" x14ac:dyDescent="0.2">
      <c r="A40" s="8"/>
      <c r="B40" s="7" t="s">
        <v>380</v>
      </c>
      <c r="C40" s="239">
        <f>I40-M40</f>
        <v>-1656</v>
      </c>
      <c r="D40" s="742" t="s">
        <v>42</v>
      </c>
      <c r="E40" s="742"/>
      <c r="F40" s="209"/>
      <c r="G40" s="209"/>
      <c r="H40" s="209"/>
      <c r="I40" s="213">
        <f>+I38+I39</f>
        <v>-1656</v>
      </c>
      <c r="J40" s="830">
        <v>0</v>
      </c>
      <c r="K40" s="830">
        <v>0</v>
      </c>
      <c r="L40" s="830">
        <v>0</v>
      </c>
      <c r="M40" s="889">
        <v>0</v>
      </c>
      <c r="N40" s="830">
        <v>0</v>
      </c>
      <c r="O40" s="830">
        <v>0</v>
      </c>
      <c r="P40" s="830">
        <v>0</v>
      </c>
      <c r="Q40" s="889">
        <v>0</v>
      </c>
      <c r="R40" s="209"/>
      <c r="S40" s="209"/>
      <c r="T40" s="209"/>
      <c r="U40" s="213"/>
      <c r="V40" s="209"/>
      <c r="W40" s="209"/>
      <c r="X40" s="209"/>
      <c r="Y40" s="213"/>
      <c r="Z40" s="209"/>
      <c r="AA40" s="209"/>
      <c r="AB40" s="209"/>
      <c r="AC40" s="213"/>
      <c r="AD40" s="213"/>
      <c r="AE40" s="341"/>
      <c r="AF40" s="341"/>
      <c r="AG40" s="217"/>
      <c r="AH40" s="217"/>
      <c r="AI40" s="217"/>
      <c r="AJ40" s="217"/>
      <c r="AK40" s="217"/>
      <c r="AL40" s="164"/>
      <c r="AM40" s="725"/>
      <c r="AN40" s="725"/>
      <c r="AO40" s="754"/>
      <c r="AP40" s="742"/>
      <c r="AQ40" s="164"/>
      <c r="AR40" s="897">
        <v>0</v>
      </c>
      <c r="AS40" s="897">
        <v>0</v>
      </c>
      <c r="AT40" s="897">
        <v>0</v>
      </c>
      <c r="AU40" s="897">
        <v>0</v>
      </c>
      <c r="AV40" s="897">
        <v>0</v>
      </c>
      <c r="AW40" s="746"/>
      <c r="AX40" s="746"/>
      <c r="AY40" s="754"/>
      <c r="AZ40" s="28"/>
      <c r="BA40" s="155"/>
      <c r="BB40" s="725"/>
      <c r="BC40" s="725"/>
      <c r="BG40" s="722"/>
    </row>
    <row r="41" spans="1:59" ht="12.75" customHeight="1" x14ac:dyDescent="0.2">
      <c r="A41" s="8"/>
      <c r="B41" s="7"/>
      <c r="C41" s="38"/>
      <c r="D41" s="30"/>
      <c r="E41" s="741"/>
      <c r="F41" s="209"/>
      <c r="G41" s="209"/>
      <c r="H41" s="209"/>
      <c r="I41" s="213"/>
      <c r="J41" s="209"/>
      <c r="K41" s="209"/>
      <c r="L41" s="209"/>
      <c r="M41" s="213"/>
      <c r="N41" s="209"/>
      <c r="O41" s="209"/>
      <c r="P41" s="209"/>
      <c r="Q41" s="213"/>
      <c r="R41" s="209"/>
      <c r="S41" s="209"/>
      <c r="T41" s="209"/>
      <c r="U41" s="213"/>
      <c r="V41" s="209"/>
      <c r="W41" s="209"/>
      <c r="X41" s="209"/>
      <c r="Y41" s="213"/>
      <c r="Z41" s="209"/>
      <c r="AA41" s="209"/>
      <c r="AB41" s="209"/>
      <c r="AC41" s="213"/>
      <c r="AD41" s="213"/>
      <c r="AE41" s="341"/>
      <c r="AF41" s="341"/>
      <c r="AG41" s="217"/>
      <c r="AH41" s="217"/>
      <c r="AI41" s="217"/>
      <c r="AJ41" s="217"/>
      <c r="AK41" s="217"/>
      <c r="AL41" s="146"/>
      <c r="AM41" s="146"/>
      <c r="AN41" s="146"/>
      <c r="AO41" s="31"/>
      <c r="AP41" s="41"/>
      <c r="AQ41" s="88"/>
      <c r="AR41" s="204"/>
      <c r="AS41" s="204"/>
      <c r="AT41" s="204"/>
      <c r="AU41" s="204"/>
      <c r="AV41" s="204"/>
      <c r="AW41" s="235"/>
      <c r="AX41" s="235"/>
      <c r="AY41" s="31"/>
      <c r="AZ41" s="43"/>
      <c r="BA41" s="307"/>
      <c r="BB41" s="146"/>
      <c r="BC41" s="146"/>
      <c r="BG41" s="3"/>
    </row>
    <row r="42" spans="1:59" s="95" customFormat="1" ht="12.75" customHeight="1" thickBot="1" x14ac:dyDescent="0.25">
      <c r="A42" s="1485" t="s">
        <v>77</v>
      </c>
      <c r="B42" s="1486"/>
      <c r="C42" s="405" t="e">
        <f>I42-M42</f>
        <v>#REF!</v>
      </c>
      <c r="D42" s="179" t="e">
        <f>IF(OR((C42/M42)&gt;3,(C42/M42)&lt;-3),"n.m.",(C42/M42))</f>
        <v>#REF!</v>
      </c>
      <c r="E42" s="741"/>
      <c r="F42" s="219"/>
      <c r="G42" s="219"/>
      <c r="H42" s="219"/>
      <c r="I42" s="220" t="e">
        <f>+I36-I38-I39</f>
        <v>#REF!</v>
      </c>
      <c r="J42" s="219" t="e">
        <f t="shared" ref="J42:AK42" si="15">+J36-J38-J39</f>
        <v>#REF!</v>
      </c>
      <c r="K42" s="219" t="e">
        <f t="shared" si="15"/>
        <v>#REF!</v>
      </c>
      <c r="L42" s="219" t="e">
        <f t="shared" si="15"/>
        <v>#REF!</v>
      </c>
      <c r="M42" s="220" t="e">
        <f t="shared" si="15"/>
        <v>#REF!</v>
      </c>
      <c r="N42" s="219" t="e">
        <f t="shared" si="15"/>
        <v>#REF!</v>
      </c>
      <c r="O42" s="219" t="e">
        <f t="shared" si="15"/>
        <v>#REF!</v>
      </c>
      <c r="P42" s="219" t="e">
        <f t="shared" si="15"/>
        <v>#REF!</v>
      </c>
      <c r="Q42" s="220" t="e">
        <f t="shared" si="15"/>
        <v>#REF!</v>
      </c>
      <c r="R42" s="219" t="e">
        <f t="shared" si="15"/>
        <v>#REF!</v>
      </c>
      <c r="S42" s="219" t="e">
        <f t="shared" si="15"/>
        <v>#REF!</v>
      </c>
      <c r="T42" s="219" t="e">
        <f t="shared" si="15"/>
        <v>#REF!</v>
      </c>
      <c r="U42" s="220">
        <f t="shared" si="15"/>
        <v>3448</v>
      </c>
      <c r="V42" s="219">
        <f t="shared" si="15"/>
        <v>245</v>
      </c>
      <c r="W42" s="219">
        <f t="shared" si="15"/>
        <v>17106</v>
      </c>
      <c r="X42" s="219">
        <f t="shared" si="15"/>
        <v>3518</v>
      </c>
      <c r="Y42" s="220">
        <f t="shared" si="15"/>
        <v>9167</v>
      </c>
      <c r="Z42" s="219">
        <f t="shared" si="15"/>
        <v>6761</v>
      </c>
      <c r="AA42" s="219">
        <f t="shared" si="15"/>
        <v>-32776</v>
      </c>
      <c r="AB42" s="219">
        <f t="shared" si="15"/>
        <v>4047</v>
      </c>
      <c r="AC42" s="220">
        <f t="shared" si="15"/>
        <v>12169</v>
      </c>
      <c r="AD42" s="219">
        <f t="shared" si="15"/>
        <v>-45512</v>
      </c>
      <c r="AE42" s="220">
        <f t="shared" si="15"/>
        <v>0</v>
      </c>
      <c r="AF42" s="220">
        <f t="shared" si="15"/>
        <v>0</v>
      </c>
      <c r="AG42" s="217">
        <f t="shared" si="15"/>
        <v>0</v>
      </c>
      <c r="AH42" s="217">
        <f t="shared" si="15"/>
        <v>0</v>
      </c>
      <c r="AI42" s="217">
        <f t="shared" si="15"/>
        <v>0</v>
      </c>
      <c r="AJ42" s="217">
        <f t="shared" si="15"/>
        <v>0</v>
      </c>
      <c r="AK42" s="217">
        <f t="shared" si="15"/>
        <v>0</v>
      </c>
      <c r="AL42" s="146"/>
      <c r="AM42" s="146"/>
      <c r="AN42" s="146"/>
      <c r="AO42" s="479">
        <v>19045</v>
      </c>
      <c r="AP42" s="179" t="e">
        <v>#DIV/0!</v>
      </c>
      <c r="AQ42" s="88"/>
      <c r="AR42" s="206" t="e">
        <f>+AR36-AR38-AR39</f>
        <v>#REF!</v>
      </c>
      <c r="AS42" s="206" t="e">
        <f>+AS36-AS38-AS39</f>
        <v>#REF!</v>
      </c>
      <c r="AT42" s="206">
        <f>+AT36-AT38-AT39</f>
        <v>111905</v>
      </c>
      <c r="AU42" s="206">
        <f>+AU36-AU38-AU39</f>
        <v>30036</v>
      </c>
      <c r="AV42" s="206">
        <f>+AV36-AV38-AV39</f>
        <v>-9799</v>
      </c>
      <c r="AW42" s="250">
        <v>14942</v>
      </c>
      <c r="AX42" s="250">
        <v>64159</v>
      </c>
      <c r="AY42" s="479">
        <f>AY36-AY39</f>
        <v>49805</v>
      </c>
      <c r="AZ42" s="303">
        <f>AZ36-AZ39</f>
        <v>29550</v>
      </c>
      <c r="BA42" s="317">
        <v>46643</v>
      </c>
      <c r="BB42" s="146"/>
      <c r="BC42" s="366"/>
      <c r="BG42" s="207"/>
    </row>
    <row r="43" spans="1:59" ht="12.75" customHeight="1" thickTop="1" x14ac:dyDescent="0.2">
      <c r="A43" s="142"/>
      <c r="B43" s="142"/>
      <c r="C43" s="31"/>
      <c r="D43" s="41"/>
      <c r="E43" s="41"/>
      <c r="F43" s="755"/>
      <c r="G43" s="755"/>
      <c r="H43" s="755"/>
      <c r="I43" s="725"/>
      <c r="J43" s="755"/>
      <c r="K43" s="755"/>
      <c r="L43" s="755"/>
      <c r="M43" s="725"/>
      <c r="N43" s="41"/>
      <c r="O43" s="41"/>
      <c r="P43" s="41"/>
      <c r="Q43" s="146"/>
      <c r="R43" s="41"/>
      <c r="S43" s="41"/>
      <c r="T43" s="41"/>
      <c r="U43" s="146"/>
      <c r="V43" s="41"/>
      <c r="W43" s="41"/>
      <c r="X43" s="41"/>
      <c r="Y43" s="146"/>
      <c r="Z43" s="41"/>
      <c r="AA43" s="41"/>
      <c r="AB43" s="41"/>
      <c r="AC43" s="146"/>
      <c r="AD43" s="82"/>
      <c r="AE43" s="82"/>
      <c r="AF43" s="82"/>
      <c r="AG43" s="82"/>
      <c r="AH43" s="183"/>
      <c r="AI43" s="183"/>
      <c r="AJ43" s="183"/>
      <c r="AK43" s="183"/>
      <c r="AL43" s="146"/>
      <c r="AM43" s="146"/>
      <c r="AN43" s="146"/>
      <c r="AO43" s="31"/>
      <c r="AP43" s="41"/>
      <c r="AQ43" s="146"/>
      <c r="AR43" s="725"/>
      <c r="AS43" s="146"/>
      <c r="AT43" s="146"/>
      <c r="AU43" s="146"/>
      <c r="AV43" s="146"/>
      <c r="AW43" s="31"/>
      <c r="AX43" s="31"/>
      <c r="AY43" s="31"/>
      <c r="AZ43" s="31"/>
      <c r="BA43" s="31"/>
      <c r="BB43" s="146"/>
      <c r="BC43" s="146"/>
      <c r="BG43" s="3"/>
    </row>
    <row r="44" spans="1:59" s="721" customFormat="1" ht="12.75" customHeight="1" x14ac:dyDescent="0.2">
      <c r="A44" s="7" t="s">
        <v>335</v>
      </c>
      <c r="B44" s="726"/>
      <c r="C44" s="160" t="e">
        <f t="shared" ref="C44:C49" si="16">((I44-M44)*100)</f>
        <v>#REF!</v>
      </c>
      <c r="D44" s="755"/>
      <c r="E44" s="755"/>
      <c r="F44" s="755" t="e">
        <f t="shared" ref="F44:I45" si="17">+F18/F$16</f>
        <v>#REF!</v>
      </c>
      <c r="G44" s="755" t="e">
        <f t="shared" si="17"/>
        <v>#REF!</v>
      </c>
      <c r="H44" s="755" t="e">
        <f t="shared" si="17"/>
        <v>#REF!</v>
      </c>
      <c r="I44" s="755" t="e">
        <f t="shared" si="17"/>
        <v>#REF!</v>
      </c>
      <c r="J44" s="755" t="e">
        <f t="shared" ref="J44:L45" si="18">+J18/J$16</f>
        <v>#REF!</v>
      </c>
      <c r="K44" s="755" t="e">
        <f t="shared" si="18"/>
        <v>#REF!</v>
      </c>
      <c r="L44" s="755" t="e">
        <f t="shared" si="18"/>
        <v>#REF!</v>
      </c>
      <c r="M44" s="755" t="e">
        <f t="shared" ref="M44:T44" si="19">+M18/M$16</f>
        <v>#REF!</v>
      </c>
      <c r="N44" s="755" t="e">
        <f t="shared" si="19"/>
        <v>#REF!</v>
      </c>
      <c r="O44" s="755" t="e">
        <f t="shared" si="19"/>
        <v>#REF!</v>
      </c>
      <c r="P44" s="755" t="e">
        <f t="shared" si="19"/>
        <v>#REF!</v>
      </c>
      <c r="Q44" s="755" t="e">
        <f t="shared" si="19"/>
        <v>#REF!</v>
      </c>
      <c r="R44" s="755" t="e">
        <f t="shared" si="19"/>
        <v>#REF!</v>
      </c>
      <c r="S44" s="755" t="e">
        <f t="shared" si="19"/>
        <v>#REF!</v>
      </c>
      <c r="T44" s="755" t="e">
        <f t="shared" si="19"/>
        <v>#REF!</v>
      </c>
      <c r="U44" s="725"/>
      <c r="V44" s="755"/>
      <c r="W44" s="755"/>
      <c r="X44" s="755"/>
      <c r="Y44" s="725"/>
      <c r="Z44" s="755"/>
      <c r="AA44" s="755"/>
      <c r="AB44" s="755"/>
      <c r="AC44" s="725"/>
      <c r="AD44" s="724"/>
      <c r="AE44" s="724"/>
      <c r="AF44" s="724"/>
      <c r="AG44" s="724"/>
      <c r="AH44" s="183"/>
      <c r="AI44" s="183"/>
      <c r="AJ44" s="183"/>
      <c r="AK44" s="183"/>
      <c r="AL44" s="725"/>
      <c r="AM44" s="755" t="e">
        <f>+AM18/AM$16</f>
        <v>#REF!</v>
      </c>
      <c r="AN44" s="755" t="e">
        <f>+AN18/AN$16</f>
        <v>#REF!</v>
      </c>
      <c r="AO44" s="160" t="e">
        <f t="shared" ref="AO44:AO50" si="20">(AR44-AS44)*100</f>
        <v>#REF!</v>
      </c>
      <c r="AP44" s="755"/>
      <c r="AQ44" s="725"/>
      <c r="AR44" s="755" t="e">
        <f t="shared" ref="AR44:AW45" si="21">+AR18/AR$16</f>
        <v>#REF!</v>
      </c>
      <c r="AS44" s="755" t="e">
        <f t="shared" si="21"/>
        <v>#REF!</v>
      </c>
      <c r="AT44" s="755">
        <f t="shared" si="21"/>
        <v>0.46424895916171588</v>
      </c>
      <c r="AU44" s="755">
        <f t="shared" si="21"/>
        <v>0.46825388659677136</v>
      </c>
      <c r="AV44" s="755">
        <f t="shared" si="21"/>
        <v>0.44054887565394363</v>
      </c>
      <c r="AW44" s="755">
        <f t="shared" si="21"/>
        <v>0.44442960244840551</v>
      </c>
      <c r="AX44" s="754"/>
      <c r="AY44" s="754"/>
      <c r="AZ44" s="754"/>
      <c r="BA44" s="754"/>
      <c r="BB44" s="725"/>
      <c r="BC44" s="725"/>
      <c r="BG44" s="722"/>
    </row>
    <row r="45" spans="1:59" s="721" customFormat="1" ht="12.75" customHeight="1" x14ac:dyDescent="0.2">
      <c r="A45" s="7" t="s">
        <v>336</v>
      </c>
      <c r="B45" s="726"/>
      <c r="C45" s="160" t="e">
        <f t="shared" si="16"/>
        <v>#REF!</v>
      </c>
      <c r="D45" s="755"/>
      <c r="E45" s="755"/>
      <c r="F45" s="755" t="e">
        <f t="shared" si="17"/>
        <v>#REF!</v>
      </c>
      <c r="G45" s="755" t="e">
        <f t="shared" si="17"/>
        <v>#REF!</v>
      </c>
      <c r="H45" s="755" t="e">
        <f t="shared" si="17"/>
        <v>#REF!</v>
      </c>
      <c r="I45" s="755" t="e">
        <f t="shared" si="17"/>
        <v>#REF!</v>
      </c>
      <c r="J45" s="755" t="e">
        <f t="shared" si="18"/>
        <v>#REF!</v>
      </c>
      <c r="K45" s="755" t="e">
        <f t="shared" si="18"/>
        <v>#REF!</v>
      </c>
      <c r="L45" s="755" t="e">
        <f t="shared" si="18"/>
        <v>#REF!</v>
      </c>
      <c r="M45" s="755" t="e">
        <f t="shared" ref="M45:T45" si="22">+M19/M$16</f>
        <v>#REF!</v>
      </c>
      <c r="N45" s="755" t="e">
        <f t="shared" si="22"/>
        <v>#REF!</v>
      </c>
      <c r="O45" s="755" t="e">
        <f t="shared" si="22"/>
        <v>#REF!</v>
      </c>
      <c r="P45" s="755" t="e">
        <f t="shared" si="22"/>
        <v>#REF!</v>
      </c>
      <c r="Q45" s="755" t="e">
        <f t="shared" si="22"/>
        <v>#REF!</v>
      </c>
      <c r="R45" s="755" t="e">
        <f t="shared" si="22"/>
        <v>#REF!</v>
      </c>
      <c r="S45" s="755" t="e">
        <f t="shared" si="22"/>
        <v>#REF!</v>
      </c>
      <c r="T45" s="755" t="e">
        <f t="shared" si="22"/>
        <v>#REF!</v>
      </c>
      <c r="U45" s="725"/>
      <c r="V45" s="755"/>
      <c r="W45" s="755"/>
      <c r="X45" s="755"/>
      <c r="Y45" s="725"/>
      <c r="Z45" s="755"/>
      <c r="AA45" s="755"/>
      <c r="AB45" s="755"/>
      <c r="AC45" s="725"/>
      <c r="AD45" s="724"/>
      <c r="AE45" s="724"/>
      <c r="AF45" s="724"/>
      <c r="AG45" s="724"/>
      <c r="AH45" s="183"/>
      <c r="AI45" s="183"/>
      <c r="AJ45" s="183"/>
      <c r="AK45" s="183"/>
      <c r="AL45" s="725"/>
      <c r="AM45" s="755" t="e">
        <f>+AM19/AM$16</f>
        <v>#REF!</v>
      </c>
      <c r="AN45" s="755" t="e">
        <f>+AN19/AN$16</f>
        <v>#REF!</v>
      </c>
      <c r="AO45" s="160" t="e">
        <f t="shared" si="20"/>
        <v>#REF!</v>
      </c>
      <c r="AP45" s="755"/>
      <c r="AQ45" s="725"/>
      <c r="AR45" s="755" t="e">
        <f t="shared" si="21"/>
        <v>#REF!</v>
      </c>
      <c r="AS45" s="755" t="e">
        <f t="shared" si="21"/>
        <v>#REF!</v>
      </c>
      <c r="AT45" s="755">
        <f t="shared" si="21"/>
        <v>5.8423940282947631E-3</v>
      </c>
      <c r="AU45" s="755">
        <f t="shared" si="21"/>
        <v>3.5293179549967593E-2</v>
      </c>
      <c r="AV45" s="755">
        <f t="shared" si="21"/>
        <v>1.5382502403516001E-2</v>
      </c>
      <c r="AW45" s="755">
        <f t="shared" si="21"/>
        <v>1.0758919275693132E-2</v>
      </c>
      <c r="AX45" s="754"/>
      <c r="AY45" s="754"/>
      <c r="AZ45" s="754"/>
      <c r="BA45" s="754"/>
      <c r="BB45" s="725"/>
      <c r="BC45" s="725"/>
      <c r="BG45" s="722"/>
    </row>
    <row r="46" spans="1:59" ht="12.75" customHeight="1" x14ac:dyDescent="0.2">
      <c r="A46" s="143" t="s">
        <v>79</v>
      </c>
      <c r="B46" s="144"/>
      <c r="C46" s="160" t="e">
        <f t="shared" si="16"/>
        <v>#REF!</v>
      </c>
      <c r="D46" s="41"/>
      <c r="E46" s="41"/>
      <c r="F46" s="184" t="e">
        <f t="shared" ref="F46:K46" si="23">F20/F16</f>
        <v>#REF!</v>
      </c>
      <c r="G46" s="184" t="e">
        <f t="shared" si="23"/>
        <v>#REF!</v>
      </c>
      <c r="H46" s="184" t="e">
        <f t="shared" si="23"/>
        <v>#REF!</v>
      </c>
      <c r="I46" s="184" t="e">
        <f t="shared" si="23"/>
        <v>#REF!</v>
      </c>
      <c r="J46" s="184" t="e">
        <f t="shared" si="23"/>
        <v>#REF!</v>
      </c>
      <c r="K46" s="184" t="e">
        <f t="shared" si="23"/>
        <v>#REF!</v>
      </c>
      <c r="L46" s="184" t="e">
        <f t="shared" ref="L46:Q46" si="24">L20/L16</f>
        <v>#REF!</v>
      </c>
      <c r="M46" s="184" t="e">
        <f t="shared" si="24"/>
        <v>#REF!</v>
      </c>
      <c r="N46" s="184" t="e">
        <f t="shared" si="24"/>
        <v>#REF!</v>
      </c>
      <c r="O46" s="184" t="e">
        <f t="shared" si="24"/>
        <v>#REF!</v>
      </c>
      <c r="P46" s="184" t="e">
        <f t="shared" si="24"/>
        <v>#REF!</v>
      </c>
      <c r="Q46" s="184" t="e">
        <f t="shared" si="24"/>
        <v>#REF!</v>
      </c>
      <c r="R46" s="184" t="e">
        <f>R20/R16</f>
        <v>#REF!</v>
      </c>
      <c r="S46" s="184" t="e">
        <f>S20/S16</f>
        <v>#REF!</v>
      </c>
      <c r="T46" s="184" t="e">
        <f>T20/T16</f>
        <v>#REF!</v>
      </c>
      <c r="U46" s="184">
        <f>U20/U16</f>
        <v>0.45987807341302633</v>
      </c>
      <c r="V46" s="184">
        <v>0.49154271490073659</v>
      </c>
      <c r="W46" s="184">
        <v>0.52642647986669466</v>
      </c>
      <c r="X46" s="184">
        <v>0.491577219345877</v>
      </c>
      <c r="Y46" s="184">
        <v>0.49554211112880114</v>
      </c>
      <c r="Z46" s="184">
        <v>0.40791932292811606</v>
      </c>
      <c r="AA46" s="184">
        <v>0.48771044353026582</v>
      </c>
      <c r="AB46" s="184">
        <v>0.44391331269349843</v>
      </c>
      <c r="AC46" s="184">
        <v>0.48046437296790906</v>
      </c>
      <c r="AD46" s="35">
        <v>0.40500000000000003</v>
      </c>
      <c r="AE46" s="35">
        <v>0.46600000000000003</v>
      </c>
      <c r="AF46" s="35">
        <v>0.44700000000000001</v>
      </c>
      <c r="AG46" s="35">
        <v>0.48499999999999999</v>
      </c>
      <c r="AH46" s="35">
        <v>0.504</v>
      </c>
      <c r="AI46" s="35">
        <v>0.503</v>
      </c>
      <c r="AJ46" s="35">
        <v>0.48399999999999999</v>
      </c>
      <c r="AK46" s="35">
        <v>0.49099999999999999</v>
      </c>
      <c r="AL46" s="146"/>
      <c r="AM46" s="184" t="e">
        <f>AM20/AM16</f>
        <v>#REF!</v>
      </c>
      <c r="AN46" s="184" t="e">
        <f>AN20/AN16</f>
        <v>#REF!</v>
      </c>
      <c r="AO46" s="160" t="e">
        <f t="shared" si="20"/>
        <v>#REF!</v>
      </c>
      <c r="AP46" s="41"/>
      <c r="AQ46" s="146"/>
      <c r="AR46" s="184" t="e">
        <f>AR20/AR16</f>
        <v>#REF!</v>
      </c>
      <c r="AS46" s="184" t="e">
        <f>AS20/AS16</f>
        <v>#REF!</v>
      </c>
      <c r="AT46" s="184">
        <f>AT20/AT16</f>
        <v>0.47009135319001061</v>
      </c>
      <c r="AU46" s="35">
        <v>0.50354706614673894</v>
      </c>
      <c r="AV46" s="35">
        <v>0.45593137805745965</v>
      </c>
      <c r="AW46" s="35">
        <v>0.45535489702876908</v>
      </c>
      <c r="AX46" s="35">
        <v>0.497</v>
      </c>
      <c r="AY46" s="305">
        <v>0.50600000000000001</v>
      </c>
      <c r="AZ46" s="305">
        <v>0.48799999999999999</v>
      </c>
      <c r="BA46" s="305">
        <v>0.51900000000000002</v>
      </c>
      <c r="BB46" s="146"/>
      <c r="BC46" s="146"/>
      <c r="BG46" s="3"/>
    </row>
    <row r="47" spans="1:59" ht="12.75" customHeight="1" x14ac:dyDescent="0.2">
      <c r="A47" s="143" t="s">
        <v>217</v>
      </c>
      <c r="B47" s="144"/>
      <c r="C47" s="160" t="e">
        <f t="shared" si="16"/>
        <v>#REF!</v>
      </c>
      <c r="D47" s="41"/>
      <c r="E47" s="41"/>
      <c r="F47" s="184" t="e">
        <f t="shared" ref="F47:K47" si="25">(F20+F21)/F16</f>
        <v>#REF!</v>
      </c>
      <c r="G47" s="184" t="e">
        <f t="shared" si="25"/>
        <v>#REF!</v>
      </c>
      <c r="H47" s="184" t="e">
        <f t="shared" si="25"/>
        <v>#REF!</v>
      </c>
      <c r="I47" s="184" t="e">
        <f t="shared" si="25"/>
        <v>#REF!</v>
      </c>
      <c r="J47" s="184" t="e">
        <f t="shared" si="25"/>
        <v>#REF!</v>
      </c>
      <c r="K47" s="184" t="e">
        <f t="shared" si="25"/>
        <v>#REF!</v>
      </c>
      <c r="L47" s="184" t="e">
        <f t="shared" ref="L47:Q47" si="26">(L20+L21)/L16</f>
        <v>#REF!</v>
      </c>
      <c r="M47" s="184" t="e">
        <f t="shared" si="26"/>
        <v>#REF!</v>
      </c>
      <c r="N47" s="184" t="e">
        <f t="shared" si="26"/>
        <v>#REF!</v>
      </c>
      <c r="O47" s="184" t="e">
        <f t="shared" si="26"/>
        <v>#REF!</v>
      </c>
      <c r="P47" s="184" t="e">
        <f t="shared" si="26"/>
        <v>#REF!</v>
      </c>
      <c r="Q47" s="184" t="e">
        <f t="shared" si="26"/>
        <v>#REF!</v>
      </c>
      <c r="R47" s="184" t="e">
        <f>(R20+R21)/R16</f>
        <v>#REF!</v>
      </c>
      <c r="S47" s="184" t="e">
        <f>(S20+S21)/S16</f>
        <v>#REF!</v>
      </c>
      <c r="T47" s="184" t="e">
        <f>(T20+T21)/T16</f>
        <v>#REF!</v>
      </c>
      <c r="U47" s="184">
        <f>(U20+U21)/U16</f>
        <v>0.58272278227657504</v>
      </c>
      <c r="V47" s="184">
        <v>0.63251106894370657</v>
      </c>
      <c r="W47" s="184">
        <v>0.6241001083914387</v>
      </c>
      <c r="X47" s="184">
        <v>0.63631771688344485</v>
      </c>
      <c r="Y47" s="184">
        <v>0.6233083903836969</v>
      </c>
      <c r="Z47" s="184">
        <v>0.57015278083095189</v>
      </c>
      <c r="AA47" s="184">
        <v>0.66477685207591519</v>
      </c>
      <c r="AB47" s="184">
        <v>0.58443343653250779</v>
      </c>
      <c r="AC47" s="184">
        <v>0.59613512371645327</v>
      </c>
      <c r="AD47" s="35">
        <v>0.52400000000000002</v>
      </c>
      <c r="AE47" s="35">
        <v>0.55100000000000005</v>
      </c>
      <c r="AF47" s="35">
        <v>0.53600000000000003</v>
      </c>
      <c r="AG47" s="35">
        <v>0.55900000000000005</v>
      </c>
      <c r="AH47" s="35">
        <v>0.57599999999999996</v>
      </c>
      <c r="AI47" s="35">
        <v>0.57099999999999995</v>
      </c>
      <c r="AJ47" s="35">
        <v>0.56799999999999995</v>
      </c>
      <c r="AK47" s="35">
        <v>0.56599999999999995</v>
      </c>
      <c r="AL47" s="146"/>
      <c r="AM47" s="184" t="e">
        <f>(AM20+AM21)/AM16</f>
        <v>#REF!</v>
      </c>
      <c r="AN47" s="184" t="e">
        <f>(AN20+AN21)/AN16</f>
        <v>#REF!</v>
      </c>
      <c r="AO47" s="160" t="e">
        <f t="shared" si="20"/>
        <v>#REF!</v>
      </c>
      <c r="AP47" s="41"/>
      <c r="AQ47" s="146"/>
      <c r="AR47" s="184" t="e">
        <f>(AR20+AR21)/AR16</f>
        <v>#REF!</v>
      </c>
      <c r="AS47" s="184" t="e">
        <f>(AS20+AS21)/AS16</f>
        <v>#REF!</v>
      </c>
      <c r="AT47" s="184">
        <f>(AT20+AT21)/AT16</f>
        <v>0.55997099686579033</v>
      </c>
      <c r="AU47" s="35">
        <v>0.62853034683567743</v>
      </c>
      <c r="AV47" s="35">
        <v>0.59949619807469001</v>
      </c>
      <c r="AW47" s="35">
        <v>0.5442108159094482</v>
      </c>
      <c r="AX47" s="35">
        <v>0.57099999999999995</v>
      </c>
      <c r="AY47" s="305">
        <v>0.59099999999999997</v>
      </c>
      <c r="AZ47" s="305">
        <v>0.60399999999999998</v>
      </c>
      <c r="BA47" s="305">
        <v>0.61799999999999999</v>
      </c>
      <c r="BB47" s="146"/>
      <c r="BC47" s="146"/>
      <c r="BG47" s="3"/>
    </row>
    <row r="48" spans="1:59" ht="12.75" customHeight="1" x14ac:dyDescent="0.2">
      <c r="A48" s="143" t="s">
        <v>80</v>
      </c>
      <c r="B48" s="144"/>
      <c r="C48" s="160" t="e">
        <f t="shared" si="16"/>
        <v>#REF!</v>
      </c>
      <c r="D48" s="41"/>
      <c r="E48" s="41"/>
      <c r="F48" s="184" t="e">
        <f t="shared" ref="F48:L48" si="27">(F23+F24+F25+F26+F27+F28+F29+F32+F33+F34+F30+F31)/F16</f>
        <v>#REF!</v>
      </c>
      <c r="G48" s="184" t="e">
        <f t="shared" si="27"/>
        <v>#REF!</v>
      </c>
      <c r="H48" s="184" t="e">
        <f t="shared" si="27"/>
        <v>#REF!</v>
      </c>
      <c r="I48" s="184" t="e">
        <f t="shared" si="27"/>
        <v>#REF!</v>
      </c>
      <c r="J48" s="184" t="e">
        <f t="shared" si="27"/>
        <v>#REF!</v>
      </c>
      <c r="K48" s="184" t="e">
        <f t="shared" si="27"/>
        <v>#REF!</v>
      </c>
      <c r="L48" s="184" t="e">
        <f t="shared" si="27"/>
        <v>#REF!</v>
      </c>
      <c r="M48" s="184" t="e">
        <f t="shared" ref="M48:U48" si="28">(M23+M24+M25+M26+M27+M28+M29+M32+M33+M34+M30+M31)/M16</f>
        <v>#REF!</v>
      </c>
      <c r="N48" s="184" t="e">
        <f t="shared" si="28"/>
        <v>#REF!</v>
      </c>
      <c r="O48" s="184" t="e">
        <f t="shared" si="28"/>
        <v>#REF!</v>
      </c>
      <c r="P48" s="184" t="e">
        <f t="shared" si="28"/>
        <v>#REF!</v>
      </c>
      <c r="Q48" s="184" t="e">
        <f t="shared" si="28"/>
        <v>#REF!</v>
      </c>
      <c r="R48" s="184" t="e">
        <f t="shared" si="28"/>
        <v>#REF!</v>
      </c>
      <c r="S48" s="184" t="e">
        <f t="shared" si="28"/>
        <v>#REF!</v>
      </c>
      <c r="T48" s="184" t="e">
        <f t="shared" si="28"/>
        <v>#REF!</v>
      </c>
      <c r="U48" s="184">
        <f t="shared" si="28"/>
        <v>0.38562037496097984</v>
      </c>
      <c r="V48" s="184">
        <v>0.3649894921548224</v>
      </c>
      <c r="W48" s="184">
        <v>0.23753094009350784</v>
      </c>
      <c r="X48" s="184">
        <v>0.31925748200530368</v>
      </c>
      <c r="Y48" s="184">
        <v>0.27244296859007894</v>
      </c>
      <c r="Z48" s="184">
        <v>0.33695592437898442</v>
      </c>
      <c r="AA48" s="184">
        <v>0.90266878694645136</v>
      </c>
      <c r="AB48" s="184">
        <v>0.36575851393188852</v>
      </c>
      <c r="AC48" s="184">
        <v>0.29228126894322087</v>
      </c>
      <c r="AD48" s="35">
        <v>0.91199999999999992</v>
      </c>
      <c r="AE48" s="35">
        <v>0.32099999999999995</v>
      </c>
      <c r="AF48" s="35">
        <v>0.315</v>
      </c>
      <c r="AG48" s="35">
        <v>0.21399999999999997</v>
      </c>
      <c r="AH48" s="35">
        <v>0.19700000000000006</v>
      </c>
      <c r="AI48" s="35">
        <v>0.22300000000000009</v>
      </c>
      <c r="AJ48" s="35">
        <v>0.28700000000000003</v>
      </c>
      <c r="AK48" s="35">
        <v>0.28100000000000003</v>
      </c>
      <c r="AL48" s="146"/>
      <c r="AM48" s="184" t="e">
        <f>(AM35-AM20-AM21)/AM16</f>
        <v>#REF!</v>
      </c>
      <c r="AN48" s="184" t="e">
        <f>(AN35-AN20-AN21)/AN16</f>
        <v>#REF!</v>
      </c>
      <c r="AO48" s="160" t="e">
        <f t="shared" si="20"/>
        <v>#REF!</v>
      </c>
      <c r="AP48" s="41"/>
      <c r="AQ48" s="146"/>
      <c r="AR48" s="184" t="e">
        <f>(AR23+AR24+AR25+AR26+AR27+AR28+AR29+AR32+AR33+AR34+AR30+AR31)/AR16</f>
        <v>#REF!</v>
      </c>
      <c r="AS48" s="184" t="e">
        <f>(AS23+AS24+AS25+AS26+AS27+AS28+AS29+AS32+AS33+AS34+AS30+AS31)/AS16</f>
        <v>#REF!</v>
      </c>
      <c r="AT48" s="184">
        <f>(AT23+AT24+AT25+AT26+AT27+AT28+AT29+AT32+AT33+AT34+AT30+AT31)/AT16</f>
        <v>0.25307072354132276</v>
      </c>
      <c r="AU48" s="35">
        <v>0.29421100284999946</v>
      </c>
      <c r="AV48" s="35">
        <v>0.43109088411931429</v>
      </c>
      <c r="AW48" s="35">
        <v>0.40832982235497561</v>
      </c>
      <c r="AX48" s="35">
        <v>0.24299999999999999</v>
      </c>
      <c r="AY48" s="305">
        <v>0.24</v>
      </c>
      <c r="AZ48" s="305">
        <v>0.26200000000000001</v>
      </c>
      <c r="BA48" s="305">
        <v>0.23499999999999999</v>
      </c>
      <c r="BB48" s="146"/>
      <c r="BC48" s="146"/>
      <c r="BG48" s="3"/>
    </row>
    <row r="49" spans="1:59" ht="12.75" customHeight="1" x14ac:dyDescent="0.2">
      <c r="A49" s="143" t="s">
        <v>81</v>
      </c>
      <c r="B49" s="143"/>
      <c r="C49" s="160" t="e">
        <f t="shared" si="16"/>
        <v>#REF!</v>
      </c>
      <c r="D49" s="41"/>
      <c r="E49" s="41"/>
      <c r="F49" s="184" t="e">
        <f t="shared" ref="F49:L49" si="29">F35/F16</f>
        <v>#REF!</v>
      </c>
      <c r="G49" s="184" t="e">
        <f t="shared" si="29"/>
        <v>#REF!</v>
      </c>
      <c r="H49" s="184" t="e">
        <f t="shared" si="29"/>
        <v>#REF!</v>
      </c>
      <c r="I49" s="184" t="e">
        <f t="shared" si="29"/>
        <v>#REF!</v>
      </c>
      <c r="J49" s="184" t="e">
        <f t="shared" si="29"/>
        <v>#REF!</v>
      </c>
      <c r="K49" s="184" t="e">
        <f t="shared" si="29"/>
        <v>#REF!</v>
      </c>
      <c r="L49" s="184" t="e">
        <f t="shared" si="29"/>
        <v>#REF!</v>
      </c>
      <c r="M49" s="184" t="e">
        <f t="shared" ref="M49:U49" si="30">M35/M16</f>
        <v>#REF!</v>
      </c>
      <c r="N49" s="184" t="e">
        <f t="shared" si="30"/>
        <v>#REF!</v>
      </c>
      <c r="O49" s="184" t="e">
        <f t="shared" si="30"/>
        <v>#REF!</v>
      </c>
      <c r="P49" s="184" t="e">
        <f t="shared" si="30"/>
        <v>#REF!</v>
      </c>
      <c r="Q49" s="184" t="e">
        <f t="shared" si="30"/>
        <v>#REF!</v>
      </c>
      <c r="R49" s="184" t="e">
        <f t="shared" si="30"/>
        <v>#REF!</v>
      </c>
      <c r="S49" s="184" t="e">
        <f t="shared" si="30"/>
        <v>#REF!</v>
      </c>
      <c r="T49" s="184" t="e">
        <f t="shared" si="30"/>
        <v>#REF!</v>
      </c>
      <c r="U49" s="184">
        <f t="shared" si="30"/>
        <v>0.96834315723755482</v>
      </c>
      <c r="V49" s="184">
        <v>0.99750056109852892</v>
      </c>
      <c r="W49" s="184">
        <v>0.86163104848494654</v>
      </c>
      <c r="X49" s="184">
        <v>0.95557519888874853</v>
      </c>
      <c r="Y49" s="184">
        <v>0.89475135897377578</v>
      </c>
      <c r="Z49" s="184">
        <v>0.90710870520993625</v>
      </c>
      <c r="AA49" s="184">
        <v>1.5674456390223666</v>
      </c>
      <c r="AB49" s="184">
        <v>0.95019195046439631</v>
      </c>
      <c r="AC49" s="184">
        <v>0.88841639265967409</v>
      </c>
      <c r="AD49" s="35">
        <v>1.4359999999999999</v>
      </c>
      <c r="AE49" s="35">
        <v>0.872</v>
      </c>
      <c r="AF49" s="35">
        <v>0.85099999999999998</v>
      </c>
      <c r="AG49" s="35">
        <v>0.77300000000000002</v>
      </c>
      <c r="AH49" s="35">
        <v>0.77300000000000002</v>
      </c>
      <c r="AI49" s="35">
        <v>0.79400000000000004</v>
      </c>
      <c r="AJ49" s="35">
        <v>0.85499999999999998</v>
      </c>
      <c r="AK49" s="35">
        <v>0.84699999999999998</v>
      </c>
      <c r="AL49" s="146"/>
      <c r="AM49" s="184" t="e">
        <f>AM35/AM16</f>
        <v>#REF!</v>
      </c>
      <c r="AN49" s="184" t="e">
        <f>AN35/AN16</f>
        <v>#REF!</v>
      </c>
      <c r="AO49" s="160" t="e">
        <f t="shared" si="20"/>
        <v>#REF!</v>
      </c>
      <c r="AP49" s="41"/>
      <c r="AQ49" s="146"/>
      <c r="AR49" s="184" t="e">
        <f>AR35/AR16</f>
        <v>#REF!</v>
      </c>
      <c r="AS49" s="184" t="e">
        <f>AS35/AS16</f>
        <v>#REF!</v>
      </c>
      <c r="AT49" s="184">
        <f>AT35/AT16</f>
        <v>0.81304172040711309</v>
      </c>
      <c r="AU49" s="35">
        <v>0.921741349685677</v>
      </c>
      <c r="AV49" s="35">
        <v>1.0305870821940044</v>
      </c>
      <c r="AW49" s="35">
        <v>0.95154063826442381</v>
      </c>
      <c r="AX49" s="35">
        <v>0.81399999999999995</v>
      </c>
      <c r="AY49" s="305">
        <v>0.83099999999999996</v>
      </c>
      <c r="AZ49" s="305">
        <v>0.86599999999999999</v>
      </c>
      <c r="BA49" s="305">
        <v>0.85299999999999998</v>
      </c>
      <c r="BB49" s="146"/>
      <c r="BC49" s="146"/>
      <c r="BG49" s="3"/>
    </row>
    <row r="50" spans="1:59" ht="12.75" customHeight="1" x14ac:dyDescent="0.2">
      <c r="A50" s="143" t="s">
        <v>82</v>
      </c>
      <c r="B50" s="689"/>
      <c r="C50" s="160" t="e">
        <f>I50-M50</f>
        <v>#REF!</v>
      </c>
      <c r="D50" s="41"/>
      <c r="E50" s="41"/>
      <c r="F50" s="184" t="e">
        <f t="shared" ref="F50:L50" si="31">F36/F16</f>
        <v>#REF!</v>
      </c>
      <c r="G50" s="184" t="e">
        <f t="shared" si="31"/>
        <v>#REF!</v>
      </c>
      <c r="H50" s="184" t="e">
        <f t="shared" si="31"/>
        <v>#REF!</v>
      </c>
      <c r="I50" s="184" t="e">
        <f t="shared" si="31"/>
        <v>#REF!</v>
      </c>
      <c r="J50" s="184" t="e">
        <f t="shared" si="31"/>
        <v>#REF!</v>
      </c>
      <c r="K50" s="184" t="e">
        <f t="shared" si="31"/>
        <v>#REF!</v>
      </c>
      <c r="L50" s="184" t="e">
        <f t="shared" si="31"/>
        <v>#REF!</v>
      </c>
      <c r="M50" s="184" t="e">
        <f t="shared" ref="M50:U50" si="32">M36/M16</f>
        <v>#REF!</v>
      </c>
      <c r="N50" s="184" t="e">
        <f t="shared" si="32"/>
        <v>#REF!</v>
      </c>
      <c r="O50" s="184" t="e">
        <f t="shared" si="32"/>
        <v>#REF!</v>
      </c>
      <c r="P50" s="184" t="e">
        <f t="shared" si="32"/>
        <v>#REF!</v>
      </c>
      <c r="Q50" s="184" t="e">
        <f t="shared" si="32"/>
        <v>#REF!</v>
      </c>
      <c r="R50" s="184" t="e">
        <f t="shared" si="32"/>
        <v>#REF!</v>
      </c>
      <c r="S50" s="184" t="e">
        <f t="shared" si="32"/>
        <v>#REF!</v>
      </c>
      <c r="T50" s="184" t="e">
        <f t="shared" si="32"/>
        <v>#REF!</v>
      </c>
      <c r="U50" s="184">
        <f t="shared" si="32"/>
        <v>3.1656842762445139E-2</v>
      </c>
      <c r="V50" s="184">
        <v>2.4994389014710984E-3</v>
      </c>
      <c r="W50" s="184">
        <v>0.13836895151505346</v>
      </c>
      <c r="X50" s="184">
        <v>4.4424801111251418E-2</v>
      </c>
      <c r="Y50" s="184">
        <v>0.10424864102622422</v>
      </c>
      <c r="Z50" s="184">
        <v>9.289129479006375E-2</v>
      </c>
      <c r="AA50" s="184">
        <v>-0.56601101766625794</v>
      </c>
      <c r="AB50" s="184">
        <v>5.0102135561745587E-2</v>
      </c>
      <c r="AC50" s="184">
        <v>0.111746772208856</v>
      </c>
      <c r="AD50" s="35">
        <v>-0.43578425270737381</v>
      </c>
      <c r="AE50" s="35">
        <v>0.128</v>
      </c>
      <c r="AF50" s="35">
        <v>0.14900000000000002</v>
      </c>
      <c r="AG50" s="35">
        <v>0.22699999999999998</v>
      </c>
      <c r="AH50" s="35">
        <v>0.22699999999999998</v>
      </c>
      <c r="AI50" s="35">
        <v>0.20599999999999996</v>
      </c>
      <c r="AJ50" s="35">
        <v>0.14499999999999999</v>
      </c>
      <c r="AK50" s="35">
        <v>0.15300000000000002</v>
      </c>
      <c r="AL50" s="146"/>
      <c r="AM50" s="184" t="e">
        <f>AM36/AM16</f>
        <v>#REF!</v>
      </c>
      <c r="AN50" s="184" t="e">
        <f>AN36/AN16</f>
        <v>#REF!</v>
      </c>
      <c r="AO50" s="160" t="e">
        <f t="shared" si="20"/>
        <v>#REF!</v>
      </c>
      <c r="AP50" s="41"/>
      <c r="AQ50" s="146"/>
      <c r="AR50" s="184" t="e">
        <f>AR36/AR16</f>
        <v>#REF!</v>
      </c>
      <c r="AS50" s="184" t="e">
        <f>AS36/AS16</f>
        <v>#REF!</v>
      </c>
      <c r="AT50" s="184">
        <f>AT36/AT16</f>
        <v>0.18695827959288688</v>
      </c>
      <c r="AU50" s="35">
        <v>7.7258650314323052E-2</v>
      </c>
      <c r="AV50" s="35">
        <v>-3.0587082194004321E-2</v>
      </c>
      <c r="AW50" s="35">
        <v>4.8807030915441217E-2</v>
      </c>
      <c r="AX50" s="35">
        <v>0.18703015314085791</v>
      </c>
      <c r="AY50" s="305">
        <f>AY36/AY16</f>
        <v>0.16914940784451749</v>
      </c>
      <c r="AZ50" s="305">
        <f>AZ36/AZ16</f>
        <v>0.13366467943212246</v>
      </c>
      <c r="BA50" s="305">
        <v>0.14700000000000002</v>
      </c>
      <c r="BB50" s="146"/>
      <c r="BC50" s="146"/>
      <c r="BG50" s="3"/>
    </row>
    <row r="51" spans="1:59" ht="12.75" customHeight="1" x14ac:dyDescent="0.2">
      <c r="A51" s="144"/>
      <c r="B51" s="144"/>
      <c r="C51" s="160"/>
      <c r="D51" s="41"/>
      <c r="E51" s="41"/>
      <c r="F51" s="755"/>
      <c r="G51" s="755"/>
      <c r="H51" s="755"/>
      <c r="I51" s="755"/>
      <c r="J51" s="755"/>
      <c r="K51" s="755"/>
      <c r="L51" s="755"/>
      <c r="M51" s="755"/>
      <c r="N51" s="41"/>
      <c r="O51" s="41"/>
      <c r="P51" s="41"/>
      <c r="Q51" s="41"/>
      <c r="R51" s="41"/>
      <c r="S51" s="41"/>
      <c r="T51" s="41"/>
      <c r="U51" s="41"/>
      <c r="V51" s="41"/>
      <c r="W51" s="41"/>
      <c r="X51" s="41"/>
      <c r="Y51" s="41"/>
      <c r="Z51" s="41"/>
      <c r="AA51" s="41"/>
      <c r="AB51" s="41"/>
      <c r="AC51" s="184"/>
      <c r="AD51" s="184"/>
      <c r="AE51" s="82"/>
      <c r="AF51" s="82"/>
      <c r="AG51" s="82"/>
      <c r="AH51" s="184"/>
      <c r="AI51" s="184"/>
      <c r="AJ51" s="184"/>
      <c r="AK51" s="184"/>
      <c r="AL51" s="146"/>
      <c r="AM51" s="146"/>
      <c r="AN51" s="146"/>
      <c r="AO51" s="160"/>
      <c r="AP51" s="41"/>
      <c r="AQ51" s="146"/>
      <c r="AR51" s="35"/>
      <c r="AS51" s="35"/>
      <c r="AT51" s="35"/>
      <c r="AU51" s="35"/>
      <c r="AV51" s="35"/>
      <c r="AW51" s="35"/>
      <c r="AX51" s="11"/>
      <c r="AY51" s="305"/>
      <c r="AZ51" s="305"/>
      <c r="BA51" s="305"/>
      <c r="BB51" s="146"/>
      <c r="BC51" s="146"/>
      <c r="BG51" s="3"/>
    </row>
    <row r="52" spans="1:59" ht="12.75" customHeight="1" x14ac:dyDescent="0.2">
      <c r="A52" s="144" t="s">
        <v>94</v>
      </c>
      <c r="B52" s="144"/>
      <c r="C52" s="165">
        <f>I52-M52</f>
        <v>-285</v>
      </c>
      <c r="D52" s="755">
        <f>IF(OR((C52/M52)&gt;3,(C52/M52)&lt;-3),"n.m.",(C52/M52))</f>
        <v>-0.22317932654659359</v>
      </c>
      <c r="E52" s="41"/>
      <c r="F52" s="618"/>
      <c r="G52" s="618"/>
      <c r="H52" s="618"/>
      <c r="I52" s="618">
        <f>+'12 Misc Operating Stats'!M15</f>
        <v>992</v>
      </c>
      <c r="J52" s="618">
        <f>+'12 Misc Operating Stats'!N15</f>
        <v>1015</v>
      </c>
      <c r="K52" s="618">
        <f>+'12 Misc Operating Stats'!O15</f>
        <v>1049</v>
      </c>
      <c r="L52" s="618">
        <f>+'12 Misc Operating Stats'!P15</f>
        <v>1185</v>
      </c>
      <c r="M52" s="618">
        <f>+'12 Misc Operating Stats'!Q15</f>
        <v>1277</v>
      </c>
      <c r="N52" s="618">
        <f>'12 Misc Operating Stats'!R15</f>
        <v>1309</v>
      </c>
      <c r="O52" s="618">
        <f>'12 Misc Operating Stats'!S15</f>
        <v>1347</v>
      </c>
      <c r="P52" s="618">
        <f>'12 Misc Operating Stats'!T15</f>
        <v>1336</v>
      </c>
      <c r="Q52" s="266">
        <f>'12 Misc Operating Stats'!U15</f>
        <v>1313</v>
      </c>
      <c r="R52" s="266">
        <v>1325</v>
      </c>
      <c r="S52" s="266">
        <v>1312</v>
      </c>
      <c r="T52" s="266">
        <v>1310</v>
      </c>
      <c r="U52" s="266">
        <v>1333</v>
      </c>
      <c r="V52" s="151">
        <v>1247</v>
      </c>
      <c r="W52" s="266">
        <v>1271</v>
      </c>
      <c r="X52" s="266">
        <v>1257</v>
      </c>
      <c r="Y52" s="266">
        <v>1244</v>
      </c>
      <c r="Z52" s="266">
        <v>1265</v>
      </c>
      <c r="AA52" s="266">
        <v>1301</v>
      </c>
      <c r="AB52" s="266">
        <v>1385</v>
      </c>
      <c r="AC52" s="299">
        <v>1404</v>
      </c>
      <c r="AD52" s="299">
        <v>1395</v>
      </c>
      <c r="AE52" s="299">
        <v>1399</v>
      </c>
      <c r="AF52" s="299">
        <v>1418</v>
      </c>
      <c r="AG52" s="299">
        <v>1383</v>
      </c>
      <c r="AH52" s="299">
        <v>1334</v>
      </c>
      <c r="AI52" s="299">
        <v>1310</v>
      </c>
      <c r="AJ52" s="299">
        <v>1309</v>
      </c>
      <c r="AK52" s="299">
        <v>1292</v>
      </c>
      <c r="AL52" s="146"/>
      <c r="AM52" s="210">
        <f>K52</f>
        <v>1049</v>
      </c>
      <c r="AN52" s="210">
        <f>O52</f>
        <v>1347</v>
      </c>
      <c r="AO52" s="210">
        <f>AR52-AS52</f>
        <v>-294</v>
      </c>
      <c r="AP52" s="41">
        <f>IF(OR((AO52/AS52)&gt;3,(AO52/AS52)&lt;-3),"n.m.",(AO52/AS52))</f>
        <v>-0.22459893048128343</v>
      </c>
      <c r="AQ52" s="146"/>
      <c r="AR52" s="165">
        <f>+J52</f>
        <v>1015</v>
      </c>
      <c r="AS52" s="165">
        <f>N52</f>
        <v>1309</v>
      </c>
      <c r="AT52" s="165">
        <v>1325</v>
      </c>
      <c r="AU52" s="165">
        <v>1247</v>
      </c>
      <c r="AV52" s="165">
        <v>1265</v>
      </c>
      <c r="AW52" s="165">
        <v>1395</v>
      </c>
      <c r="AX52" s="165">
        <v>1334</v>
      </c>
      <c r="AY52" s="299">
        <v>1257</v>
      </c>
      <c r="AZ52" s="299">
        <v>1190</v>
      </c>
      <c r="BA52" s="299">
        <v>1104</v>
      </c>
      <c r="BB52" s="146"/>
      <c r="BC52" s="146"/>
      <c r="BG52" s="3"/>
    </row>
    <row r="53" spans="1:59" ht="12.75" customHeight="1" x14ac:dyDescent="0.2">
      <c r="A53" s="7"/>
      <c r="B53" s="7"/>
      <c r="C53" s="146"/>
      <c r="D53" s="146"/>
      <c r="E53" s="146"/>
      <c r="F53" s="725"/>
      <c r="G53" s="725"/>
      <c r="H53" s="725"/>
      <c r="I53" s="725"/>
      <c r="J53" s="725"/>
      <c r="K53" s="725"/>
      <c r="L53" s="725"/>
      <c r="M53" s="725"/>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725"/>
      <c r="AS53" s="146"/>
      <c r="AT53" s="146"/>
      <c r="AU53" s="146"/>
      <c r="AV53" s="146"/>
      <c r="AW53" s="146"/>
      <c r="AX53" s="146"/>
      <c r="AY53" s="299"/>
      <c r="AZ53" s="299"/>
      <c r="BA53" s="299"/>
      <c r="BB53" s="146"/>
      <c r="BC53" s="146"/>
      <c r="BG53" s="3"/>
    </row>
    <row r="54" spans="1:59" ht="18" customHeight="1" x14ac:dyDescent="0.2">
      <c r="A54" s="12" t="s">
        <v>267</v>
      </c>
      <c r="B54" s="7"/>
      <c r="C54" s="82"/>
      <c r="D54" s="82"/>
      <c r="E54" s="146"/>
      <c r="F54" s="725"/>
      <c r="G54" s="725"/>
      <c r="H54" s="725"/>
      <c r="I54" s="725"/>
      <c r="J54" s="725"/>
      <c r="K54" s="725"/>
      <c r="L54" s="725"/>
      <c r="M54" s="725"/>
      <c r="N54" s="146"/>
      <c r="O54" s="146"/>
      <c r="P54" s="146"/>
      <c r="Q54" s="146"/>
      <c r="R54" s="146"/>
      <c r="S54" s="146"/>
      <c r="T54" s="146"/>
      <c r="U54" s="146"/>
      <c r="V54" s="146"/>
      <c r="W54" s="146"/>
      <c r="X54" s="146"/>
      <c r="Y54" s="146"/>
      <c r="Z54" s="146"/>
      <c r="AA54" s="146"/>
      <c r="AB54" s="146"/>
      <c r="AC54" s="146"/>
      <c r="AD54" s="146"/>
      <c r="AE54" s="146"/>
      <c r="AF54" s="82"/>
      <c r="AG54" s="82"/>
      <c r="AH54" s="82"/>
      <c r="AI54" s="82"/>
      <c r="AJ54" s="82"/>
      <c r="AK54" s="82"/>
      <c r="AL54" s="82"/>
      <c r="AM54" s="82"/>
      <c r="AN54" s="82"/>
      <c r="AO54" s="146"/>
      <c r="AP54" s="146"/>
      <c r="AQ54" s="82"/>
      <c r="AR54" s="678"/>
      <c r="AS54" s="678"/>
      <c r="AT54" s="82"/>
      <c r="AU54" s="82"/>
      <c r="AV54" s="82"/>
      <c r="AW54" s="82"/>
      <c r="AX54" s="82"/>
      <c r="AY54" s="304"/>
      <c r="AZ54" s="304"/>
      <c r="BA54" s="304"/>
      <c r="BB54" s="146"/>
      <c r="BC54" s="146"/>
      <c r="BG54" s="3"/>
    </row>
    <row r="55" spans="1:59" ht="12.75" customHeight="1" x14ac:dyDescent="0.2">
      <c r="A55" s="190"/>
      <c r="B55" s="7"/>
      <c r="C55" s="82"/>
      <c r="D55" s="82"/>
      <c r="E55" s="146"/>
      <c r="F55" s="401"/>
      <c r="G55" s="401"/>
      <c r="H55" s="401"/>
      <c r="I55" s="725"/>
      <c r="J55" s="401"/>
      <c r="K55" s="401"/>
      <c r="L55" s="401"/>
      <c r="M55" s="725"/>
      <c r="N55" s="401"/>
      <c r="O55" s="401"/>
      <c r="P55" s="401"/>
      <c r="Q55" s="146"/>
      <c r="R55" s="401"/>
      <c r="S55" s="401"/>
      <c r="T55" s="401"/>
      <c r="U55" s="146"/>
      <c r="V55" s="401"/>
      <c r="W55" s="401"/>
      <c r="X55" s="401"/>
      <c r="Y55" s="146"/>
      <c r="Z55" s="401"/>
      <c r="AA55" s="146"/>
      <c r="AB55" s="146"/>
      <c r="AC55" s="146"/>
      <c r="AD55" s="146"/>
      <c r="AE55" s="146"/>
      <c r="AF55" s="82"/>
      <c r="AG55" s="82"/>
      <c r="AH55" s="82"/>
      <c r="AI55" s="82"/>
      <c r="AJ55" s="82"/>
      <c r="AK55" s="82"/>
      <c r="AL55" s="82"/>
      <c r="AM55" s="82"/>
      <c r="AN55" s="82"/>
      <c r="AO55" s="82"/>
      <c r="AP55" s="82"/>
      <c r="AQ55" s="82"/>
      <c r="AR55" s="724"/>
      <c r="AS55" s="82"/>
      <c r="AT55" s="82"/>
      <c r="AU55" s="82"/>
      <c r="AV55" s="82"/>
      <c r="AW55" s="82"/>
      <c r="AX55" s="82"/>
      <c r="AY55" s="304"/>
      <c r="AZ55" s="304"/>
      <c r="BA55" s="304"/>
      <c r="BB55" s="146"/>
      <c r="BC55" s="146"/>
      <c r="BG55" s="3"/>
    </row>
    <row r="56" spans="1:59" ht="12.75" customHeight="1" x14ac:dyDescent="0.2">
      <c r="A56" s="6"/>
      <c r="B56" s="7"/>
      <c r="C56" s="1479" t="s">
        <v>360</v>
      </c>
      <c r="D56" s="1480"/>
      <c r="E56" s="256"/>
      <c r="F56" s="410"/>
      <c r="G56" s="410"/>
      <c r="H56" s="410"/>
      <c r="I56" s="19"/>
      <c r="J56" s="410"/>
      <c r="K56" s="410"/>
      <c r="L56" s="410"/>
      <c r="M56" s="19"/>
      <c r="N56" s="17"/>
      <c r="O56" s="18"/>
      <c r="P56" s="410"/>
      <c r="Q56" s="19"/>
      <c r="R56" s="17"/>
      <c r="S56" s="18"/>
      <c r="T56" s="410"/>
      <c r="U56" s="19"/>
      <c r="V56" s="722"/>
      <c r="W56" s="18"/>
      <c r="X56" s="2"/>
      <c r="Y56" s="19"/>
      <c r="Z56" s="18"/>
      <c r="AA56" s="722"/>
      <c r="AB56" s="410"/>
      <c r="AC56" s="19"/>
      <c r="AD56" s="18"/>
      <c r="AE56" s="18"/>
      <c r="AF56" s="18"/>
      <c r="AG56" s="18"/>
      <c r="AH56" s="22"/>
      <c r="AI56" s="19"/>
      <c r="AJ56" s="19"/>
      <c r="AK56" s="19"/>
      <c r="AL56" s="24"/>
      <c r="AM56" s="661" t="s">
        <v>340</v>
      </c>
      <c r="AN56" s="647"/>
      <c r="AO56" s="647" t="s">
        <v>320</v>
      </c>
      <c r="AP56" s="648"/>
      <c r="AQ56" s="15"/>
      <c r="AR56" s="87"/>
      <c r="AS56" s="87"/>
      <c r="AT56" s="87"/>
      <c r="AU56" s="87"/>
      <c r="AV56" s="87"/>
      <c r="AW56" s="191"/>
      <c r="AX56" s="191"/>
      <c r="AY56" s="87"/>
      <c r="AZ56" s="87"/>
      <c r="BA56" s="694"/>
      <c r="BB56" s="162"/>
      <c r="BC56" s="146"/>
      <c r="BG56" s="3"/>
    </row>
    <row r="57" spans="1:59" ht="12.75" customHeight="1" x14ac:dyDescent="0.2">
      <c r="A57" s="6" t="s">
        <v>101</v>
      </c>
      <c r="B57" s="7"/>
      <c r="C57" s="1481" t="s">
        <v>39</v>
      </c>
      <c r="D57" s="1482"/>
      <c r="E57" s="530"/>
      <c r="F57" s="21" t="s">
        <v>363</v>
      </c>
      <c r="G57" s="21" t="s">
        <v>362</v>
      </c>
      <c r="H57" s="21" t="s">
        <v>361</v>
      </c>
      <c r="I57" s="14" t="s">
        <v>359</v>
      </c>
      <c r="J57" s="21" t="s">
        <v>302</v>
      </c>
      <c r="K57" s="21" t="s">
        <v>303</v>
      </c>
      <c r="L57" s="21" t="s">
        <v>304</v>
      </c>
      <c r="M57" s="14" t="s">
        <v>305</v>
      </c>
      <c r="N57" s="20" t="s">
        <v>231</v>
      </c>
      <c r="O57" s="21" t="s">
        <v>232</v>
      </c>
      <c r="P57" s="21" t="s">
        <v>233</v>
      </c>
      <c r="Q57" s="14" t="s">
        <v>230</v>
      </c>
      <c r="R57" s="20" t="s">
        <v>194</v>
      </c>
      <c r="S57" s="21" t="s">
        <v>195</v>
      </c>
      <c r="T57" s="21" t="s">
        <v>196</v>
      </c>
      <c r="U57" s="14" t="s">
        <v>197</v>
      </c>
      <c r="V57" s="21" t="s">
        <v>126</v>
      </c>
      <c r="W57" s="21" t="s">
        <v>125</v>
      </c>
      <c r="X57" s="21" t="s">
        <v>124</v>
      </c>
      <c r="Y57" s="14" t="s">
        <v>123</v>
      </c>
      <c r="Z57" s="21" t="s">
        <v>86</v>
      </c>
      <c r="AA57" s="21" t="s">
        <v>87</v>
      </c>
      <c r="AB57" s="21" t="s">
        <v>88</v>
      </c>
      <c r="AC57" s="14" t="s">
        <v>30</v>
      </c>
      <c r="AD57" s="21" t="s">
        <v>31</v>
      </c>
      <c r="AE57" s="21" t="s">
        <v>32</v>
      </c>
      <c r="AF57" s="21" t="s">
        <v>33</v>
      </c>
      <c r="AG57" s="21" t="s">
        <v>34</v>
      </c>
      <c r="AH57" s="23" t="s">
        <v>35</v>
      </c>
      <c r="AI57" s="14" t="s">
        <v>36</v>
      </c>
      <c r="AJ57" s="14" t="s">
        <v>37</v>
      </c>
      <c r="AK57" s="14" t="s">
        <v>38</v>
      </c>
      <c r="AL57" s="256"/>
      <c r="AM57" s="21" t="s">
        <v>303</v>
      </c>
      <c r="AN57" s="21" t="s">
        <v>232</v>
      </c>
      <c r="AO57" s="1503" t="s">
        <v>39</v>
      </c>
      <c r="AP57" s="1478"/>
      <c r="AQ57" s="194"/>
      <c r="AR57" s="20" t="s">
        <v>307</v>
      </c>
      <c r="AS57" s="20" t="s">
        <v>235</v>
      </c>
      <c r="AT57" s="20" t="s">
        <v>128</v>
      </c>
      <c r="AU57" s="20" t="s">
        <v>127</v>
      </c>
      <c r="AV57" s="20" t="s">
        <v>43</v>
      </c>
      <c r="AW57" s="23" t="s">
        <v>40</v>
      </c>
      <c r="AX57" s="23" t="s">
        <v>41</v>
      </c>
      <c r="AY57" s="23" t="s">
        <v>146</v>
      </c>
      <c r="AZ57" s="23" t="s">
        <v>147</v>
      </c>
      <c r="BA57" s="21" t="s">
        <v>148</v>
      </c>
      <c r="BB57" s="162"/>
      <c r="BC57" s="146"/>
      <c r="BG57" s="3"/>
    </row>
    <row r="58" spans="1:59" ht="12.75" customHeight="1" x14ac:dyDescent="0.2">
      <c r="A58" s="145"/>
      <c r="B58" s="146" t="s">
        <v>4</v>
      </c>
      <c r="C58" s="83" t="e">
        <f>I58-M58</f>
        <v>#REF!</v>
      </c>
      <c r="D58" s="742" t="e">
        <f>IF(OR((C58/M58)&gt;3,(C58/M58)&lt;-3),"n.m.",(C58/M58))</f>
        <v>#REF!</v>
      </c>
      <c r="E58" s="88"/>
      <c r="F58" s="738" t="e">
        <f t="shared" ref="F58:M58" si="33">+F16</f>
        <v>#REF!</v>
      </c>
      <c r="G58" s="738" t="e">
        <f t="shared" si="33"/>
        <v>#REF!</v>
      </c>
      <c r="H58" s="738" t="e">
        <f t="shared" si="33"/>
        <v>#REF!</v>
      </c>
      <c r="I58" s="739" t="e">
        <f t="shared" si="33"/>
        <v>#REF!</v>
      </c>
      <c r="J58" s="738" t="e">
        <f t="shared" si="33"/>
        <v>#REF!</v>
      </c>
      <c r="K58" s="738" t="e">
        <f t="shared" si="33"/>
        <v>#REF!</v>
      </c>
      <c r="L58" s="738" t="e">
        <f t="shared" si="33"/>
        <v>#REF!</v>
      </c>
      <c r="M58" s="739" t="e">
        <f t="shared" si="33"/>
        <v>#REF!</v>
      </c>
      <c r="N58" s="327" t="e">
        <f t="shared" ref="N58:U58" si="34">N16</f>
        <v>#REF!</v>
      </c>
      <c r="O58" s="327" t="e">
        <f t="shared" si="34"/>
        <v>#REF!</v>
      </c>
      <c r="P58" s="327" t="e">
        <f t="shared" si="34"/>
        <v>#REF!</v>
      </c>
      <c r="Q58" s="368" t="e">
        <f t="shared" si="34"/>
        <v>#REF!</v>
      </c>
      <c r="R58" s="327" t="e">
        <f t="shared" si="34"/>
        <v>#REF!</v>
      </c>
      <c r="S58" s="327" t="e">
        <f t="shared" si="34"/>
        <v>#REF!</v>
      </c>
      <c r="T58" s="327" t="e">
        <f t="shared" si="34"/>
        <v>#REF!</v>
      </c>
      <c r="U58" s="368">
        <f t="shared" si="34"/>
        <v>108918</v>
      </c>
      <c r="V58" s="327">
        <v>98022</v>
      </c>
      <c r="W58" s="327">
        <v>123626</v>
      </c>
      <c r="X58" s="327">
        <v>79190</v>
      </c>
      <c r="Y58" s="368">
        <v>87934</v>
      </c>
      <c r="Z58" s="337">
        <v>72784</v>
      </c>
      <c r="AA58" s="327">
        <v>57907</v>
      </c>
      <c r="AB58" s="327">
        <v>80775</v>
      </c>
      <c r="AC58" s="327">
        <v>108898</v>
      </c>
      <c r="AD58" s="228">
        <v>104437</v>
      </c>
      <c r="AE58" s="327">
        <v>125130</v>
      </c>
      <c r="AF58" s="327">
        <v>117358</v>
      </c>
      <c r="AG58" s="337">
        <v>162141</v>
      </c>
      <c r="AH58" s="227">
        <v>153624</v>
      </c>
      <c r="AI58" s="213">
        <v>134705</v>
      </c>
      <c r="AJ58" s="213">
        <v>108408</v>
      </c>
      <c r="AK58" s="222">
        <v>133250</v>
      </c>
      <c r="AL58" s="88"/>
      <c r="AM58" s="327" t="e">
        <f>SUM(K58:M58)</f>
        <v>#REF!</v>
      </c>
      <c r="AN58" s="327" t="e">
        <f>SUM(O58:Q58)</f>
        <v>#REF!</v>
      </c>
      <c r="AO58" s="338" t="e">
        <f>AR58-AS58</f>
        <v>#REF!</v>
      </c>
      <c r="AP58" s="339" t="e">
        <f>IF(OR((AO58/AS58)&gt;3,(AO58/AS58)&lt;-3),"n.m.",(AO58/AS58))</f>
        <v>#REF!</v>
      </c>
      <c r="AQ58" s="82"/>
      <c r="AR58" s="729" t="e">
        <f>SUM(J58:M58)</f>
        <v>#REF!</v>
      </c>
      <c r="AS58" s="177" t="e">
        <f>SUM(N58:Q58)</f>
        <v>#REF!</v>
      </c>
      <c r="AT58" s="177" t="e">
        <f>SUM(R58:U58)</f>
        <v>#REF!</v>
      </c>
      <c r="AU58" s="177">
        <v>388772</v>
      </c>
      <c r="AV58" s="177">
        <v>320364</v>
      </c>
      <c r="AW58" s="437">
        <v>509066</v>
      </c>
      <c r="AX58" s="437">
        <v>530492</v>
      </c>
      <c r="AY58" s="437">
        <f>AY16</f>
        <v>437554</v>
      </c>
      <c r="AZ58" s="437">
        <f>AZ16</f>
        <v>316688</v>
      </c>
      <c r="BA58" s="307">
        <v>317668</v>
      </c>
      <c r="BB58" s="162"/>
      <c r="BC58" s="146"/>
      <c r="BG58" s="3"/>
    </row>
    <row r="59" spans="1:59" ht="12.75" customHeight="1" x14ac:dyDescent="0.2">
      <c r="A59" s="82"/>
      <c r="B59" s="82" t="s">
        <v>85</v>
      </c>
      <c r="C59" s="83">
        <f>I59-M59</f>
        <v>-14408</v>
      </c>
      <c r="D59" s="45">
        <f>IF(OR((C59/M59)&gt;3,(C59/M59)&lt;-3),"n.m.",(C59/M59))</f>
        <v>-0.18294943748888945</v>
      </c>
      <c r="E59" s="533"/>
      <c r="F59" s="399">
        <f>+F35-F30-F31</f>
        <v>0</v>
      </c>
      <c r="G59" s="399">
        <f>+G35-G30-G31</f>
        <v>0</v>
      </c>
      <c r="H59" s="399">
        <f>+H35-H30-H31</f>
        <v>0</v>
      </c>
      <c r="I59" s="739">
        <f>+I35-I30-I31-930</f>
        <v>64346</v>
      </c>
      <c r="J59" s="399">
        <f>+J35-J30-J31-930</f>
        <v>88463</v>
      </c>
      <c r="K59" s="399">
        <f>+K35-K30-K31-930</f>
        <v>96572</v>
      </c>
      <c r="L59" s="399">
        <f>+L35-L30-L31-930</f>
        <v>79613</v>
      </c>
      <c r="M59" s="739">
        <f>+M35-930</f>
        <v>78754</v>
      </c>
      <c r="N59" s="399">
        <f>N35-N30-930</f>
        <v>112287</v>
      </c>
      <c r="O59" s="399">
        <f>O35-O31-930-O30</f>
        <v>93171</v>
      </c>
      <c r="P59" s="399">
        <f>P35-P31-930</f>
        <v>87147</v>
      </c>
      <c r="Q59" s="368">
        <f>Q35-930</f>
        <v>103084</v>
      </c>
      <c r="R59" s="399">
        <f>R35-R31-930</f>
        <v>138302</v>
      </c>
      <c r="S59" s="399">
        <f>S35-S31-930</f>
        <v>141951</v>
      </c>
      <c r="T59" s="399">
        <f>T35-T31-1827</f>
        <v>95491</v>
      </c>
      <c r="U59" s="368">
        <f>U35-U31-1439</f>
        <v>93041</v>
      </c>
      <c r="V59" s="399">
        <v>92777</v>
      </c>
      <c r="W59" s="399">
        <v>106520</v>
      </c>
      <c r="X59" s="399">
        <v>75672</v>
      </c>
      <c r="Y59" s="368">
        <v>78767</v>
      </c>
      <c r="Z59" s="399">
        <v>65881</v>
      </c>
      <c r="AA59" s="399">
        <v>72055</v>
      </c>
      <c r="AB59" s="399">
        <v>76728</v>
      </c>
      <c r="AC59" s="368">
        <v>96729</v>
      </c>
      <c r="AD59" s="209">
        <v>87577</v>
      </c>
      <c r="AE59" s="209">
        <v>104907</v>
      </c>
      <c r="AF59" s="209">
        <v>95426</v>
      </c>
      <c r="AG59" s="209">
        <v>125313</v>
      </c>
      <c r="AH59" s="159">
        <v>118739</v>
      </c>
      <c r="AI59" s="213">
        <v>106957</v>
      </c>
      <c r="AJ59" s="213">
        <v>92702</v>
      </c>
      <c r="AK59" s="213">
        <v>112876</v>
      </c>
      <c r="AL59" s="88"/>
      <c r="AM59" s="738">
        <f>SUM(K59:M59)</f>
        <v>254939</v>
      </c>
      <c r="AN59" s="327">
        <f>SUM(O59:Q59)</f>
        <v>283402</v>
      </c>
      <c r="AO59" s="151">
        <f>AR59-AS59</f>
        <v>-52287</v>
      </c>
      <c r="AP59" s="45">
        <f>IF(OR((AO59/AS59)&gt;3,(AO59/AS59)&lt;-3),"n.m.",(AO59/AS59))</f>
        <v>-0.13214165670513964</v>
      </c>
      <c r="AQ59" s="82"/>
      <c r="AR59" s="729">
        <f>SUM(J59:M59)</f>
        <v>343402</v>
      </c>
      <c r="AS59" s="177">
        <f>SUM(N59:Q59)</f>
        <v>395689</v>
      </c>
      <c r="AT59" s="177">
        <f>SUM(R59:U59)</f>
        <v>468785</v>
      </c>
      <c r="AU59" s="177">
        <v>353736</v>
      </c>
      <c r="AV59" s="177">
        <v>311393</v>
      </c>
      <c r="AW59" s="159">
        <v>413223</v>
      </c>
      <c r="AX59" s="159">
        <v>431274</v>
      </c>
      <c r="AY59" s="43">
        <v>363542</v>
      </c>
      <c r="AZ59" s="43">
        <v>274358</v>
      </c>
      <c r="BA59" s="43">
        <v>271025</v>
      </c>
      <c r="BB59" s="162"/>
      <c r="BC59" s="146"/>
      <c r="BG59" s="3"/>
    </row>
    <row r="60" spans="1:59" x14ac:dyDescent="0.2">
      <c r="A60" s="82"/>
      <c r="B60" s="740" t="s">
        <v>77</v>
      </c>
      <c r="C60" s="152" t="e">
        <f>I60-M60</f>
        <v>#REF!</v>
      </c>
      <c r="D60" s="153" t="e">
        <f>IF(OR((C60/M60)&gt;3,(C60/M60)&lt;-3),"n.m.",(C60/M60))</f>
        <v>#REF!</v>
      </c>
      <c r="E60" s="533"/>
      <c r="F60" s="407" t="e">
        <f t="shared" ref="F60:M60" si="35">+F58-F59</f>
        <v>#REF!</v>
      </c>
      <c r="G60" s="407" t="e">
        <f t="shared" si="35"/>
        <v>#REF!</v>
      </c>
      <c r="H60" s="407" t="e">
        <f t="shared" si="35"/>
        <v>#REF!</v>
      </c>
      <c r="I60" s="371" t="e">
        <f t="shared" si="35"/>
        <v>#REF!</v>
      </c>
      <c r="J60" s="407" t="e">
        <f t="shared" si="35"/>
        <v>#REF!</v>
      </c>
      <c r="K60" s="407" t="e">
        <f t="shared" si="35"/>
        <v>#REF!</v>
      </c>
      <c r="L60" s="407" t="e">
        <f t="shared" si="35"/>
        <v>#REF!</v>
      </c>
      <c r="M60" s="371" t="e">
        <f t="shared" si="35"/>
        <v>#REF!</v>
      </c>
      <c r="N60" s="407" t="e">
        <f t="shared" ref="N60:U60" si="36">N58-N59</f>
        <v>#REF!</v>
      </c>
      <c r="O60" s="407" t="e">
        <f>O58-O59</f>
        <v>#REF!</v>
      </c>
      <c r="P60" s="407" t="e">
        <f>P58-P59</f>
        <v>#REF!</v>
      </c>
      <c r="Q60" s="371" t="e">
        <f t="shared" si="36"/>
        <v>#REF!</v>
      </c>
      <c r="R60" s="407" t="e">
        <f t="shared" si="36"/>
        <v>#REF!</v>
      </c>
      <c r="S60" s="407" t="e">
        <f t="shared" si="36"/>
        <v>#REF!</v>
      </c>
      <c r="T60" s="407" t="e">
        <f t="shared" si="36"/>
        <v>#REF!</v>
      </c>
      <c r="U60" s="371">
        <f t="shared" si="36"/>
        <v>15877</v>
      </c>
      <c r="V60" s="407">
        <v>5245</v>
      </c>
      <c r="W60" s="407">
        <v>17106</v>
      </c>
      <c r="X60" s="407">
        <v>3518</v>
      </c>
      <c r="Y60" s="371">
        <v>9167</v>
      </c>
      <c r="Z60" s="407">
        <v>6903</v>
      </c>
      <c r="AA60" s="407">
        <v>-14148</v>
      </c>
      <c r="AB60" s="407">
        <v>4047</v>
      </c>
      <c r="AC60" s="407">
        <v>12169</v>
      </c>
      <c r="AD60" s="416">
        <v>16860</v>
      </c>
      <c r="AE60" s="407">
        <v>20223</v>
      </c>
      <c r="AF60" s="407">
        <v>21932</v>
      </c>
      <c r="AG60" s="407">
        <v>36828</v>
      </c>
      <c r="AH60" s="416">
        <v>34885</v>
      </c>
      <c r="AI60" s="216">
        <v>27748</v>
      </c>
      <c r="AJ60" s="216">
        <v>15706</v>
      </c>
      <c r="AK60" s="216">
        <v>20374</v>
      </c>
      <c r="AL60" s="88"/>
      <c r="AM60" s="226" t="e">
        <f>AM58-AM59</f>
        <v>#REF!</v>
      </c>
      <c r="AN60" s="335" t="e">
        <f>AN58-AN59</f>
        <v>#REF!</v>
      </c>
      <c r="AO60" s="340" t="e">
        <f>AR60-AS60</f>
        <v>#REF!</v>
      </c>
      <c r="AP60" s="483" t="e">
        <f>IF(OR((AO60/AS60)&gt;3,(AO60/AS60)&lt;-3),"n.m.",(AO60/AS60))</f>
        <v>#REF!</v>
      </c>
      <c r="AQ60" s="82"/>
      <c r="AR60" s="195" t="e">
        <f>SUM(J60:M60)</f>
        <v>#REF!</v>
      </c>
      <c r="AS60" s="195" t="e">
        <f>AS58-AS59</f>
        <v>#REF!</v>
      </c>
      <c r="AT60" s="195" t="e">
        <f>SUM(R60:U60)</f>
        <v>#REF!</v>
      </c>
      <c r="AU60" s="195">
        <v>35036</v>
      </c>
      <c r="AV60" s="195">
        <v>8971</v>
      </c>
      <c r="AW60" s="372">
        <v>95843</v>
      </c>
      <c r="AX60" s="372">
        <v>99218</v>
      </c>
      <c r="AY60" s="372">
        <f>AY58-AY59</f>
        <v>74012</v>
      </c>
      <c r="AZ60" s="372">
        <f>AZ58-AZ59</f>
        <v>42330</v>
      </c>
      <c r="BA60" s="158">
        <v>46643</v>
      </c>
      <c r="BB60" s="162"/>
      <c r="BC60" s="146"/>
      <c r="BG60" s="3"/>
    </row>
    <row r="61" spans="1:59" ht="12.75" customHeight="1" x14ac:dyDescent="0.2">
      <c r="A61" s="82"/>
      <c r="B61" s="82"/>
      <c r="C61" s="151"/>
      <c r="D61" s="11"/>
      <c r="E61" s="11"/>
      <c r="F61" s="11"/>
      <c r="G61" s="11"/>
      <c r="H61" s="11"/>
      <c r="I61" s="725"/>
      <c r="J61" s="11"/>
      <c r="K61" s="11"/>
      <c r="L61" s="11"/>
      <c r="M61" s="725"/>
      <c r="N61" s="11"/>
      <c r="O61" s="11"/>
      <c r="P61" s="11"/>
      <c r="Q61" s="146"/>
      <c r="R61" s="11"/>
      <c r="S61" s="11"/>
      <c r="T61" s="11"/>
      <c r="U61" s="146"/>
      <c r="V61" s="11"/>
      <c r="W61" s="11"/>
      <c r="X61" s="11"/>
      <c r="Y61" s="146"/>
      <c r="Z61" s="11"/>
      <c r="AA61" s="11"/>
      <c r="AB61" s="11"/>
      <c r="AC61" s="146"/>
      <c r="AD61" s="82"/>
      <c r="AE61" s="82"/>
      <c r="AF61" s="82"/>
      <c r="AG61" s="82"/>
      <c r="AH61" s="82"/>
      <c r="AI61" s="82"/>
      <c r="AJ61" s="82"/>
      <c r="AK61" s="82"/>
      <c r="AL61" s="146"/>
      <c r="AM61" s="146"/>
      <c r="AN61" s="146"/>
      <c r="AO61" s="151"/>
      <c r="AP61" s="11"/>
      <c r="AQ61" s="146"/>
      <c r="AR61" s="725"/>
      <c r="AS61" s="146"/>
      <c r="AT61" s="146"/>
      <c r="AU61" s="146"/>
      <c r="AV61" s="146"/>
      <c r="AW61" s="82"/>
      <c r="AX61" s="82"/>
      <c r="AY61" s="299"/>
      <c r="AZ61" s="299"/>
      <c r="BA61" s="299"/>
      <c r="BB61" s="146"/>
      <c r="BC61" s="146"/>
      <c r="BG61" s="3"/>
    </row>
    <row r="62" spans="1:59" ht="12.75" customHeight="1" x14ac:dyDescent="0.2">
      <c r="A62" s="82"/>
      <c r="B62" s="143" t="s">
        <v>80</v>
      </c>
      <c r="C62" s="205" t="e">
        <f>(I62-M62)*100</f>
        <v>#REF!</v>
      </c>
      <c r="D62" s="11"/>
      <c r="E62" s="11"/>
      <c r="F62" s="11" t="e">
        <f t="shared" ref="F62:K62" si="37">(F59-F20-F21)/F16</f>
        <v>#REF!</v>
      </c>
      <c r="G62" s="11" t="e">
        <f t="shared" si="37"/>
        <v>#REF!</v>
      </c>
      <c r="H62" s="11" t="e">
        <f t="shared" si="37"/>
        <v>#REF!</v>
      </c>
      <c r="I62" s="11" t="e">
        <f t="shared" si="37"/>
        <v>#REF!</v>
      </c>
      <c r="J62" s="11" t="e">
        <f t="shared" si="37"/>
        <v>#REF!</v>
      </c>
      <c r="K62" s="11" t="e">
        <f t="shared" si="37"/>
        <v>#REF!</v>
      </c>
      <c r="L62" s="11" t="e">
        <f t="shared" ref="L62:U62" si="38">(L59-L20-L21)/L16</f>
        <v>#REF!</v>
      </c>
      <c r="M62" s="11" t="e">
        <f t="shared" si="38"/>
        <v>#REF!</v>
      </c>
      <c r="N62" s="11" t="e">
        <f t="shared" si="38"/>
        <v>#REF!</v>
      </c>
      <c r="O62" s="11" t="e">
        <f t="shared" si="38"/>
        <v>#REF!</v>
      </c>
      <c r="P62" s="11" t="e">
        <f t="shared" si="38"/>
        <v>#REF!</v>
      </c>
      <c r="Q62" s="11" t="e">
        <f t="shared" si="38"/>
        <v>#REF!</v>
      </c>
      <c r="R62" s="11" t="e">
        <f t="shared" si="38"/>
        <v>#REF!</v>
      </c>
      <c r="S62" s="11" t="e">
        <f t="shared" si="38"/>
        <v>#REF!</v>
      </c>
      <c r="T62" s="11" t="e">
        <f t="shared" si="38"/>
        <v>#REF!</v>
      </c>
      <c r="U62" s="11">
        <f t="shared" si="38"/>
        <v>0.27150700527001964</v>
      </c>
      <c r="V62" s="11">
        <v>0.31398053498194284</v>
      </c>
      <c r="W62" s="11">
        <v>0.23753094009350784</v>
      </c>
      <c r="X62" s="11">
        <v>0.31925748200530368</v>
      </c>
      <c r="Y62" s="11">
        <v>0.27244296859007894</v>
      </c>
      <c r="Z62" s="11">
        <v>0.33500494614200921</v>
      </c>
      <c r="AA62" s="11">
        <v>0.58068586441732639</v>
      </c>
      <c r="AB62" s="11">
        <v>0.36575851393188852</v>
      </c>
      <c r="AC62" s="11">
        <v>0.29228126894322087</v>
      </c>
      <c r="AD62" s="35">
        <v>0.31506560674264916</v>
      </c>
      <c r="AE62" s="35">
        <v>0.28772521622356156</v>
      </c>
      <c r="AF62" s="35">
        <v>0.27809848646344065</v>
      </c>
      <c r="AG62" s="35">
        <v>0.21399999999999997</v>
      </c>
      <c r="AH62" s="35">
        <v>0.19700000000000006</v>
      </c>
      <c r="AI62" s="35">
        <v>0.22300000000000009</v>
      </c>
      <c r="AJ62" s="35">
        <v>0.28700000000000003</v>
      </c>
      <c r="AK62" s="35">
        <v>0.28100000000000003</v>
      </c>
      <c r="AL62" s="146"/>
      <c r="AM62" s="11" t="e">
        <f>(AM59-AM20-AM21)/AM16</f>
        <v>#REF!</v>
      </c>
      <c r="AN62" s="11" t="e">
        <f>(AN59-AN20-AN21)/AN16</f>
        <v>#REF!</v>
      </c>
      <c r="AO62" s="160" t="e">
        <f>(AR62-AS62)*100</f>
        <v>#REF!</v>
      </c>
      <c r="AP62" s="11"/>
      <c r="AQ62" s="146"/>
      <c r="AR62" s="11" t="e">
        <f>(AR59-AR20-AR21)/AR16</f>
        <v>#REF!</v>
      </c>
      <c r="AS62" s="11" t="e">
        <f>(AS59-AS20-AS21)/AS16</f>
        <v>#REF!</v>
      </c>
      <c r="AT62" s="11">
        <f>(AT59-AT20-AT21)/AT16</f>
        <v>0.22322222147969448</v>
      </c>
      <c r="AU62" s="35">
        <v>0.28134999434115626</v>
      </c>
      <c r="AV62" s="35">
        <v>0.37250127979423409</v>
      </c>
      <c r="AW62" s="35">
        <v>0.26781362993240054</v>
      </c>
      <c r="AX62" s="35">
        <v>0.24299999999999999</v>
      </c>
      <c r="AY62" s="305">
        <v>0.24</v>
      </c>
      <c r="AZ62" s="305">
        <v>0.26200000000000001</v>
      </c>
      <c r="BA62" s="305">
        <v>0.23499999999999999</v>
      </c>
      <c r="BB62" s="146"/>
      <c r="BC62" s="146"/>
      <c r="BG62" s="3"/>
    </row>
    <row r="63" spans="1:59" ht="12.75" customHeight="1" x14ac:dyDescent="0.2">
      <c r="A63" s="82"/>
      <c r="B63" s="143" t="s">
        <v>81</v>
      </c>
      <c r="C63" s="205" t="e">
        <f>(I63-M63)*100</f>
        <v>#REF!</v>
      </c>
      <c r="D63" s="11"/>
      <c r="E63" s="11"/>
      <c r="F63" s="11" t="e">
        <f t="shared" ref="F63:K63" si="39">F59/F58</f>
        <v>#REF!</v>
      </c>
      <c r="G63" s="11" t="e">
        <f t="shared" si="39"/>
        <v>#REF!</v>
      </c>
      <c r="H63" s="11" t="e">
        <f t="shared" si="39"/>
        <v>#REF!</v>
      </c>
      <c r="I63" s="11" t="e">
        <f t="shared" si="39"/>
        <v>#REF!</v>
      </c>
      <c r="J63" s="11" t="e">
        <f t="shared" si="39"/>
        <v>#REF!</v>
      </c>
      <c r="K63" s="11" t="e">
        <f t="shared" si="39"/>
        <v>#REF!</v>
      </c>
      <c r="L63" s="11" t="e">
        <f t="shared" ref="L63:Q63" si="40">L59/L58</f>
        <v>#REF!</v>
      </c>
      <c r="M63" s="11" t="e">
        <f t="shared" si="40"/>
        <v>#REF!</v>
      </c>
      <c r="N63" s="11" t="e">
        <f t="shared" si="40"/>
        <v>#REF!</v>
      </c>
      <c r="O63" s="11" t="e">
        <f t="shared" si="40"/>
        <v>#REF!</v>
      </c>
      <c r="P63" s="11" t="e">
        <f t="shared" si="40"/>
        <v>#REF!</v>
      </c>
      <c r="Q63" s="11" t="e">
        <f t="shared" si="40"/>
        <v>#REF!</v>
      </c>
      <c r="R63" s="11" t="e">
        <f>R59/R58</f>
        <v>#REF!</v>
      </c>
      <c r="S63" s="11" t="e">
        <f>S59/S58</f>
        <v>#REF!</v>
      </c>
      <c r="T63" s="11" t="e">
        <f>T59/T58</f>
        <v>#REF!</v>
      </c>
      <c r="U63" s="11">
        <f>U59/U58</f>
        <v>0.85422978754659473</v>
      </c>
      <c r="V63" s="11">
        <v>0.94649160392564935</v>
      </c>
      <c r="W63" s="11">
        <v>0.86163104848494654</v>
      </c>
      <c r="X63" s="11">
        <v>0.95557519888874853</v>
      </c>
      <c r="Y63" s="11">
        <v>0.89475135897377578</v>
      </c>
      <c r="Z63" s="11">
        <v>0.90515772697296104</v>
      </c>
      <c r="AA63" s="11">
        <v>1.2454627164932417</v>
      </c>
      <c r="AB63" s="11">
        <v>0.95019195046439631</v>
      </c>
      <c r="AC63" s="11">
        <v>0.88841639265967409</v>
      </c>
      <c r="AD63" s="35">
        <v>0.8387798103629921</v>
      </c>
      <c r="AE63" s="35">
        <v>0.83857172547201486</v>
      </c>
      <c r="AF63" s="35">
        <v>0.81369430824984013</v>
      </c>
      <c r="AG63" s="35">
        <v>0.77300000000000002</v>
      </c>
      <c r="AH63" s="35">
        <v>0.77300000000000002</v>
      </c>
      <c r="AI63" s="35">
        <v>0.79400000000000004</v>
      </c>
      <c r="AJ63" s="35">
        <v>0.85499999999999998</v>
      </c>
      <c r="AK63" s="35">
        <v>0.84699999999999998</v>
      </c>
      <c r="AL63" s="146"/>
      <c r="AM63" s="11" t="e">
        <f>AM59/AM58</f>
        <v>#REF!</v>
      </c>
      <c r="AN63" s="11" t="e">
        <f>AN59/AN58</f>
        <v>#REF!</v>
      </c>
      <c r="AO63" s="160" t="e">
        <f>(AR63-AS63)*100</f>
        <v>#REF!</v>
      </c>
      <c r="AP63" s="11"/>
      <c r="AQ63" s="146"/>
      <c r="AR63" s="11" t="e">
        <f>AR59/AR58</f>
        <v>#REF!</v>
      </c>
      <c r="AS63" s="11" t="e">
        <f>AS59/AS58</f>
        <v>#REF!</v>
      </c>
      <c r="AT63" s="11" t="e">
        <f>AT59/AT58</f>
        <v>#REF!</v>
      </c>
      <c r="AU63" s="35">
        <v>0.90888034117683369</v>
      </c>
      <c r="AV63" s="35">
        <v>0.9719974778689241</v>
      </c>
      <c r="AW63" s="35">
        <v>0.81202444584184874</v>
      </c>
      <c r="AX63" s="35">
        <v>0.81399999999999995</v>
      </c>
      <c r="AY63" s="305">
        <v>0.83099999999999996</v>
      </c>
      <c r="AZ63" s="305">
        <v>0.86599999999999999</v>
      </c>
      <c r="BA63" s="305">
        <v>0.85299999999999998</v>
      </c>
      <c r="BB63" s="146"/>
      <c r="BC63" s="146"/>
      <c r="BG63" s="3"/>
    </row>
    <row r="64" spans="1:59" ht="12.75" customHeight="1" x14ac:dyDescent="0.2">
      <c r="A64" s="82"/>
      <c r="B64" s="143" t="s">
        <v>82</v>
      </c>
      <c r="C64" s="205" t="e">
        <f>(I64-M64)*100</f>
        <v>#REF!</v>
      </c>
      <c r="D64" s="11"/>
      <c r="E64" s="11"/>
      <c r="F64" s="11" t="e">
        <f t="shared" ref="F64:K64" si="41">F60/F58</f>
        <v>#REF!</v>
      </c>
      <c r="G64" s="11" t="e">
        <f t="shared" si="41"/>
        <v>#REF!</v>
      </c>
      <c r="H64" s="11" t="e">
        <f t="shared" si="41"/>
        <v>#REF!</v>
      </c>
      <c r="I64" s="11" t="e">
        <f t="shared" si="41"/>
        <v>#REF!</v>
      </c>
      <c r="J64" s="11" t="e">
        <f t="shared" si="41"/>
        <v>#REF!</v>
      </c>
      <c r="K64" s="11" t="e">
        <f t="shared" si="41"/>
        <v>#REF!</v>
      </c>
      <c r="L64" s="11" t="e">
        <f t="shared" ref="L64:Q64" si="42">L60/L58</f>
        <v>#REF!</v>
      </c>
      <c r="M64" s="11" t="e">
        <f t="shared" si="42"/>
        <v>#REF!</v>
      </c>
      <c r="N64" s="11" t="e">
        <f t="shared" si="42"/>
        <v>#REF!</v>
      </c>
      <c r="O64" s="11" t="e">
        <f t="shared" si="42"/>
        <v>#REF!</v>
      </c>
      <c r="P64" s="11" t="e">
        <f t="shared" si="42"/>
        <v>#REF!</v>
      </c>
      <c r="Q64" s="11" t="e">
        <f t="shared" si="42"/>
        <v>#REF!</v>
      </c>
      <c r="R64" s="11" t="e">
        <f>R60/R58</f>
        <v>#REF!</v>
      </c>
      <c r="S64" s="11" t="e">
        <f>S60/S58</f>
        <v>#REF!</v>
      </c>
      <c r="T64" s="11" t="e">
        <f>T60/T58</f>
        <v>#REF!</v>
      </c>
      <c r="U64" s="11">
        <f>U60/U58</f>
        <v>0.14577021245340532</v>
      </c>
      <c r="V64" s="11">
        <v>5.3508396074350657E-2</v>
      </c>
      <c r="W64" s="11">
        <v>0.13836895151505346</v>
      </c>
      <c r="X64" s="11">
        <v>4.4424801111251418E-2</v>
      </c>
      <c r="Y64" s="11">
        <v>0.10424864102622422</v>
      </c>
      <c r="Z64" s="11">
        <v>9.4842273027038904E-2</v>
      </c>
      <c r="AA64" s="11">
        <v>-0.24546271649324161</v>
      </c>
      <c r="AB64" s="11">
        <v>4.9808049535603714E-2</v>
      </c>
      <c r="AC64" s="11">
        <v>0.11158360734032587</v>
      </c>
      <c r="AD64" s="35">
        <v>0.16122018963700796</v>
      </c>
      <c r="AE64" s="35">
        <v>0.16142827452798517</v>
      </c>
      <c r="AF64" s="35">
        <v>0.18630569175015987</v>
      </c>
      <c r="AG64" s="35">
        <v>0.22699999999999998</v>
      </c>
      <c r="AH64" s="35">
        <v>0.22699999999999998</v>
      </c>
      <c r="AI64" s="35">
        <v>0.20599999999999996</v>
      </c>
      <c r="AJ64" s="35">
        <v>0.14499999999999999</v>
      </c>
      <c r="AK64" s="35">
        <v>0.15300000000000002</v>
      </c>
      <c r="AL64" s="146"/>
      <c r="AM64" s="11" t="e">
        <f>AM60/AM58</f>
        <v>#REF!</v>
      </c>
      <c r="AN64" s="11" t="e">
        <f>AN60/AN58</f>
        <v>#REF!</v>
      </c>
      <c r="AO64" s="160" t="e">
        <f>(AR64-AS64)*100</f>
        <v>#REF!</v>
      </c>
      <c r="AP64" s="11"/>
      <c r="AQ64" s="146"/>
      <c r="AR64" s="11" t="e">
        <f>AR60/AR58</f>
        <v>#REF!</v>
      </c>
      <c r="AS64" s="11" t="e">
        <f>AS60/AS58</f>
        <v>#REF!</v>
      </c>
      <c r="AT64" s="11" t="e">
        <f>AT60/AT58</f>
        <v>#REF!</v>
      </c>
      <c r="AU64" s="35">
        <v>9.0119658823166277E-2</v>
      </c>
      <c r="AV64" s="35">
        <v>2.8002522131075902E-2</v>
      </c>
      <c r="AW64" s="35">
        <v>0.18797555415815123</v>
      </c>
      <c r="AX64" s="35">
        <v>0.18600000000000005</v>
      </c>
      <c r="AY64" s="305">
        <v>0.16900000000000004</v>
      </c>
      <c r="AZ64" s="305">
        <v>0.13400000000000001</v>
      </c>
      <c r="BA64" s="305">
        <v>0.14700000000000002</v>
      </c>
      <c r="BB64" s="146"/>
      <c r="BC64" s="146"/>
    </row>
    <row r="65" spans="1:55" ht="12.75" customHeight="1" x14ac:dyDescent="0.2">
      <c r="A65" s="82"/>
      <c r="B65" s="143"/>
      <c r="C65" s="205"/>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35"/>
      <c r="AE65" s="35"/>
      <c r="AF65" s="35"/>
      <c r="AG65" s="35"/>
      <c r="AH65" s="35"/>
      <c r="AI65" s="35"/>
      <c r="AJ65" s="35"/>
      <c r="AK65" s="35"/>
      <c r="AL65" s="146"/>
      <c r="AM65" s="146"/>
      <c r="AN65" s="146"/>
      <c r="AO65" s="205"/>
      <c r="AP65" s="11"/>
      <c r="AQ65" s="146"/>
      <c r="AR65" s="35"/>
      <c r="AS65" s="35"/>
      <c r="AT65" s="35"/>
      <c r="AU65" s="35"/>
      <c r="AV65" s="35"/>
      <c r="AW65" s="35"/>
      <c r="AX65" s="35"/>
      <c r="AY65" s="305"/>
      <c r="AZ65" s="305"/>
      <c r="BA65" s="305"/>
      <c r="BB65" s="146"/>
      <c r="BC65" s="146"/>
    </row>
    <row r="66" spans="1:55" ht="12.75" customHeight="1" x14ac:dyDescent="0.2">
      <c r="A66" s="12" t="s">
        <v>199</v>
      </c>
      <c r="B66" s="143"/>
      <c r="C66" s="146"/>
      <c r="D66" s="146"/>
      <c r="E66" s="146"/>
      <c r="F66" s="725"/>
      <c r="G66" s="725"/>
      <c r="H66" s="725"/>
      <c r="I66" s="725"/>
      <c r="J66" s="725"/>
      <c r="K66" s="725"/>
      <c r="L66" s="725"/>
      <c r="M66" s="725"/>
      <c r="N66" s="146"/>
      <c r="O66" s="146"/>
      <c r="P66" s="146"/>
      <c r="Q66" s="146"/>
      <c r="R66" s="146"/>
      <c r="S66" s="146"/>
      <c r="T66" s="146"/>
      <c r="U66" s="146"/>
      <c r="V66" s="146"/>
      <c r="W66" s="146"/>
      <c r="X66" s="146"/>
      <c r="Y66" s="146"/>
      <c r="Z66" s="401"/>
      <c r="AA66" s="146"/>
      <c r="AB66" s="146"/>
      <c r="AC66" s="146"/>
      <c r="AD66" s="146"/>
      <c r="AE66" s="146"/>
      <c r="AF66" s="146"/>
      <c r="AG66" s="7"/>
      <c r="AH66" s="146"/>
      <c r="AI66" s="7"/>
      <c r="AJ66" s="7"/>
      <c r="AK66" s="146"/>
      <c r="AL66" s="146"/>
      <c r="AM66" s="146"/>
      <c r="AN66" s="146"/>
      <c r="AO66" s="146"/>
      <c r="AP66" s="146"/>
      <c r="AQ66" s="146"/>
      <c r="AR66" s="725"/>
      <c r="AS66" s="146"/>
      <c r="AT66" s="146"/>
      <c r="AU66" s="146"/>
      <c r="AV66" s="146"/>
      <c r="AW66" s="146"/>
      <c r="AX66" s="146"/>
      <c r="AY66" s="31"/>
      <c r="AZ66" s="305"/>
      <c r="BA66" s="305"/>
      <c r="BB66" s="146"/>
      <c r="BC66" s="146"/>
    </row>
    <row r="67" spans="1:55" ht="12.75" customHeight="1" x14ac:dyDescent="0.2">
      <c r="C67" s="1479" t="s">
        <v>360</v>
      </c>
      <c r="D67" s="1480"/>
      <c r="E67" s="256"/>
      <c r="F67" s="410"/>
      <c r="G67" s="410"/>
      <c r="H67" s="410"/>
      <c r="I67" s="19"/>
      <c r="J67" s="410"/>
      <c r="K67" s="410"/>
      <c r="L67" s="410"/>
      <c r="M67" s="19"/>
      <c r="N67" s="17"/>
      <c r="O67" s="18"/>
      <c r="P67" s="410"/>
      <c r="Q67" s="19"/>
      <c r="R67" s="17"/>
      <c r="S67" s="18"/>
      <c r="T67" s="410"/>
      <c r="U67" s="19"/>
      <c r="V67" s="722"/>
      <c r="W67" s="18"/>
      <c r="X67" s="2"/>
      <c r="Y67" s="19"/>
      <c r="Z67" s="18"/>
      <c r="AA67" s="722"/>
      <c r="AB67" s="410"/>
      <c r="AC67" s="19"/>
      <c r="AD67" s="18"/>
      <c r="AE67" s="18"/>
      <c r="AF67" s="18"/>
      <c r="AG67" s="18"/>
      <c r="AH67" s="22"/>
      <c r="AI67" s="19"/>
      <c r="AJ67" s="19"/>
      <c r="AK67" s="19"/>
      <c r="AL67" s="24"/>
      <c r="AM67" s="661" t="s">
        <v>340</v>
      </c>
      <c r="AN67" s="647"/>
      <c r="AO67" s="647" t="s">
        <v>320</v>
      </c>
      <c r="AP67" s="648"/>
      <c r="AQ67" s="146"/>
      <c r="AR67" s="87"/>
      <c r="AS67" s="87"/>
      <c r="AT67" s="87"/>
      <c r="AU67" s="87"/>
      <c r="AV67" s="87"/>
      <c r="AW67" s="191"/>
      <c r="AX67" s="191"/>
      <c r="AY67" s="87"/>
      <c r="AZ67" s="305"/>
      <c r="BA67" s="305"/>
      <c r="BB67" s="162"/>
      <c r="BC67" s="146"/>
    </row>
    <row r="68" spans="1:55" ht="12.75" customHeight="1" x14ac:dyDescent="0.2">
      <c r="C68" s="1481" t="s">
        <v>39</v>
      </c>
      <c r="D68" s="1482"/>
      <c r="E68" s="530"/>
      <c r="F68" s="21" t="s">
        <v>363</v>
      </c>
      <c r="G68" s="21" t="s">
        <v>362</v>
      </c>
      <c r="H68" s="21" t="s">
        <v>361</v>
      </c>
      <c r="I68" s="14" t="s">
        <v>359</v>
      </c>
      <c r="J68" s="21" t="s">
        <v>302</v>
      </c>
      <c r="K68" s="21" t="s">
        <v>303</v>
      </c>
      <c r="L68" s="21" t="s">
        <v>304</v>
      </c>
      <c r="M68" s="14" t="s">
        <v>305</v>
      </c>
      <c r="N68" s="20" t="s">
        <v>231</v>
      </c>
      <c r="O68" s="21" t="s">
        <v>232</v>
      </c>
      <c r="P68" s="21" t="s">
        <v>233</v>
      </c>
      <c r="Q68" s="14" t="s">
        <v>230</v>
      </c>
      <c r="R68" s="20" t="s">
        <v>194</v>
      </c>
      <c r="S68" s="21" t="s">
        <v>195</v>
      </c>
      <c r="T68" s="21" t="s">
        <v>196</v>
      </c>
      <c r="U68" s="14" t="s">
        <v>197</v>
      </c>
      <c r="V68" s="21" t="s">
        <v>126</v>
      </c>
      <c r="W68" s="21" t="s">
        <v>125</v>
      </c>
      <c r="X68" s="21" t="s">
        <v>124</v>
      </c>
      <c r="Y68" s="14" t="s">
        <v>123</v>
      </c>
      <c r="Z68" s="21" t="s">
        <v>86</v>
      </c>
      <c r="AA68" s="21" t="s">
        <v>87</v>
      </c>
      <c r="AB68" s="21" t="s">
        <v>88</v>
      </c>
      <c r="AC68" s="14" t="s">
        <v>30</v>
      </c>
      <c r="AD68" s="21" t="s">
        <v>31</v>
      </c>
      <c r="AE68" s="21" t="s">
        <v>32</v>
      </c>
      <c r="AF68" s="21" t="s">
        <v>33</v>
      </c>
      <c r="AG68" s="21" t="s">
        <v>34</v>
      </c>
      <c r="AH68" s="23" t="s">
        <v>35</v>
      </c>
      <c r="AI68" s="14" t="s">
        <v>36</v>
      </c>
      <c r="AJ68" s="14" t="s">
        <v>37</v>
      </c>
      <c r="AK68" s="14" t="s">
        <v>38</v>
      </c>
      <c r="AL68" s="256"/>
      <c r="AM68" s="21" t="s">
        <v>303</v>
      </c>
      <c r="AN68" s="21" t="s">
        <v>232</v>
      </c>
      <c r="AO68" s="1503" t="s">
        <v>39</v>
      </c>
      <c r="AP68" s="1478"/>
      <c r="AQ68" s="146"/>
      <c r="AR68" s="20" t="s">
        <v>307</v>
      </c>
      <c r="AS68" s="20" t="s">
        <v>235</v>
      </c>
      <c r="AT68" s="20" t="s">
        <v>128</v>
      </c>
      <c r="AU68" s="20" t="s">
        <v>127</v>
      </c>
      <c r="AV68" s="20" t="s">
        <v>43</v>
      </c>
      <c r="AW68" s="23" t="s">
        <v>40</v>
      </c>
      <c r="AX68" s="23" t="s">
        <v>41</v>
      </c>
      <c r="AY68" s="23" t="s">
        <v>146</v>
      </c>
      <c r="AZ68" s="305"/>
      <c r="BA68" s="305"/>
      <c r="BB68" s="162"/>
      <c r="BC68" s="146"/>
    </row>
    <row r="69" spans="1:55" ht="12.75" customHeight="1" x14ac:dyDescent="0.2">
      <c r="A69" s="82"/>
      <c r="B69" s="7" t="s">
        <v>341</v>
      </c>
      <c r="C69" s="83">
        <f t="shared" ref="C69:C75" si="43">I69-M69</f>
        <v>-4681</v>
      </c>
      <c r="D69" s="45">
        <f t="shared" ref="D69:D75" si="44">IF(OR((C69/M69)&gt;3,(C69/M69)&lt;-3),"n.m.",(C69/M69))</f>
        <v>-0.11540927021696253</v>
      </c>
      <c r="E69" s="88"/>
      <c r="F69" s="730"/>
      <c r="G69" s="730"/>
      <c r="H69" s="730"/>
      <c r="I69" s="166">
        <v>35879</v>
      </c>
      <c r="J69" s="730">
        <v>33903</v>
      </c>
      <c r="K69" s="730">
        <v>38555</v>
      </c>
      <c r="L69" s="730">
        <v>39686</v>
      </c>
      <c r="M69" s="166">
        <v>40560</v>
      </c>
      <c r="N69" s="210">
        <v>55318</v>
      </c>
      <c r="O69" s="210">
        <v>42584</v>
      </c>
      <c r="P69" s="210">
        <v>45125</v>
      </c>
      <c r="Q69" s="166">
        <v>44915</v>
      </c>
      <c r="R69" s="210">
        <v>61873</v>
      </c>
      <c r="S69" s="210">
        <v>67349</v>
      </c>
      <c r="T69" s="210">
        <v>44815</v>
      </c>
      <c r="U69" s="166">
        <v>44827</v>
      </c>
      <c r="V69" s="210">
        <v>49348</v>
      </c>
      <c r="W69" s="210">
        <v>47003</v>
      </c>
      <c r="X69" s="210">
        <v>43321</v>
      </c>
      <c r="Y69" s="166">
        <v>42012</v>
      </c>
      <c r="Z69" s="210">
        <v>35191</v>
      </c>
      <c r="AA69" s="210">
        <v>39059</v>
      </c>
      <c r="AB69" s="166">
        <v>44316</v>
      </c>
      <c r="AC69" s="166">
        <v>54791</v>
      </c>
      <c r="AD69" s="368">
        <v>29584</v>
      </c>
      <c r="AE69" s="146"/>
      <c r="AF69" s="146"/>
      <c r="AG69" s="7"/>
      <c r="AH69" s="146"/>
      <c r="AI69" s="7"/>
      <c r="AJ69" s="7"/>
      <c r="AK69" s="146"/>
      <c r="AL69" s="88"/>
      <c r="AM69" s="327">
        <f t="shared" ref="AM69:AM74" si="45">SUM(K69:M69)</f>
        <v>118801</v>
      </c>
      <c r="AN69" s="327">
        <f t="shared" ref="AN69:AN74" si="46">SUM(O69:Q69)</f>
        <v>132624</v>
      </c>
      <c r="AO69" s="535">
        <f t="shared" ref="AO69:AO75" si="47">AR69-AS69</f>
        <v>-35238</v>
      </c>
      <c r="AP69" s="339">
        <f t="shared" ref="AP69:AP75" si="48">IF(OR((AO69/AS69)&gt;3,(AO69/AS69)&lt;-3),"n.m.",(AO69/AS69))</f>
        <v>-0.1874940141107363</v>
      </c>
      <c r="AQ69" s="146"/>
      <c r="AR69" s="729">
        <f t="shared" ref="AR69:AR74" si="49">SUM(J69:M69)</f>
        <v>152704</v>
      </c>
      <c r="AS69" s="198">
        <f t="shared" ref="AS69:AS74" si="50">SUM(N69:Q69)</f>
        <v>187942</v>
      </c>
      <c r="AT69" s="43">
        <v>218864</v>
      </c>
      <c r="AU69" s="43">
        <v>181684</v>
      </c>
      <c r="AV69" s="43">
        <v>173357</v>
      </c>
      <c r="AW69" s="43">
        <v>234389</v>
      </c>
      <c r="AX69" s="43">
        <v>245369</v>
      </c>
      <c r="AY69" s="307">
        <v>203714</v>
      </c>
      <c r="AZ69" s="305"/>
      <c r="BA69" s="305"/>
      <c r="BB69" s="162"/>
      <c r="BC69" s="146"/>
    </row>
    <row r="70" spans="1:55" ht="12.75" customHeight="1" x14ac:dyDescent="0.2">
      <c r="A70" s="82"/>
      <c r="B70" s="7" t="s">
        <v>65</v>
      </c>
      <c r="C70" s="83">
        <f t="shared" si="43"/>
        <v>-6612</v>
      </c>
      <c r="D70" s="45">
        <f t="shared" si="44"/>
        <v>-0.35377207062600319</v>
      </c>
      <c r="E70" s="88"/>
      <c r="F70" s="730"/>
      <c r="G70" s="730"/>
      <c r="H70" s="730"/>
      <c r="I70" s="166">
        <v>12078</v>
      </c>
      <c r="J70" s="730">
        <v>18076</v>
      </c>
      <c r="K70" s="730">
        <v>20205</v>
      </c>
      <c r="L70" s="730">
        <v>17189</v>
      </c>
      <c r="M70" s="166">
        <v>18690</v>
      </c>
      <c r="N70" s="210">
        <v>41150</v>
      </c>
      <c r="O70" s="210">
        <v>22843</v>
      </c>
      <c r="P70" s="210">
        <v>24217</v>
      </c>
      <c r="Q70" s="166">
        <v>46052</v>
      </c>
      <c r="R70" s="210">
        <v>75738</v>
      </c>
      <c r="S70" s="210">
        <v>91523</v>
      </c>
      <c r="T70" s="210">
        <v>41541</v>
      </c>
      <c r="U70" s="166">
        <v>41164</v>
      </c>
      <c r="V70" s="210">
        <v>34068</v>
      </c>
      <c r="W70" s="210">
        <v>56636</v>
      </c>
      <c r="X70" s="210">
        <v>22209</v>
      </c>
      <c r="Y70" s="166">
        <v>25318</v>
      </c>
      <c r="Z70" s="210">
        <v>21433</v>
      </c>
      <c r="AA70" s="210">
        <v>6245</v>
      </c>
      <c r="AB70" s="166">
        <v>17686</v>
      </c>
      <c r="AC70" s="166">
        <v>25366</v>
      </c>
      <c r="AD70" s="368">
        <v>68274</v>
      </c>
      <c r="AE70" s="146">
        <v>0</v>
      </c>
      <c r="AF70" s="146">
        <v>0</v>
      </c>
      <c r="AG70" s="7">
        <v>0</v>
      </c>
      <c r="AH70" s="146">
        <v>0</v>
      </c>
      <c r="AI70" s="7">
        <v>0</v>
      </c>
      <c r="AJ70" s="7">
        <v>0</v>
      </c>
      <c r="AK70" s="146">
        <v>0</v>
      </c>
      <c r="AL70" s="88"/>
      <c r="AM70" s="738">
        <f t="shared" si="45"/>
        <v>56084</v>
      </c>
      <c r="AN70" s="738">
        <f t="shared" si="46"/>
        <v>93112</v>
      </c>
      <c r="AO70" s="536">
        <f t="shared" si="47"/>
        <v>-60102</v>
      </c>
      <c r="AP70" s="45">
        <f t="shared" si="48"/>
        <v>-0.44764713768601688</v>
      </c>
      <c r="AQ70" s="146"/>
      <c r="AR70" s="729">
        <f t="shared" si="49"/>
        <v>74160</v>
      </c>
      <c r="AS70" s="198">
        <f t="shared" si="50"/>
        <v>134262</v>
      </c>
      <c r="AT70" s="43">
        <v>249966</v>
      </c>
      <c r="AU70" s="43">
        <v>138231</v>
      </c>
      <c r="AV70" s="43">
        <v>70730</v>
      </c>
      <c r="AW70" s="43">
        <v>170811</v>
      </c>
      <c r="AX70" s="43">
        <v>192313</v>
      </c>
      <c r="AY70" s="43">
        <f>157642-4636</f>
        <v>153006</v>
      </c>
      <c r="AZ70" s="305"/>
      <c r="BA70" s="305"/>
      <c r="BB70" s="162"/>
      <c r="BC70" s="146"/>
    </row>
    <row r="71" spans="1:55" ht="12.75" customHeight="1" x14ac:dyDescent="0.2">
      <c r="A71" s="82"/>
      <c r="B71" s="7" t="s">
        <v>213</v>
      </c>
      <c r="C71" s="83">
        <f t="shared" si="43"/>
        <v>652</v>
      </c>
      <c r="D71" s="45">
        <f t="shared" si="44"/>
        <v>0.10253184462965875</v>
      </c>
      <c r="E71" s="88"/>
      <c r="F71" s="730"/>
      <c r="G71" s="730"/>
      <c r="H71" s="730"/>
      <c r="I71" s="166">
        <v>7011</v>
      </c>
      <c r="J71" s="730">
        <v>29706</v>
      </c>
      <c r="K71" s="730">
        <v>45232</v>
      </c>
      <c r="L71" s="730">
        <v>8690</v>
      </c>
      <c r="M71" s="166">
        <v>6359</v>
      </c>
      <c r="N71" s="210">
        <v>16761</v>
      </c>
      <c r="O71" s="210">
        <v>27819</v>
      </c>
      <c r="P71" s="210">
        <v>16445</v>
      </c>
      <c r="Q71" s="166">
        <v>17764</v>
      </c>
      <c r="R71" s="210">
        <v>19980</v>
      </c>
      <c r="S71" s="210">
        <v>19913</v>
      </c>
      <c r="T71" s="210">
        <v>8420</v>
      </c>
      <c r="U71" s="166">
        <v>14574</v>
      </c>
      <c r="V71" s="210">
        <v>1297</v>
      </c>
      <c r="W71" s="210">
        <v>1601</v>
      </c>
      <c r="X71" s="210">
        <v>1211</v>
      </c>
      <c r="Y71" s="166">
        <v>1444</v>
      </c>
      <c r="Z71" s="210">
        <v>2473</v>
      </c>
      <c r="AA71" s="210">
        <v>1215</v>
      </c>
      <c r="AB71" s="166">
        <v>2659</v>
      </c>
      <c r="AC71" s="166">
        <v>8562</v>
      </c>
      <c r="AD71" s="368"/>
      <c r="AE71" s="146"/>
      <c r="AF71" s="146"/>
      <c r="AG71" s="7"/>
      <c r="AH71" s="146"/>
      <c r="AI71" s="7"/>
      <c r="AJ71" s="7"/>
      <c r="AK71" s="146"/>
      <c r="AL71" s="88"/>
      <c r="AM71" s="738">
        <f t="shared" si="45"/>
        <v>60281</v>
      </c>
      <c r="AN71" s="738">
        <f t="shared" si="46"/>
        <v>62028</v>
      </c>
      <c r="AO71" s="536">
        <f t="shared" si="47"/>
        <v>11198</v>
      </c>
      <c r="AP71" s="45">
        <f>IF(OR((AO71/AS71)&gt;3,(AO71/AS71)&lt;-3),"n.m.",(AO71/AS71))</f>
        <v>0.14212643896990695</v>
      </c>
      <c r="AQ71" s="146"/>
      <c r="AR71" s="729">
        <f t="shared" si="49"/>
        <v>89987</v>
      </c>
      <c r="AS71" s="198">
        <f t="shared" si="50"/>
        <v>78789</v>
      </c>
      <c r="AT71" s="43">
        <v>62887</v>
      </c>
      <c r="AU71" s="43">
        <v>5553</v>
      </c>
      <c r="AV71" s="43">
        <v>14909</v>
      </c>
      <c r="AW71" s="43">
        <v>17584</v>
      </c>
      <c r="AX71" s="43">
        <v>12713</v>
      </c>
      <c r="AY71" s="43">
        <f>4636</f>
        <v>4636</v>
      </c>
      <c r="AZ71" s="305"/>
      <c r="BA71" s="305"/>
      <c r="BB71" s="162"/>
      <c r="BC71" s="146"/>
    </row>
    <row r="72" spans="1:55" ht="12.75" customHeight="1" x14ac:dyDescent="0.2">
      <c r="A72" s="82"/>
      <c r="B72" s="7" t="s">
        <v>66</v>
      </c>
      <c r="C72" s="83">
        <f t="shared" si="43"/>
        <v>-505</v>
      </c>
      <c r="D72" s="45">
        <f t="shared" si="44"/>
        <v>-2.3488372093023258</v>
      </c>
      <c r="E72" s="88"/>
      <c r="F72" s="730"/>
      <c r="G72" s="730"/>
      <c r="H72" s="730"/>
      <c r="I72" s="166">
        <v>-290</v>
      </c>
      <c r="J72" s="730">
        <v>454</v>
      </c>
      <c r="K72" s="730">
        <v>561</v>
      </c>
      <c r="L72" s="730">
        <v>783</v>
      </c>
      <c r="M72" s="166">
        <v>215</v>
      </c>
      <c r="N72" s="210">
        <v>1747</v>
      </c>
      <c r="O72" s="210">
        <v>848</v>
      </c>
      <c r="P72" s="210">
        <v>-2929</v>
      </c>
      <c r="Q72" s="166">
        <v>-48</v>
      </c>
      <c r="R72" s="210">
        <v>6902</v>
      </c>
      <c r="S72" s="210">
        <v>3619</v>
      </c>
      <c r="T72" s="210">
        <v>2704</v>
      </c>
      <c r="U72" s="166">
        <v>1288</v>
      </c>
      <c r="V72" s="210">
        <v>3191</v>
      </c>
      <c r="W72" s="210">
        <v>9164</v>
      </c>
      <c r="X72" s="210">
        <v>3867</v>
      </c>
      <c r="Y72" s="166">
        <v>4913</v>
      </c>
      <c r="Z72" s="210">
        <v>3828</v>
      </c>
      <c r="AA72" s="210">
        <v>2161</v>
      </c>
      <c r="AB72" s="166">
        <v>1000</v>
      </c>
      <c r="AC72" s="166">
        <v>2684</v>
      </c>
      <c r="AD72" s="368">
        <v>5363</v>
      </c>
      <c r="AE72" s="146"/>
      <c r="AF72" s="146"/>
      <c r="AG72" s="7"/>
      <c r="AH72" s="146"/>
      <c r="AI72" s="7"/>
      <c r="AJ72" s="7"/>
      <c r="AK72" s="146"/>
      <c r="AL72" s="88"/>
      <c r="AM72" s="738">
        <f t="shared" si="45"/>
        <v>1559</v>
      </c>
      <c r="AN72" s="738">
        <f t="shared" si="46"/>
        <v>-2129</v>
      </c>
      <c r="AO72" s="536">
        <f t="shared" si="47"/>
        <v>2395</v>
      </c>
      <c r="AP72" s="485" t="str">
        <f t="shared" si="48"/>
        <v>n.m.</v>
      </c>
      <c r="AQ72" s="146"/>
      <c r="AR72" s="729">
        <f t="shared" si="49"/>
        <v>2013</v>
      </c>
      <c r="AS72" s="198">
        <f t="shared" si="50"/>
        <v>-382</v>
      </c>
      <c r="AT72" s="43">
        <v>14513</v>
      </c>
      <c r="AU72" s="43">
        <v>21135</v>
      </c>
      <c r="AV72" s="43">
        <v>9673</v>
      </c>
      <c r="AW72" s="43">
        <v>3820</v>
      </c>
      <c r="AX72" s="43">
        <v>14642</v>
      </c>
      <c r="AY72" s="43">
        <v>22208</v>
      </c>
      <c r="AZ72" s="305"/>
      <c r="BA72" s="305"/>
      <c r="BB72" s="162"/>
      <c r="BC72" s="146"/>
    </row>
    <row r="73" spans="1:55" ht="12.75" customHeight="1" x14ac:dyDescent="0.2">
      <c r="A73" s="82"/>
      <c r="B73" s="7" t="s">
        <v>67</v>
      </c>
      <c r="C73" s="83">
        <f t="shared" si="43"/>
        <v>-2257</v>
      </c>
      <c r="D73" s="45">
        <f t="shared" si="44"/>
        <v>-0.29728661749209695</v>
      </c>
      <c r="E73" s="88"/>
      <c r="F73" s="730"/>
      <c r="G73" s="730"/>
      <c r="H73" s="730"/>
      <c r="I73" s="166">
        <v>5335</v>
      </c>
      <c r="J73" s="730">
        <v>5292</v>
      </c>
      <c r="K73" s="730">
        <v>6253</v>
      </c>
      <c r="L73" s="730">
        <v>5935</v>
      </c>
      <c r="M73" s="166">
        <v>7592</v>
      </c>
      <c r="N73" s="210">
        <v>7872</v>
      </c>
      <c r="O73" s="210">
        <v>8033</v>
      </c>
      <c r="P73" s="210">
        <v>7569</v>
      </c>
      <c r="Q73" s="166">
        <v>7780</v>
      </c>
      <c r="R73" s="210">
        <v>7586</v>
      </c>
      <c r="S73" s="210">
        <v>7687</v>
      </c>
      <c r="T73" s="210">
        <v>5362</v>
      </c>
      <c r="U73" s="166">
        <v>3079</v>
      </c>
      <c r="V73" s="210">
        <v>3272</v>
      </c>
      <c r="W73" s="210">
        <v>3852</v>
      </c>
      <c r="X73" s="210">
        <v>3893</v>
      </c>
      <c r="Y73" s="166">
        <v>3439</v>
      </c>
      <c r="Z73" s="210">
        <v>4918</v>
      </c>
      <c r="AA73" s="210">
        <v>8514</v>
      </c>
      <c r="AB73" s="166">
        <v>10813</v>
      </c>
      <c r="AC73" s="166">
        <v>11226</v>
      </c>
      <c r="AD73" s="368">
        <v>1512</v>
      </c>
      <c r="AE73" s="146"/>
      <c r="AF73" s="146"/>
      <c r="AG73" s="7"/>
      <c r="AH73" s="146"/>
      <c r="AI73" s="7"/>
      <c r="AJ73" s="7"/>
      <c r="AK73" s="146"/>
      <c r="AL73" s="88"/>
      <c r="AM73" s="738">
        <f t="shared" si="45"/>
        <v>19780</v>
      </c>
      <c r="AN73" s="738">
        <f t="shared" si="46"/>
        <v>23382</v>
      </c>
      <c r="AO73" s="536">
        <f t="shared" si="47"/>
        <v>-6182</v>
      </c>
      <c r="AP73" s="45">
        <f t="shared" si="48"/>
        <v>-0.19779868176873361</v>
      </c>
      <c r="AQ73" s="146"/>
      <c r="AR73" s="729">
        <f t="shared" si="49"/>
        <v>25072</v>
      </c>
      <c r="AS73" s="198">
        <f t="shared" si="50"/>
        <v>31254</v>
      </c>
      <c r="AT73" s="43">
        <v>23714</v>
      </c>
      <c r="AU73" s="43">
        <v>14456</v>
      </c>
      <c r="AV73" s="43">
        <v>35471</v>
      </c>
      <c r="AW73" s="43">
        <v>58127</v>
      </c>
      <c r="AX73" s="43">
        <v>52152</v>
      </c>
      <c r="AY73" s="43">
        <f>33277+8255</f>
        <v>41532</v>
      </c>
      <c r="AZ73" s="305"/>
      <c r="BA73" s="305"/>
      <c r="BB73" s="162"/>
      <c r="BC73" s="146"/>
    </row>
    <row r="74" spans="1:55" ht="12.75" customHeight="1" x14ac:dyDescent="0.2">
      <c r="A74" s="190"/>
      <c r="B74" s="7" t="s">
        <v>68</v>
      </c>
      <c r="C74" s="83">
        <f t="shared" si="43"/>
        <v>-3349</v>
      </c>
      <c r="D74" s="485">
        <f t="shared" si="44"/>
        <v>-1.0384496124031009</v>
      </c>
      <c r="E74" s="534"/>
      <c r="F74" s="730"/>
      <c r="G74" s="730"/>
      <c r="H74" s="730"/>
      <c r="I74" s="166">
        <v>-124</v>
      </c>
      <c r="J74" s="730">
        <v>6169</v>
      </c>
      <c r="K74" s="730">
        <v>4664</v>
      </c>
      <c r="L74" s="730">
        <f>7506+939</f>
        <v>8445</v>
      </c>
      <c r="M74" s="166">
        <v>3225</v>
      </c>
      <c r="N74" s="210">
        <v>10006</v>
      </c>
      <c r="O74" s="210">
        <v>8317</v>
      </c>
      <c r="P74" s="210">
        <v>1316</v>
      </c>
      <c r="Q74" s="166">
        <v>6627</v>
      </c>
      <c r="R74" s="210">
        <v>11160</v>
      </c>
      <c r="S74" s="210">
        <v>6815</v>
      </c>
      <c r="T74" s="210">
        <v>6651</v>
      </c>
      <c r="U74" s="166">
        <v>3986</v>
      </c>
      <c r="V74" s="210">
        <v>6846</v>
      </c>
      <c r="W74" s="210">
        <v>5370</v>
      </c>
      <c r="X74" s="210">
        <v>4689</v>
      </c>
      <c r="Y74" s="166">
        <v>10808</v>
      </c>
      <c r="Z74" s="210">
        <v>4941</v>
      </c>
      <c r="AA74" s="210">
        <v>713</v>
      </c>
      <c r="AB74" s="166">
        <v>4301</v>
      </c>
      <c r="AC74" s="166">
        <v>6269</v>
      </c>
      <c r="AD74" s="370">
        <v>60</v>
      </c>
      <c r="AE74" s="15"/>
      <c r="AF74" s="15"/>
      <c r="AG74" s="15"/>
      <c r="AH74" s="15"/>
      <c r="AI74" s="15"/>
      <c r="AJ74" s="15"/>
      <c r="AK74" s="15"/>
      <c r="AL74" s="88"/>
      <c r="AM74" s="738">
        <f t="shared" si="45"/>
        <v>16334</v>
      </c>
      <c r="AN74" s="738">
        <f t="shared" si="46"/>
        <v>16260</v>
      </c>
      <c r="AO74" s="537">
        <f t="shared" si="47"/>
        <v>-3763</v>
      </c>
      <c r="AP74" s="153">
        <f t="shared" si="48"/>
        <v>-0.14326505748876875</v>
      </c>
      <c r="AQ74" s="82"/>
      <c r="AR74" s="729">
        <f t="shared" si="49"/>
        <v>22503</v>
      </c>
      <c r="AS74" s="198">
        <f t="shared" si="50"/>
        <v>26266</v>
      </c>
      <c r="AT74" s="43">
        <v>28612</v>
      </c>
      <c r="AU74" s="43">
        <v>27713</v>
      </c>
      <c r="AV74" s="43">
        <v>16224</v>
      </c>
      <c r="AW74" s="43">
        <v>24335</v>
      </c>
      <c r="AX74" s="43">
        <v>13303</v>
      </c>
      <c r="AY74" s="158">
        <v>12458</v>
      </c>
      <c r="AZ74" s="305"/>
      <c r="BA74" s="305"/>
      <c r="BB74" s="162"/>
      <c r="BC74" s="146"/>
    </row>
    <row r="75" spans="1:55" ht="12.75" customHeight="1" x14ac:dyDescent="0.2">
      <c r="A75" s="190"/>
      <c r="B75" s="7"/>
      <c r="C75" s="507">
        <f t="shared" si="43"/>
        <v>-16752</v>
      </c>
      <c r="D75" s="508">
        <f t="shared" si="44"/>
        <v>-0.21857752377970016</v>
      </c>
      <c r="E75" s="24"/>
      <c r="F75" s="330">
        <f>SUM(F69:F74)</f>
        <v>0</v>
      </c>
      <c r="G75" s="330">
        <f>SUM(G69:G74)</f>
        <v>0</v>
      </c>
      <c r="H75" s="330">
        <f>SUM(H69:H74)</f>
        <v>0</v>
      </c>
      <c r="I75" s="510">
        <f>SUM(I69:I74)</f>
        <v>59889</v>
      </c>
      <c r="J75" s="330">
        <f t="shared" ref="J75:P75" si="51">SUM(J69:J74)</f>
        <v>93600</v>
      </c>
      <c r="K75" s="330">
        <f t="shared" si="51"/>
        <v>115470</v>
      </c>
      <c r="L75" s="330">
        <f t="shared" si="51"/>
        <v>80728</v>
      </c>
      <c r="M75" s="510">
        <f t="shared" si="51"/>
        <v>76641</v>
      </c>
      <c r="N75" s="330">
        <f t="shared" si="51"/>
        <v>132854</v>
      </c>
      <c r="O75" s="330">
        <f t="shared" si="51"/>
        <v>110444</v>
      </c>
      <c r="P75" s="330">
        <f t="shared" si="51"/>
        <v>91743</v>
      </c>
      <c r="Q75" s="510">
        <f>SUM(Q69:Q74)</f>
        <v>123090</v>
      </c>
      <c r="R75" s="330">
        <v>183239</v>
      </c>
      <c r="S75" s="330">
        <v>196906</v>
      </c>
      <c r="T75" s="330">
        <v>109493</v>
      </c>
      <c r="U75" s="510">
        <v>108918</v>
      </c>
      <c r="V75" s="330">
        <v>98022</v>
      </c>
      <c r="W75" s="330">
        <v>123626</v>
      </c>
      <c r="X75" s="330">
        <v>79190</v>
      </c>
      <c r="Y75" s="510">
        <v>87934</v>
      </c>
      <c r="Z75" s="329">
        <v>72784</v>
      </c>
      <c r="AA75" s="330">
        <v>57907</v>
      </c>
      <c r="AB75" s="510">
        <v>80775</v>
      </c>
      <c r="AC75" s="510">
        <v>108898</v>
      </c>
      <c r="AD75" s="510">
        <v>104793</v>
      </c>
      <c r="AE75" s="2"/>
      <c r="AF75" s="2"/>
      <c r="AG75" s="2"/>
      <c r="AH75" s="2"/>
      <c r="AI75" s="2"/>
      <c r="AJ75" s="2"/>
      <c r="AK75" s="2"/>
      <c r="AL75" s="24"/>
      <c r="AM75" s="330">
        <f>SUM(AM69:AM74)</f>
        <v>272839</v>
      </c>
      <c r="AN75" s="330">
        <f>SUM(AN69:AN74)</f>
        <v>325277</v>
      </c>
      <c r="AO75" s="512">
        <f t="shared" si="47"/>
        <v>-91692</v>
      </c>
      <c r="AP75" s="508">
        <f t="shared" si="48"/>
        <v>-0.2001436270411738</v>
      </c>
      <c r="AR75" s="329">
        <f>SUM(AR69:AR74)</f>
        <v>366439</v>
      </c>
      <c r="AS75" s="329">
        <f>SUM(AS69:AS74)</f>
        <v>458131</v>
      </c>
      <c r="AT75" s="329">
        <v>598556</v>
      </c>
      <c r="AU75" s="329">
        <v>388772</v>
      </c>
      <c r="AV75" s="509">
        <v>320364</v>
      </c>
      <c r="AW75" s="513">
        <v>509066</v>
      </c>
      <c r="AX75" s="513">
        <v>530492</v>
      </c>
      <c r="AY75" s="171">
        <f>SUM(AY69:AY74)</f>
        <v>437554</v>
      </c>
      <c r="AZ75" s="305"/>
      <c r="BA75" s="305"/>
      <c r="BB75" s="162"/>
      <c r="BC75" s="146"/>
    </row>
    <row r="76" spans="1:55" s="613" customFormat="1" ht="12.75" customHeight="1" x14ac:dyDescent="0.2">
      <c r="A76" s="190"/>
      <c r="B76" s="7"/>
      <c r="C76" s="397"/>
      <c r="D76" s="339"/>
      <c r="E76" s="24"/>
      <c r="F76" s="337"/>
      <c r="G76" s="337"/>
      <c r="H76" s="337"/>
      <c r="I76" s="655"/>
      <c r="J76" s="337"/>
      <c r="K76" s="337"/>
      <c r="L76" s="337"/>
      <c r="M76" s="655"/>
      <c r="N76" s="227"/>
      <c r="O76" s="337"/>
      <c r="P76" s="337"/>
      <c r="Q76" s="655"/>
      <c r="R76" s="227"/>
      <c r="S76" s="337"/>
      <c r="T76" s="337"/>
      <c r="U76" s="638"/>
      <c r="V76" s="227"/>
      <c r="W76" s="638"/>
      <c r="X76" s="638"/>
      <c r="Y76" s="638"/>
      <c r="Z76" s="327"/>
      <c r="AA76" s="327"/>
      <c r="AB76" s="327"/>
      <c r="AC76" s="327"/>
      <c r="AD76" s="327"/>
      <c r="AE76" s="2"/>
      <c r="AF76" s="2"/>
      <c r="AG76" s="2"/>
      <c r="AH76" s="2"/>
      <c r="AI76" s="2"/>
      <c r="AJ76" s="2"/>
      <c r="AK76" s="2"/>
      <c r="AL76" s="24"/>
      <c r="AM76" s="17"/>
      <c r="AN76" s="18"/>
      <c r="AO76" s="656"/>
      <c r="AP76" s="470"/>
      <c r="AR76" s="639"/>
      <c r="AS76" s="639"/>
      <c r="AT76" s="639"/>
      <c r="AU76" s="639"/>
      <c r="AV76" s="437"/>
      <c r="AW76" s="639"/>
      <c r="AX76" s="639"/>
      <c r="AY76" s="210"/>
      <c r="AZ76" s="143"/>
      <c r="BA76" s="143"/>
      <c r="BB76" s="25"/>
    </row>
    <row r="77" spans="1:55" s="613" customFormat="1" ht="13.5" customHeight="1" x14ac:dyDescent="0.2">
      <c r="A77" s="190"/>
      <c r="B77" s="7" t="s">
        <v>322</v>
      </c>
      <c r="C77" s="152" t="e">
        <f>I77-M77</f>
        <v>#REF!</v>
      </c>
      <c r="D77" s="483" t="e">
        <f>IF(OR((C77/M77)&gt;3,(C77/M77)&lt;-3),"n.m.",(C77/M77))</f>
        <v>#REF!</v>
      </c>
      <c r="E77" s="24"/>
      <c r="F77" s="335"/>
      <c r="G77" s="335"/>
      <c r="H77" s="335"/>
      <c r="I77" s="403">
        <v>-1755</v>
      </c>
      <c r="J77" s="335">
        <v>-4119</v>
      </c>
      <c r="K77" s="335">
        <v>-2879</v>
      </c>
      <c r="L77" s="335">
        <v>-1302</v>
      </c>
      <c r="M77" s="403" t="e">
        <f>+#REF!-'8 UK and Europe'!M73-'9 US'!M72</f>
        <v>#REF!</v>
      </c>
      <c r="N77" s="226" t="e">
        <f>#REF!-'9 US'!N72</f>
        <v>#REF!</v>
      </c>
      <c r="O77" s="335" t="e">
        <f>#REF!-'9 US'!O72</f>
        <v>#REF!</v>
      </c>
      <c r="P77" s="335">
        <v>-6322</v>
      </c>
      <c r="Q77" s="403">
        <v>-10795</v>
      </c>
      <c r="R77" s="226">
        <v>-9261</v>
      </c>
      <c r="S77" s="335">
        <v>-1134</v>
      </c>
      <c r="T77" s="335">
        <v>-5070</v>
      </c>
      <c r="U77" s="370">
        <v>-6918</v>
      </c>
      <c r="V77" s="640" t="s">
        <v>186</v>
      </c>
      <c r="W77" s="641" t="s">
        <v>186</v>
      </c>
      <c r="X77" s="641" t="s">
        <v>186</v>
      </c>
      <c r="Y77" s="641" t="s">
        <v>186</v>
      </c>
      <c r="Z77" s="642"/>
      <c r="AA77" s="642"/>
      <c r="AB77" s="642"/>
      <c r="AC77" s="642"/>
      <c r="AD77" s="642"/>
      <c r="AE77" s="643"/>
      <c r="AF77" s="643"/>
      <c r="AG77" s="643"/>
      <c r="AH77" s="643"/>
      <c r="AI77" s="643"/>
      <c r="AJ77" s="643"/>
      <c r="AK77" s="643"/>
      <c r="AL77" s="696"/>
      <c r="AM77" s="226" t="e">
        <f>SUM(K77:M77)</f>
        <v>#REF!</v>
      </c>
      <c r="AN77" s="335" t="e">
        <f>SUM(O77:Q77)</f>
        <v>#REF!</v>
      </c>
      <c r="AO77" s="657" t="e">
        <f>AR77-AS77</f>
        <v>#REF!</v>
      </c>
      <c r="AP77" s="483" t="e">
        <f>-IF(OR((AO77/AS77)&gt;3,(AO77/AS77)&lt;-3),"n.m.",(AO77/AS77))</f>
        <v>#REF!</v>
      </c>
      <c r="AQ77" s="97"/>
      <c r="AR77" s="644" t="e">
        <f>SUM(J77:M77)</f>
        <v>#REF!</v>
      </c>
      <c r="AS77" s="644" t="e">
        <f>SUM(N77:Q77)</f>
        <v>#REF!</v>
      </c>
      <c r="AT77" s="644">
        <f>SUM(R77:U77)</f>
        <v>-22383</v>
      </c>
      <c r="AU77" s="644" t="s">
        <v>186</v>
      </c>
      <c r="AV77" s="645" t="s">
        <v>186</v>
      </c>
      <c r="AW77" s="644" t="s">
        <v>186</v>
      </c>
      <c r="AX77" s="644" t="s">
        <v>186</v>
      </c>
      <c r="AY77" s="210"/>
      <c r="AZ77" s="143"/>
      <c r="BA77" s="143"/>
      <c r="BB77" s="25"/>
    </row>
    <row r="78" spans="1:55" ht="12.75" customHeight="1" x14ac:dyDescent="0.2">
      <c r="B78" s="13"/>
      <c r="C78" s="13"/>
      <c r="D78" s="13"/>
      <c r="E78" s="13"/>
      <c r="F78" s="13"/>
      <c r="G78" s="13"/>
      <c r="H78" s="13"/>
      <c r="I78" s="15"/>
      <c r="J78" s="13"/>
      <c r="K78" s="13"/>
      <c r="L78" s="13"/>
      <c r="M78" s="15"/>
      <c r="N78" s="13"/>
      <c r="O78" s="13"/>
      <c r="P78" s="13"/>
      <c r="Q78" s="15"/>
      <c r="R78" s="13"/>
      <c r="S78" s="13"/>
      <c r="T78" s="13"/>
      <c r="U78" s="15"/>
      <c r="V78" s="13"/>
      <c r="W78" s="13"/>
      <c r="X78" s="13"/>
      <c r="Y78" s="15"/>
      <c r="Z78" s="13"/>
      <c r="AA78" s="13"/>
      <c r="AB78" s="13"/>
      <c r="AC78" s="15"/>
      <c r="AD78" s="15"/>
      <c r="AE78" s="15"/>
      <c r="AF78" s="15"/>
      <c r="AG78" s="15"/>
      <c r="AH78" s="15"/>
      <c r="AI78" s="15"/>
      <c r="AJ78" s="15"/>
      <c r="AK78" s="15"/>
      <c r="AL78" s="3"/>
      <c r="AM78" s="3"/>
      <c r="AN78" s="3"/>
      <c r="AW78" s="2"/>
      <c r="AX78" s="2"/>
      <c r="BB78" s="3"/>
      <c r="BC78" s="3"/>
    </row>
    <row r="79" spans="1:55" x14ac:dyDescent="0.2">
      <c r="A79" s="7" t="s">
        <v>339</v>
      </c>
    </row>
    <row r="80" spans="1:55" x14ac:dyDescent="0.2">
      <c r="F80" s="514"/>
      <c r="G80" s="514"/>
      <c r="H80" s="514"/>
      <c r="I80" s="514"/>
      <c r="J80" s="514"/>
      <c r="K80" s="514"/>
      <c r="L80" s="514"/>
      <c r="M80" s="514"/>
      <c r="N80" s="514"/>
      <c r="O80" s="514"/>
      <c r="P80" s="514"/>
      <c r="Q80" s="514"/>
      <c r="R80" s="514"/>
      <c r="S80" s="514"/>
      <c r="T80" s="514"/>
      <c r="U80" s="514"/>
      <c r="V80" s="514"/>
      <c r="W80" s="514"/>
      <c r="X80" s="514"/>
      <c r="Y80" s="514"/>
      <c r="Z80" s="514"/>
      <c r="AA80" s="514"/>
      <c r="AB80" s="514"/>
      <c r="AC80" s="514"/>
      <c r="AD80" s="514"/>
      <c r="AE80" s="514"/>
      <c r="AF80" s="514"/>
      <c r="AG80" s="514"/>
      <c r="AH80" s="514"/>
      <c r="AI80" s="514"/>
      <c r="AJ80" s="514"/>
      <c r="AK80" s="514"/>
      <c r="AL80" s="514"/>
      <c r="AM80" s="514"/>
      <c r="AN80" s="514"/>
      <c r="AO80" s="514"/>
      <c r="AP80" s="514"/>
      <c r="AQ80" s="514"/>
      <c r="AR80" s="514"/>
      <c r="AS80" s="514"/>
      <c r="AT80" s="514"/>
      <c r="AU80" s="514"/>
      <c r="AV80" s="514"/>
      <c r="AW80" s="514"/>
      <c r="AX80" s="514"/>
      <c r="AY80" s="514"/>
      <c r="BB80" s="3"/>
      <c r="BC80" s="3"/>
    </row>
    <row r="81" spans="1:55" x14ac:dyDescent="0.2">
      <c r="A81" s="3"/>
      <c r="B81" s="3"/>
      <c r="C81" s="3"/>
      <c r="D81" s="3"/>
      <c r="F81" s="618"/>
      <c r="G81" s="618"/>
      <c r="H81" s="618"/>
      <c r="I81" s="618"/>
      <c r="J81" s="618"/>
      <c r="K81" s="618"/>
      <c r="L81" s="618"/>
      <c r="M81" s="618"/>
      <c r="N81" s="618"/>
      <c r="O81" s="618"/>
      <c r="P81" s="618"/>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618"/>
      <c r="AN81" s="618"/>
      <c r="AO81" s="730"/>
      <c r="AP81" s="484"/>
      <c r="AQ81" s="721"/>
      <c r="AR81" s="516"/>
      <c r="AS81" s="516"/>
      <c r="AT81" s="266"/>
      <c r="AU81" s="266"/>
      <c r="AV81" s="266"/>
      <c r="AW81" s="266"/>
      <c r="AX81" s="266"/>
      <c r="AY81" s="266"/>
      <c r="AZ81" s="266"/>
      <c r="BA81" s="266"/>
      <c r="BB81" s="266"/>
      <c r="BC81" s="3"/>
    </row>
    <row r="82" spans="1:55" x14ac:dyDescent="0.2">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721"/>
      <c r="AP82" s="721"/>
      <c r="AQ82" s="721"/>
      <c r="AR82" s="763"/>
      <c r="AS82" s="763"/>
      <c r="AT82" s="394"/>
      <c r="AU82" s="394"/>
      <c r="AV82" s="394"/>
      <c r="AW82" s="394"/>
      <c r="AX82" s="394"/>
      <c r="AY82" s="394"/>
      <c r="BB82" s="3"/>
      <c r="BC82" s="3"/>
    </row>
    <row r="83" spans="1:55" x14ac:dyDescent="0.2">
      <c r="I83" s="754"/>
      <c r="M83" s="754"/>
      <c r="Q83" s="31"/>
      <c r="U83" s="31"/>
      <c r="Y83" s="31"/>
      <c r="AC83" s="31"/>
      <c r="AE83" s="323"/>
      <c r="AH83" s="323"/>
      <c r="AI83" s="323"/>
      <c r="AK83" s="31"/>
      <c r="AL83" s="3"/>
      <c r="AM83" s="3"/>
      <c r="AN83" s="3"/>
      <c r="AO83" s="721"/>
      <c r="AP83" s="721"/>
      <c r="AQ83" s="721"/>
      <c r="AR83" s="678"/>
      <c r="AS83" s="678"/>
      <c r="AW83" s="2"/>
      <c r="AX83" s="2"/>
    </row>
    <row r="84" spans="1:55" x14ac:dyDescent="0.2">
      <c r="I84" s="2"/>
      <c r="M84" s="2"/>
      <c r="Q84" s="2"/>
      <c r="U84" s="2"/>
      <c r="Y84" s="2"/>
      <c r="AC84" s="2"/>
      <c r="AE84" s="323"/>
      <c r="AH84" s="323"/>
      <c r="AI84" s="323"/>
      <c r="AK84" s="148"/>
      <c r="AL84" s="3"/>
      <c r="AM84" s="3"/>
      <c r="AN84" s="3"/>
      <c r="AO84" s="721"/>
      <c r="AP84" s="721"/>
      <c r="AQ84" s="721"/>
      <c r="AR84" s="591"/>
      <c r="AS84" s="591"/>
      <c r="AW84" s="2"/>
      <c r="AX84" s="2"/>
    </row>
    <row r="85" spans="1:55" x14ac:dyDescent="0.2">
      <c r="I85" s="2"/>
      <c r="M85" s="2"/>
      <c r="Q85" s="2"/>
      <c r="U85" s="2"/>
      <c r="Y85" s="2"/>
      <c r="AC85" s="2"/>
      <c r="AE85" s="323"/>
      <c r="AH85" s="323"/>
      <c r="AI85" s="323"/>
      <c r="AK85" s="149"/>
      <c r="AL85" s="3"/>
      <c r="AM85" s="3"/>
      <c r="AN85" s="3"/>
      <c r="AW85" s="2"/>
      <c r="AX85" s="2"/>
    </row>
    <row r="86" spans="1:55" x14ac:dyDescent="0.2">
      <c r="I86" s="2"/>
      <c r="M86" s="2"/>
      <c r="Q86" s="2"/>
      <c r="U86" s="2"/>
      <c r="Y86" s="2"/>
      <c r="AC86" s="2"/>
      <c r="AE86" s="323"/>
      <c r="AH86" s="323"/>
      <c r="AI86" s="323"/>
      <c r="AK86" s="149"/>
      <c r="AL86" s="3"/>
      <c r="AM86" s="3"/>
      <c r="AN86" s="3"/>
      <c r="AW86" s="32"/>
      <c r="AX86" s="32"/>
    </row>
    <row r="87" spans="1:55" x14ac:dyDescent="0.2">
      <c r="I87" s="32"/>
      <c r="M87" s="32"/>
      <c r="Q87" s="32"/>
      <c r="U87" s="32"/>
      <c r="Y87" s="32"/>
      <c r="AC87" s="32"/>
      <c r="AE87" s="323"/>
      <c r="AH87" s="323"/>
      <c r="AI87" s="323"/>
      <c r="AK87" s="11"/>
      <c r="AL87" s="3"/>
      <c r="AM87" s="3"/>
      <c r="AN87" s="3"/>
      <c r="AW87" s="32"/>
      <c r="AX87" s="32"/>
    </row>
    <row r="88" spans="1:55" x14ac:dyDescent="0.2">
      <c r="I88" s="32"/>
      <c r="M88" s="32"/>
      <c r="Q88" s="32"/>
      <c r="U88" s="32"/>
      <c r="Y88" s="32"/>
      <c r="AC88" s="32"/>
      <c r="AE88" s="323"/>
      <c r="AH88" s="323"/>
      <c r="AI88" s="323"/>
      <c r="AK88" s="11"/>
      <c r="AL88" s="3"/>
      <c r="AM88" s="3"/>
      <c r="AN88" s="3"/>
      <c r="AW88" s="32"/>
      <c r="AX88" s="32"/>
    </row>
    <row r="89" spans="1:55" x14ac:dyDescent="0.2">
      <c r="I89" s="33"/>
      <c r="M89" s="33"/>
      <c r="Q89" s="33"/>
      <c r="U89" s="33"/>
      <c r="Y89" s="33"/>
      <c r="AC89" s="33"/>
      <c r="AE89" s="323"/>
      <c r="AH89" s="323"/>
      <c r="AI89" s="323"/>
      <c r="AK89" s="33"/>
      <c r="AL89" s="3"/>
      <c r="AM89" s="3"/>
      <c r="AN89" s="3"/>
      <c r="AW89" s="2"/>
      <c r="AX89" s="2"/>
    </row>
    <row r="90" spans="1:55" x14ac:dyDescent="0.2">
      <c r="I90" s="2"/>
      <c r="M90" s="2"/>
      <c r="Q90" s="2"/>
      <c r="U90" s="2"/>
      <c r="Y90" s="2"/>
      <c r="AC90" s="2"/>
      <c r="AE90" s="323"/>
      <c r="AH90" s="323"/>
      <c r="AI90" s="323"/>
      <c r="AK90" s="150"/>
      <c r="AL90" s="3"/>
      <c r="AM90" s="3"/>
      <c r="AN90" s="3"/>
      <c r="AW90" s="2"/>
      <c r="AX90" s="2"/>
    </row>
    <row r="91" spans="1:55" x14ac:dyDescent="0.2">
      <c r="I91" s="2"/>
      <c r="M91" s="2"/>
      <c r="Q91" s="2"/>
      <c r="U91" s="2"/>
      <c r="Y91" s="2"/>
      <c r="AC91" s="2"/>
      <c r="AD91" s="2"/>
      <c r="AE91" s="323"/>
      <c r="AG91" s="2"/>
      <c r="AH91" s="323"/>
      <c r="AI91" s="323"/>
      <c r="AJ91" s="2"/>
      <c r="AK91" s="2"/>
      <c r="AL91" s="3"/>
      <c r="AM91" s="3"/>
      <c r="AN91" s="3"/>
      <c r="AW91" s="51"/>
      <c r="AX91" s="51"/>
    </row>
    <row r="92" spans="1:55" x14ac:dyDescent="0.2">
      <c r="I92" s="32"/>
      <c r="M92" s="32"/>
      <c r="Q92" s="32"/>
      <c r="U92" s="32"/>
      <c r="Y92" s="32"/>
      <c r="AC92" s="32"/>
      <c r="AD92" s="44"/>
      <c r="AE92" s="323"/>
      <c r="AF92" s="32"/>
      <c r="AG92" s="32"/>
      <c r="AH92" s="323"/>
      <c r="AI92" s="323"/>
      <c r="AJ92" s="34"/>
      <c r="AK92" s="1"/>
      <c r="AL92" s="3"/>
      <c r="AM92" s="3"/>
      <c r="AN92" s="3"/>
      <c r="AW92" s="51"/>
      <c r="AX92" s="51"/>
    </row>
    <row r="93" spans="1:55" x14ac:dyDescent="0.2">
      <c r="AC93" s="32"/>
      <c r="AD93" s="32"/>
      <c r="AE93" s="323"/>
      <c r="AH93" s="323"/>
      <c r="AI93" s="323"/>
      <c r="AJ93" s="32"/>
      <c r="AK93" s="32"/>
      <c r="AL93" s="3"/>
      <c r="AM93" s="3"/>
      <c r="AN93" s="3"/>
      <c r="AW93" s="52"/>
      <c r="AX93" s="52"/>
    </row>
    <row r="94" spans="1:55" x14ac:dyDescent="0.2">
      <c r="AC94" s="11"/>
      <c r="AD94" s="42"/>
      <c r="AE94" s="35"/>
      <c r="AF94" s="35"/>
      <c r="AG94" s="35"/>
      <c r="AH94" s="42"/>
      <c r="AI94" s="35"/>
      <c r="AJ94" s="35"/>
      <c r="AK94" s="47"/>
      <c r="AL94" s="3"/>
      <c r="AM94" s="3"/>
      <c r="AN94" s="3"/>
      <c r="AW94" s="53"/>
      <c r="AX94" s="53"/>
    </row>
    <row r="95" spans="1:55" x14ac:dyDescent="0.2">
      <c r="AC95" s="11"/>
      <c r="AD95" s="35"/>
      <c r="AE95" s="35"/>
      <c r="AF95" s="35"/>
      <c r="AG95" s="35"/>
      <c r="AH95" s="35"/>
      <c r="AI95" s="35"/>
      <c r="AJ95" s="35"/>
      <c r="AK95" s="47"/>
      <c r="AL95" s="3"/>
      <c r="AM95" s="3"/>
      <c r="AN95" s="3"/>
      <c r="AW95" s="35"/>
      <c r="AX95" s="35"/>
    </row>
    <row r="96" spans="1:55" x14ac:dyDescent="0.2">
      <c r="AC96" s="11"/>
      <c r="AD96" s="35"/>
      <c r="AE96" s="35"/>
      <c r="AF96" s="35"/>
      <c r="AG96" s="35"/>
      <c r="AH96" s="35"/>
      <c r="AI96" s="35"/>
      <c r="AJ96" s="35"/>
      <c r="AK96" s="41"/>
      <c r="AL96" s="3"/>
      <c r="AM96" s="3"/>
      <c r="AN96" s="3"/>
      <c r="AW96" s="35"/>
      <c r="AX96" s="35"/>
    </row>
    <row r="97" spans="29:50" x14ac:dyDescent="0.2">
      <c r="AC97" s="35"/>
      <c r="AD97" s="35"/>
      <c r="AE97" s="35"/>
      <c r="AF97" s="35"/>
      <c r="AG97" s="35"/>
      <c r="AH97" s="35"/>
      <c r="AI97" s="35"/>
      <c r="AJ97" s="35"/>
      <c r="AK97" s="35"/>
      <c r="AL97" s="3"/>
      <c r="AM97" s="3"/>
      <c r="AN97" s="3"/>
      <c r="AW97" s="36"/>
      <c r="AX97" s="36"/>
    </row>
    <row r="98" spans="29:50" x14ac:dyDescent="0.2">
      <c r="AC98" s="36"/>
      <c r="AD98" s="36"/>
      <c r="AE98" s="36"/>
      <c r="AF98" s="36"/>
      <c r="AG98" s="36"/>
      <c r="AH98" s="36"/>
      <c r="AI98" s="36"/>
      <c r="AJ98" s="36"/>
      <c r="AK98" s="36"/>
      <c r="AL98" s="3"/>
      <c r="AM98" s="3"/>
      <c r="AN98" s="3"/>
      <c r="AW98" s="36"/>
      <c r="AX98" s="36"/>
    </row>
    <row r="99" spans="29:50" x14ac:dyDescent="0.2">
      <c r="AC99" s="36"/>
      <c r="AD99" s="36"/>
      <c r="AE99" s="36"/>
      <c r="AF99" s="36"/>
      <c r="AG99" s="36"/>
      <c r="AH99" s="36"/>
      <c r="AI99" s="36"/>
      <c r="AJ99" s="36"/>
      <c r="AK99" s="36"/>
      <c r="AL99" s="3"/>
      <c r="AM99" s="3"/>
      <c r="AN99" s="3"/>
      <c r="AW99" s="3"/>
      <c r="AX99" s="3"/>
    </row>
    <row r="100" spans="29:50" x14ac:dyDescent="0.2">
      <c r="AC100" s="3"/>
      <c r="AD100" s="3"/>
      <c r="AE100" s="3"/>
      <c r="AF100" s="3"/>
      <c r="AG100" s="3"/>
      <c r="AH100" s="3"/>
      <c r="AI100" s="3"/>
      <c r="AJ100" s="3"/>
      <c r="AK100" s="3"/>
      <c r="AL100" s="3"/>
      <c r="AM100" s="3"/>
      <c r="AN100" s="3"/>
      <c r="AW100" s="3"/>
      <c r="AX100" s="3"/>
    </row>
    <row r="101" spans="29:50" x14ac:dyDescent="0.2">
      <c r="AC101" s="3"/>
      <c r="AD101" s="3"/>
      <c r="AE101" s="3"/>
      <c r="AF101" s="3"/>
      <c r="AG101" s="3"/>
      <c r="AH101" s="3"/>
      <c r="AI101" s="3"/>
      <c r="AJ101" s="3"/>
      <c r="AK101" s="3"/>
      <c r="AL101" s="3"/>
      <c r="AM101" s="3"/>
      <c r="AN101" s="3"/>
      <c r="AW101" s="3"/>
      <c r="AX101" s="3"/>
    </row>
    <row r="102" spans="29:50" x14ac:dyDescent="0.2">
      <c r="AC102" s="3"/>
      <c r="AD102" s="3"/>
      <c r="AE102" s="3"/>
      <c r="AF102" s="3"/>
      <c r="AG102" s="3"/>
      <c r="AH102" s="3"/>
      <c r="AI102" s="3"/>
      <c r="AJ102" s="3"/>
      <c r="AK102" s="3"/>
      <c r="AL102" s="3"/>
      <c r="AM102" s="3"/>
      <c r="AN102" s="3"/>
      <c r="AW102" s="3"/>
      <c r="AX102" s="3"/>
    </row>
    <row r="103" spans="29:50" x14ac:dyDescent="0.2">
      <c r="AC103" s="3"/>
      <c r="AD103" s="3"/>
      <c r="AE103" s="3"/>
      <c r="AF103" s="3"/>
      <c r="AG103" s="3"/>
      <c r="AH103" s="3"/>
      <c r="AI103" s="3"/>
      <c r="AJ103" s="3"/>
      <c r="AK103" s="3"/>
      <c r="AL103" s="3"/>
      <c r="AM103" s="3"/>
      <c r="AN103" s="3"/>
      <c r="AW103" s="3"/>
      <c r="AX103" s="3"/>
    </row>
    <row r="104" spans="29:50" x14ac:dyDescent="0.2">
      <c r="AC104" s="3"/>
      <c r="AD104" s="3"/>
      <c r="AE104" s="3"/>
      <c r="AF104" s="3"/>
      <c r="AG104" s="3"/>
      <c r="AH104" s="3"/>
      <c r="AI104" s="3"/>
      <c r="AJ104" s="3"/>
      <c r="AK104" s="3"/>
      <c r="AL104" s="3"/>
      <c r="AM104" s="3"/>
      <c r="AN104" s="3"/>
    </row>
  </sheetData>
  <mergeCells count="11">
    <mergeCell ref="AO10:AP10"/>
    <mergeCell ref="AO57:AP57"/>
    <mergeCell ref="AO68:AP68"/>
    <mergeCell ref="C68:D68"/>
    <mergeCell ref="C67:D67"/>
    <mergeCell ref="A42:B42"/>
    <mergeCell ref="C57:D57"/>
    <mergeCell ref="C9:D9"/>
    <mergeCell ref="C10:D10"/>
    <mergeCell ref="C56:D56"/>
    <mergeCell ref="A36:B36"/>
  </mergeCells>
  <phoneticPr fontId="6" type="noConversion"/>
  <conditionalFormatting sqref="AV46:AX50 A54:A55 AS65:AT65 AD46:AK50 AD62:AK65 A66 A74:A77 AU62:AX65 AU46:AU51 AS51:AT51 B43:B47 A43 A46:A47">
    <cfRule type="cellIs" dxfId="11" priority="4" stopIfTrue="1" operator="equal">
      <formula>0</formula>
    </cfRule>
  </conditionalFormatting>
  <conditionalFormatting sqref="AR65 AR51">
    <cfRule type="cellIs" dxfId="10" priority="1" stopIfTrue="1" operator="equal">
      <formula>0</formula>
    </cfRule>
  </conditionalFormatting>
  <printOptions horizontalCentered="1"/>
  <pageMargins left="0.3" right="0.3" top="0.4" bottom="0.6" header="0" footer="0.3"/>
  <pageSetup scale="56" orientation="landscape" r:id="rId1"/>
  <headerFooter alignWithMargins="0">
    <oddFooter>&amp;L&amp;F&amp;CPage 7</oddFooter>
  </headerFooter>
  <colBreaks count="1" manualBreakCount="1">
    <brk id="51" max="70" man="1"/>
  </colBreaks>
  <ignoredErrors>
    <ignoredError sqref="AT31 AT20:AT29"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BI97"/>
  <sheetViews>
    <sheetView view="pageBreakPreview" topLeftCell="A28" zoomScale="90" zoomScaleNormal="100" zoomScaleSheetLayoutView="90" workbookViewId="0">
      <pane xSplit="2" topLeftCell="C1" activePane="topRight" state="frozenSplit"/>
      <selection activeCell="B21" sqref="B21:L21"/>
      <selection pane="topRight" activeCell="A73" sqref="A73:XFD73"/>
    </sheetView>
  </sheetViews>
  <sheetFormatPr defaultRowHeight="12.75" outlineLevelRow="1" x14ac:dyDescent="0.2"/>
  <cols>
    <col min="1" max="1" width="2.7109375" style="613" customWidth="1"/>
    <col min="2" max="2" width="44.7109375" style="613" customWidth="1"/>
    <col min="3" max="4" width="9.7109375" style="613" customWidth="1"/>
    <col min="5" max="5" width="1.5703125" style="3" customWidth="1"/>
    <col min="6" max="6" width="9.7109375" style="722" hidden="1" customWidth="1"/>
    <col min="7" max="8" width="8.42578125" style="722" hidden="1" customWidth="1"/>
    <col min="9" max="9" width="8.42578125" style="722" customWidth="1"/>
    <col min="10" max="10" width="9.7109375" style="722" customWidth="1"/>
    <col min="11" max="13" width="8.42578125" style="722" customWidth="1"/>
    <col min="14" max="16" width="8.5703125" style="3" customWidth="1"/>
    <col min="17" max="17" width="8.85546875" style="3" customWidth="1"/>
    <col min="18" max="18" width="9.140625" style="3" hidden="1" customWidth="1"/>
    <col min="19" max="26" width="8.5703125" style="3" hidden="1" customWidth="1"/>
    <col min="27" max="28" width="9.7109375" style="3" hidden="1" customWidth="1"/>
    <col min="29" max="37" width="9.7109375" style="613" hidden="1" customWidth="1"/>
    <col min="38" max="38" width="1.5703125" style="613" customWidth="1"/>
    <col min="39" max="40" width="9.85546875" style="613" hidden="1" customWidth="1"/>
    <col min="41" max="42" width="9.85546875" style="106" hidden="1" customWidth="1"/>
    <col min="43" max="43" width="1.5703125" style="613" hidden="1" customWidth="1"/>
    <col min="44" max="46" width="9.7109375" style="106" customWidth="1"/>
    <col min="47" max="47" width="9.28515625" style="613" customWidth="1"/>
    <col min="48" max="48" width="9.7109375" style="613" customWidth="1"/>
    <col min="49" max="53" width="9.7109375" style="613" hidden="1" customWidth="1"/>
    <col min="54" max="54" width="1.5703125" style="613" customWidth="1"/>
    <col min="55" max="268" width="9.140625" style="613"/>
    <col min="269" max="269" width="2.7109375" style="613" customWidth="1"/>
    <col min="270" max="270" width="38.140625" style="613" customWidth="1"/>
    <col min="271" max="271" width="9.5703125" style="613" customWidth="1"/>
    <col min="272" max="272" width="9.7109375" style="613" customWidth="1"/>
    <col min="273" max="273" width="1.5703125" style="613" customWidth="1"/>
    <col min="274" max="276" width="0" style="613" hidden="1" customWidth="1"/>
    <col min="277" max="285" width="8.5703125" style="613" customWidth="1"/>
    <col min="286" max="300" width="0" style="613" hidden="1" customWidth="1"/>
    <col min="301" max="301" width="1.5703125" style="613" customWidth="1"/>
    <col min="302" max="302" width="9.7109375" style="613" customWidth="1"/>
    <col min="303" max="303" width="9.28515625" style="613" customWidth="1"/>
    <col min="304" max="306" width="9.7109375" style="613" customWidth="1"/>
    <col min="307" max="309" width="0" style="613" hidden="1" customWidth="1"/>
    <col min="310" max="310" width="1.5703125" style="613" customWidth="1"/>
    <col min="311" max="524" width="9.140625" style="613"/>
    <col min="525" max="525" width="2.7109375" style="613" customWidth="1"/>
    <col min="526" max="526" width="38.140625" style="613" customWidth="1"/>
    <col min="527" max="527" width="9.5703125" style="613" customWidth="1"/>
    <col min="528" max="528" width="9.7109375" style="613" customWidth="1"/>
    <col min="529" max="529" width="1.5703125" style="613" customWidth="1"/>
    <col min="530" max="532" width="0" style="613" hidden="1" customWidth="1"/>
    <col min="533" max="541" width="8.5703125" style="613" customWidth="1"/>
    <col min="542" max="556" width="0" style="613" hidden="1" customWidth="1"/>
    <col min="557" max="557" width="1.5703125" style="613" customWidth="1"/>
    <col min="558" max="558" width="9.7109375" style="613" customWidth="1"/>
    <col min="559" max="559" width="9.28515625" style="613" customWidth="1"/>
    <col min="560" max="562" width="9.7109375" style="613" customWidth="1"/>
    <col min="563" max="565" width="0" style="613" hidden="1" customWidth="1"/>
    <col min="566" max="566" width="1.5703125" style="613" customWidth="1"/>
    <col min="567" max="780" width="9.140625" style="613"/>
    <col min="781" max="781" width="2.7109375" style="613" customWidth="1"/>
    <col min="782" max="782" width="38.140625" style="613" customWidth="1"/>
    <col min="783" max="783" width="9.5703125" style="613" customWidth="1"/>
    <col min="784" max="784" width="9.7109375" style="613" customWidth="1"/>
    <col min="785" max="785" width="1.5703125" style="613" customWidth="1"/>
    <col min="786" max="788" width="0" style="613" hidden="1" customWidth="1"/>
    <col min="789" max="797" width="8.5703125" style="613" customWidth="1"/>
    <col min="798" max="812" width="0" style="613" hidden="1" customWidth="1"/>
    <col min="813" max="813" width="1.5703125" style="613" customWidth="1"/>
    <col min="814" max="814" width="9.7109375" style="613" customWidth="1"/>
    <col min="815" max="815" width="9.28515625" style="613" customWidth="1"/>
    <col min="816" max="818" width="9.7109375" style="613" customWidth="1"/>
    <col min="819" max="821" width="0" style="613" hidden="1" customWidth="1"/>
    <col min="822" max="822" width="1.5703125" style="613" customWidth="1"/>
    <col min="823" max="1036" width="9.140625" style="613"/>
    <col min="1037" max="1037" width="2.7109375" style="613" customWidth="1"/>
    <col min="1038" max="1038" width="38.140625" style="613" customWidth="1"/>
    <col min="1039" max="1039" width="9.5703125" style="613" customWidth="1"/>
    <col min="1040" max="1040" width="9.7109375" style="613" customWidth="1"/>
    <col min="1041" max="1041" width="1.5703125" style="613" customWidth="1"/>
    <col min="1042" max="1044" width="0" style="613" hidden="1" customWidth="1"/>
    <col min="1045" max="1053" width="8.5703125" style="613" customWidth="1"/>
    <col min="1054" max="1068" width="0" style="613" hidden="1" customWidth="1"/>
    <col min="1069" max="1069" width="1.5703125" style="613" customWidth="1"/>
    <col min="1070" max="1070" width="9.7109375" style="613" customWidth="1"/>
    <col min="1071" max="1071" width="9.28515625" style="613" customWidth="1"/>
    <col min="1072" max="1074" width="9.7109375" style="613" customWidth="1"/>
    <col min="1075" max="1077" width="0" style="613" hidden="1" customWidth="1"/>
    <col min="1078" max="1078" width="1.5703125" style="613" customWidth="1"/>
    <col min="1079" max="1292" width="9.140625" style="613"/>
    <col min="1293" max="1293" width="2.7109375" style="613" customWidth="1"/>
    <col min="1294" max="1294" width="38.140625" style="613" customWidth="1"/>
    <col min="1295" max="1295" width="9.5703125" style="613" customWidth="1"/>
    <col min="1296" max="1296" width="9.7109375" style="613" customWidth="1"/>
    <col min="1297" max="1297" width="1.5703125" style="613" customWidth="1"/>
    <col min="1298" max="1300" width="0" style="613" hidden="1" customWidth="1"/>
    <col min="1301" max="1309" width="8.5703125" style="613" customWidth="1"/>
    <col min="1310" max="1324" width="0" style="613" hidden="1" customWidth="1"/>
    <col min="1325" max="1325" width="1.5703125" style="613" customWidth="1"/>
    <col min="1326" max="1326" width="9.7109375" style="613" customWidth="1"/>
    <col min="1327" max="1327" width="9.28515625" style="613" customWidth="1"/>
    <col min="1328" max="1330" width="9.7109375" style="613" customWidth="1"/>
    <col min="1331" max="1333" width="0" style="613" hidden="1" customWidth="1"/>
    <col min="1334" max="1334" width="1.5703125" style="613" customWidth="1"/>
    <col min="1335" max="1548" width="9.140625" style="613"/>
    <col min="1549" max="1549" width="2.7109375" style="613" customWidth="1"/>
    <col min="1550" max="1550" width="38.140625" style="613" customWidth="1"/>
    <col min="1551" max="1551" width="9.5703125" style="613" customWidth="1"/>
    <col min="1552" max="1552" width="9.7109375" style="613" customWidth="1"/>
    <col min="1553" max="1553" width="1.5703125" style="613" customWidth="1"/>
    <col min="1554" max="1556" width="0" style="613" hidden="1" customWidth="1"/>
    <col min="1557" max="1565" width="8.5703125" style="613" customWidth="1"/>
    <col min="1566" max="1580" width="0" style="613" hidden="1" customWidth="1"/>
    <col min="1581" max="1581" width="1.5703125" style="613" customWidth="1"/>
    <col min="1582" max="1582" width="9.7109375" style="613" customWidth="1"/>
    <col min="1583" max="1583" width="9.28515625" style="613" customWidth="1"/>
    <col min="1584" max="1586" width="9.7109375" style="613" customWidth="1"/>
    <col min="1587" max="1589" width="0" style="613" hidden="1" customWidth="1"/>
    <col min="1590" max="1590" width="1.5703125" style="613" customWidth="1"/>
    <col min="1591" max="1804" width="9.140625" style="613"/>
    <col min="1805" max="1805" width="2.7109375" style="613" customWidth="1"/>
    <col min="1806" max="1806" width="38.140625" style="613" customWidth="1"/>
    <col min="1807" max="1807" width="9.5703125" style="613" customWidth="1"/>
    <col min="1808" max="1808" width="9.7109375" style="613" customWidth="1"/>
    <col min="1809" max="1809" width="1.5703125" style="613" customWidth="1"/>
    <col min="1810" max="1812" width="0" style="613" hidden="1" customWidth="1"/>
    <col min="1813" max="1821" width="8.5703125" style="613" customWidth="1"/>
    <col min="1822" max="1836" width="0" style="613" hidden="1" customWidth="1"/>
    <col min="1837" max="1837" width="1.5703125" style="613" customWidth="1"/>
    <col min="1838" max="1838" width="9.7109375" style="613" customWidth="1"/>
    <col min="1839" max="1839" width="9.28515625" style="613" customWidth="1"/>
    <col min="1840" max="1842" width="9.7109375" style="613" customWidth="1"/>
    <col min="1843" max="1845" width="0" style="613" hidden="1" customWidth="1"/>
    <col min="1846" max="1846" width="1.5703125" style="613" customWidth="1"/>
    <col min="1847" max="2060" width="9.140625" style="613"/>
    <col min="2061" max="2061" width="2.7109375" style="613" customWidth="1"/>
    <col min="2062" max="2062" width="38.140625" style="613" customWidth="1"/>
    <col min="2063" max="2063" width="9.5703125" style="613" customWidth="1"/>
    <col min="2064" max="2064" width="9.7109375" style="613" customWidth="1"/>
    <col min="2065" max="2065" width="1.5703125" style="613" customWidth="1"/>
    <col min="2066" max="2068" width="0" style="613" hidden="1" customWidth="1"/>
    <col min="2069" max="2077" width="8.5703125" style="613" customWidth="1"/>
    <col min="2078" max="2092" width="0" style="613" hidden="1" customWidth="1"/>
    <col min="2093" max="2093" width="1.5703125" style="613" customWidth="1"/>
    <col min="2094" max="2094" width="9.7109375" style="613" customWidth="1"/>
    <col min="2095" max="2095" width="9.28515625" style="613" customWidth="1"/>
    <col min="2096" max="2098" width="9.7109375" style="613" customWidth="1"/>
    <col min="2099" max="2101" width="0" style="613" hidden="1" customWidth="1"/>
    <col min="2102" max="2102" width="1.5703125" style="613" customWidth="1"/>
    <col min="2103" max="2316" width="9.140625" style="613"/>
    <col min="2317" max="2317" width="2.7109375" style="613" customWidth="1"/>
    <col min="2318" max="2318" width="38.140625" style="613" customWidth="1"/>
    <col min="2319" max="2319" width="9.5703125" style="613" customWidth="1"/>
    <col min="2320" max="2320" width="9.7109375" style="613" customWidth="1"/>
    <col min="2321" max="2321" width="1.5703125" style="613" customWidth="1"/>
    <col min="2322" max="2324" width="0" style="613" hidden="1" customWidth="1"/>
    <col min="2325" max="2333" width="8.5703125" style="613" customWidth="1"/>
    <col min="2334" max="2348" width="0" style="613" hidden="1" customWidth="1"/>
    <col min="2349" max="2349" width="1.5703125" style="613" customWidth="1"/>
    <col min="2350" max="2350" width="9.7109375" style="613" customWidth="1"/>
    <col min="2351" max="2351" width="9.28515625" style="613" customWidth="1"/>
    <col min="2352" max="2354" width="9.7109375" style="613" customWidth="1"/>
    <col min="2355" max="2357" width="0" style="613" hidden="1" customWidth="1"/>
    <col min="2358" max="2358" width="1.5703125" style="613" customWidth="1"/>
    <col min="2359" max="2572" width="9.140625" style="613"/>
    <col min="2573" max="2573" width="2.7109375" style="613" customWidth="1"/>
    <col min="2574" max="2574" width="38.140625" style="613" customWidth="1"/>
    <col min="2575" max="2575" width="9.5703125" style="613" customWidth="1"/>
    <col min="2576" max="2576" width="9.7109375" style="613" customWidth="1"/>
    <col min="2577" max="2577" width="1.5703125" style="613" customWidth="1"/>
    <col min="2578" max="2580" width="0" style="613" hidden="1" customWidth="1"/>
    <col min="2581" max="2589" width="8.5703125" style="613" customWidth="1"/>
    <col min="2590" max="2604" width="0" style="613" hidden="1" customWidth="1"/>
    <col min="2605" max="2605" width="1.5703125" style="613" customWidth="1"/>
    <col min="2606" max="2606" width="9.7109375" style="613" customWidth="1"/>
    <col min="2607" max="2607" width="9.28515625" style="613" customWidth="1"/>
    <col min="2608" max="2610" width="9.7109375" style="613" customWidth="1"/>
    <col min="2611" max="2613" width="0" style="613" hidden="1" customWidth="1"/>
    <col min="2614" max="2614" width="1.5703125" style="613" customWidth="1"/>
    <col min="2615" max="2828" width="9.140625" style="613"/>
    <col min="2829" max="2829" width="2.7109375" style="613" customWidth="1"/>
    <col min="2830" max="2830" width="38.140625" style="613" customWidth="1"/>
    <col min="2831" max="2831" width="9.5703125" style="613" customWidth="1"/>
    <col min="2832" max="2832" width="9.7109375" style="613" customWidth="1"/>
    <col min="2833" max="2833" width="1.5703125" style="613" customWidth="1"/>
    <col min="2834" max="2836" width="0" style="613" hidden="1" customWidth="1"/>
    <col min="2837" max="2845" width="8.5703125" style="613" customWidth="1"/>
    <col min="2846" max="2860" width="0" style="613" hidden="1" customWidth="1"/>
    <col min="2861" max="2861" width="1.5703125" style="613" customWidth="1"/>
    <col min="2862" max="2862" width="9.7109375" style="613" customWidth="1"/>
    <col min="2863" max="2863" width="9.28515625" style="613" customWidth="1"/>
    <col min="2864" max="2866" width="9.7109375" style="613" customWidth="1"/>
    <col min="2867" max="2869" width="0" style="613" hidden="1" customWidth="1"/>
    <col min="2870" max="2870" width="1.5703125" style="613" customWidth="1"/>
    <col min="2871" max="3084" width="9.140625" style="613"/>
    <col min="3085" max="3085" width="2.7109375" style="613" customWidth="1"/>
    <col min="3086" max="3086" width="38.140625" style="613" customWidth="1"/>
    <col min="3087" max="3087" width="9.5703125" style="613" customWidth="1"/>
    <col min="3088" max="3088" width="9.7109375" style="613" customWidth="1"/>
    <col min="3089" max="3089" width="1.5703125" style="613" customWidth="1"/>
    <col min="3090" max="3092" width="0" style="613" hidden="1" customWidth="1"/>
    <col min="3093" max="3101" width="8.5703125" style="613" customWidth="1"/>
    <col min="3102" max="3116" width="0" style="613" hidden="1" customWidth="1"/>
    <col min="3117" max="3117" width="1.5703125" style="613" customWidth="1"/>
    <col min="3118" max="3118" width="9.7109375" style="613" customWidth="1"/>
    <col min="3119" max="3119" width="9.28515625" style="613" customWidth="1"/>
    <col min="3120" max="3122" width="9.7109375" style="613" customWidth="1"/>
    <col min="3123" max="3125" width="0" style="613" hidden="1" customWidth="1"/>
    <col min="3126" max="3126" width="1.5703125" style="613" customWidth="1"/>
    <col min="3127" max="3340" width="9.140625" style="613"/>
    <col min="3341" max="3341" width="2.7109375" style="613" customWidth="1"/>
    <col min="3342" max="3342" width="38.140625" style="613" customWidth="1"/>
    <col min="3343" max="3343" width="9.5703125" style="613" customWidth="1"/>
    <col min="3344" max="3344" width="9.7109375" style="613" customWidth="1"/>
    <col min="3345" max="3345" width="1.5703125" style="613" customWidth="1"/>
    <col min="3346" max="3348" width="0" style="613" hidden="1" customWidth="1"/>
    <col min="3349" max="3357" width="8.5703125" style="613" customWidth="1"/>
    <col min="3358" max="3372" width="0" style="613" hidden="1" customWidth="1"/>
    <col min="3373" max="3373" width="1.5703125" style="613" customWidth="1"/>
    <col min="3374" max="3374" width="9.7109375" style="613" customWidth="1"/>
    <col min="3375" max="3375" width="9.28515625" style="613" customWidth="1"/>
    <col min="3376" max="3378" width="9.7109375" style="613" customWidth="1"/>
    <col min="3379" max="3381" width="0" style="613" hidden="1" customWidth="1"/>
    <col min="3382" max="3382" width="1.5703125" style="613" customWidth="1"/>
    <col min="3383" max="3596" width="9.140625" style="613"/>
    <col min="3597" max="3597" width="2.7109375" style="613" customWidth="1"/>
    <col min="3598" max="3598" width="38.140625" style="613" customWidth="1"/>
    <col min="3599" max="3599" width="9.5703125" style="613" customWidth="1"/>
    <col min="3600" max="3600" width="9.7109375" style="613" customWidth="1"/>
    <col min="3601" max="3601" width="1.5703125" style="613" customWidth="1"/>
    <col min="3602" max="3604" width="0" style="613" hidden="1" customWidth="1"/>
    <col min="3605" max="3613" width="8.5703125" style="613" customWidth="1"/>
    <col min="3614" max="3628" width="0" style="613" hidden="1" customWidth="1"/>
    <col min="3629" max="3629" width="1.5703125" style="613" customWidth="1"/>
    <col min="3630" max="3630" width="9.7109375" style="613" customWidth="1"/>
    <col min="3631" max="3631" width="9.28515625" style="613" customWidth="1"/>
    <col min="3632" max="3634" width="9.7109375" style="613" customWidth="1"/>
    <col min="3635" max="3637" width="0" style="613" hidden="1" customWidth="1"/>
    <col min="3638" max="3638" width="1.5703125" style="613" customWidth="1"/>
    <col min="3639" max="3852" width="9.140625" style="613"/>
    <col min="3853" max="3853" width="2.7109375" style="613" customWidth="1"/>
    <col min="3854" max="3854" width="38.140625" style="613" customWidth="1"/>
    <col min="3855" max="3855" width="9.5703125" style="613" customWidth="1"/>
    <col min="3856" max="3856" width="9.7109375" style="613" customWidth="1"/>
    <col min="3857" max="3857" width="1.5703125" style="613" customWidth="1"/>
    <col min="3858" max="3860" width="0" style="613" hidden="1" customWidth="1"/>
    <col min="3861" max="3869" width="8.5703125" style="613" customWidth="1"/>
    <col min="3870" max="3884" width="0" style="613" hidden="1" customWidth="1"/>
    <col min="3885" max="3885" width="1.5703125" style="613" customWidth="1"/>
    <col min="3886" max="3886" width="9.7109375" style="613" customWidth="1"/>
    <col min="3887" max="3887" width="9.28515625" style="613" customWidth="1"/>
    <col min="3888" max="3890" width="9.7109375" style="613" customWidth="1"/>
    <col min="3891" max="3893" width="0" style="613" hidden="1" customWidth="1"/>
    <col min="3894" max="3894" width="1.5703125" style="613" customWidth="1"/>
    <col min="3895" max="4108" width="9.140625" style="613"/>
    <col min="4109" max="4109" width="2.7109375" style="613" customWidth="1"/>
    <col min="4110" max="4110" width="38.140625" style="613" customWidth="1"/>
    <col min="4111" max="4111" width="9.5703125" style="613" customWidth="1"/>
    <col min="4112" max="4112" width="9.7109375" style="613" customWidth="1"/>
    <col min="4113" max="4113" width="1.5703125" style="613" customWidth="1"/>
    <col min="4114" max="4116" width="0" style="613" hidden="1" customWidth="1"/>
    <col min="4117" max="4125" width="8.5703125" style="613" customWidth="1"/>
    <col min="4126" max="4140" width="0" style="613" hidden="1" customWidth="1"/>
    <col min="4141" max="4141" width="1.5703125" style="613" customWidth="1"/>
    <col min="4142" max="4142" width="9.7109375" style="613" customWidth="1"/>
    <col min="4143" max="4143" width="9.28515625" style="613" customWidth="1"/>
    <col min="4144" max="4146" width="9.7109375" style="613" customWidth="1"/>
    <col min="4147" max="4149" width="0" style="613" hidden="1" customWidth="1"/>
    <col min="4150" max="4150" width="1.5703125" style="613" customWidth="1"/>
    <col min="4151" max="4364" width="9.140625" style="613"/>
    <col min="4365" max="4365" width="2.7109375" style="613" customWidth="1"/>
    <col min="4366" max="4366" width="38.140625" style="613" customWidth="1"/>
    <col min="4367" max="4367" width="9.5703125" style="613" customWidth="1"/>
    <col min="4368" max="4368" width="9.7109375" style="613" customWidth="1"/>
    <col min="4369" max="4369" width="1.5703125" style="613" customWidth="1"/>
    <col min="4370" max="4372" width="0" style="613" hidden="1" customWidth="1"/>
    <col min="4373" max="4381" width="8.5703125" style="613" customWidth="1"/>
    <col min="4382" max="4396" width="0" style="613" hidden="1" customWidth="1"/>
    <col min="4397" max="4397" width="1.5703125" style="613" customWidth="1"/>
    <col min="4398" max="4398" width="9.7109375" style="613" customWidth="1"/>
    <col min="4399" max="4399" width="9.28515625" style="613" customWidth="1"/>
    <col min="4400" max="4402" width="9.7109375" style="613" customWidth="1"/>
    <col min="4403" max="4405" width="0" style="613" hidden="1" customWidth="1"/>
    <col min="4406" max="4406" width="1.5703125" style="613" customWidth="1"/>
    <col min="4407" max="4620" width="9.140625" style="613"/>
    <col min="4621" max="4621" width="2.7109375" style="613" customWidth="1"/>
    <col min="4622" max="4622" width="38.140625" style="613" customWidth="1"/>
    <col min="4623" max="4623" width="9.5703125" style="613" customWidth="1"/>
    <col min="4624" max="4624" width="9.7109375" style="613" customWidth="1"/>
    <col min="4625" max="4625" width="1.5703125" style="613" customWidth="1"/>
    <col min="4626" max="4628" width="0" style="613" hidden="1" customWidth="1"/>
    <col min="4629" max="4637" width="8.5703125" style="613" customWidth="1"/>
    <col min="4638" max="4652" width="0" style="613" hidden="1" customWidth="1"/>
    <col min="4653" max="4653" width="1.5703125" style="613" customWidth="1"/>
    <col min="4654" max="4654" width="9.7109375" style="613" customWidth="1"/>
    <col min="4655" max="4655" width="9.28515625" style="613" customWidth="1"/>
    <col min="4656" max="4658" width="9.7109375" style="613" customWidth="1"/>
    <col min="4659" max="4661" width="0" style="613" hidden="1" customWidth="1"/>
    <col min="4662" max="4662" width="1.5703125" style="613" customWidth="1"/>
    <col min="4663" max="4876" width="9.140625" style="613"/>
    <col min="4877" max="4877" width="2.7109375" style="613" customWidth="1"/>
    <col min="4878" max="4878" width="38.140625" style="613" customWidth="1"/>
    <col min="4879" max="4879" width="9.5703125" style="613" customWidth="1"/>
    <col min="4880" max="4880" width="9.7109375" style="613" customWidth="1"/>
    <col min="4881" max="4881" width="1.5703125" style="613" customWidth="1"/>
    <col min="4882" max="4884" width="0" style="613" hidden="1" customWidth="1"/>
    <col min="4885" max="4893" width="8.5703125" style="613" customWidth="1"/>
    <col min="4894" max="4908" width="0" style="613" hidden="1" customWidth="1"/>
    <col min="4909" max="4909" width="1.5703125" style="613" customWidth="1"/>
    <col min="4910" max="4910" width="9.7109375" style="613" customWidth="1"/>
    <col min="4911" max="4911" width="9.28515625" style="613" customWidth="1"/>
    <col min="4912" max="4914" width="9.7109375" style="613" customWidth="1"/>
    <col min="4915" max="4917" width="0" style="613" hidden="1" customWidth="1"/>
    <col min="4918" max="4918" width="1.5703125" style="613" customWidth="1"/>
    <col min="4919" max="5132" width="9.140625" style="613"/>
    <col min="5133" max="5133" width="2.7109375" style="613" customWidth="1"/>
    <col min="5134" max="5134" width="38.140625" style="613" customWidth="1"/>
    <col min="5135" max="5135" width="9.5703125" style="613" customWidth="1"/>
    <col min="5136" max="5136" width="9.7109375" style="613" customWidth="1"/>
    <col min="5137" max="5137" width="1.5703125" style="613" customWidth="1"/>
    <col min="5138" max="5140" width="0" style="613" hidden="1" customWidth="1"/>
    <col min="5141" max="5149" width="8.5703125" style="613" customWidth="1"/>
    <col min="5150" max="5164" width="0" style="613" hidden="1" customWidth="1"/>
    <col min="5165" max="5165" width="1.5703125" style="613" customWidth="1"/>
    <col min="5166" max="5166" width="9.7109375" style="613" customWidth="1"/>
    <col min="5167" max="5167" width="9.28515625" style="613" customWidth="1"/>
    <col min="5168" max="5170" width="9.7109375" style="613" customWidth="1"/>
    <col min="5171" max="5173" width="0" style="613" hidden="1" customWidth="1"/>
    <col min="5174" max="5174" width="1.5703125" style="613" customWidth="1"/>
    <col min="5175" max="5388" width="9.140625" style="613"/>
    <col min="5389" max="5389" width="2.7109375" style="613" customWidth="1"/>
    <col min="5390" max="5390" width="38.140625" style="613" customWidth="1"/>
    <col min="5391" max="5391" width="9.5703125" style="613" customWidth="1"/>
    <col min="5392" max="5392" width="9.7109375" style="613" customWidth="1"/>
    <col min="5393" max="5393" width="1.5703125" style="613" customWidth="1"/>
    <col min="5394" max="5396" width="0" style="613" hidden="1" customWidth="1"/>
    <col min="5397" max="5405" width="8.5703125" style="613" customWidth="1"/>
    <col min="5406" max="5420" width="0" style="613" hidden="1" customWidth="1"/>
    <col min="5421" max="5421" width="1.5703125" style="613" customWidth="1"/>
    <col min="5422" max="5422" width="9.7109375" style="613" customWidth="1"/>
    <col min="5423" max="5423" width="9.28515625" style="613" customWidth="1"/>
    <col min="5424" max="5426" width="9.7109375" style="613" customWidth="1"/>
    <col min="5427" max="5429" width="0" style="613" hidden="1" customWidth="1"/>
    <col min="5430" max="5430" width="1.5703125" style="613" customWidth="1"/>
    <col min="5431" max="5644" width="9.140625" style="613"/>
    <col min="5645" max="5645" width="2.7109375" style="613" customWidth="1"/>
    <col min="5646" max="5646" width="38.140625" style="613" customWidth="1"/>
    <col min="5647" max="5647" width="9.5703125" style="613" customWidth="1"/>
    <col min="5648" max="5648" width="9.7109375" style="613" customWidth="1"/>
    <col min="5649" max="5649" width="1.5703125" style="613" customWidth="1"/>
    <col min="5650" max="5652" width="0" style="613" hidden="1" customWidth="1"/>
    <col min="5653" max="5661" width="8.5703125" style="613" customWidth="1"/>
    <col min="5662" max="5676" width="0" style="613" hidden="1" customWidth="1"/>
    <col min="5677" max="5677" width="1.5703125" style="613" customWidth="1"/>
    <col min="5678" max="5678" width="9.7109375" style="613" customWidth="1"/>
    <col min="5679" max="5679" width="9.28515625" style="613" customWidth="1"/>
    <col min="5680" max="5682" width="9.7109375" style="613" customWidth="1"/>
    <col min="5683" max="5685" width="0" style="613" hidden="1" customWidth="1"/>
    <col min="5686" max="5686" width="1.5703125" style="613" customWidth="1"/>
    <col min="5687" max="5900" width="9.140625" style="613"/>
    <col min="5901" max="5901" width="2.7109375" style="613" customWidth="1"/>
    <col min="5902" max="5902" width="38.140625" style="613" customWidth="1"/>
    <col min="5903" max="5903" width="9.5703125" style="613" customWidth="1"/>
    <col min="5904" max="5904" width="9.7109375" style="613" customWidth="1"/>
    <col min="5905" max="5905" width="1.5703125" style="613" customWidth="1"/>
    <col min="5906" max="5908" width="0" style="613" hidden="1" customWidth="1"/>
    <col min="5909" max="5917" width="8.5703125" style="613" customWidth="1"/>
    <col min="5918" max="5932" width="0" style="613" hidden="1" customWidth="1"/>
    <col min="5933" max="5933" width="1.5703125" style="613" customWidth="1"/>
    <col min="5934" max="5934" width="9.7109375" style="613" customWidth="1"/>
    <col min="5935" max="5935" width="9.28515625" style="613" customWidth="1"/>
    <col min="5936" max="5938" width="9.7109375" style="613" customWidth="1"/>
    <col min="5939" max="5941" width="0" style="613" hidden="1" customWidth="1"/>
    <col min="5942" max="5942" width="1.5703125" style="613" customWidth="1"/>
    <col min="5943" max="6156" width="9.140625" style="613"/>
    <col min="6157" max="6157" width="2.7109375" style="613" customWidth="1"/>
    <col min="6158" max="6158" width="38.140625" style="613" customWidth="1"/>
    <col min="6159" max="6159" width="9.5703125" style="613" customWidth="1"/>
    <col min="6160" max="6160" width="9.7109375" style="613" customWidth="1"/>
    <col min="6161" max="6161" width="1.5703125" style="613" customWidth="1"/>
    <col min="6162" max="6164" width="0" style="613" hidden="1" customWidth="1"/>
    <col min="6165" max="6173" width="8.5703125" style="613" customWidth="1"/>
    <col min="6174" max="6188" width="0" style="613" hidden="1" customWidth="1"/>
    <col min="6189" max="6189" width="1.5703125" style="613" customWidth="1"/>
    <col min="6190" max="6190" width="9.7109375" style="613" customWidth="1"/>
    <col min="6191" max="6191" width="9.28515625" style="613" customWidth="1"/>
    <col min="6192" max="6194" width="9.7109375" style="613" customWidth="1"/>
    <col min="6195" max="6197" width="0" style="613" hidden="1" customWidth="1"/>
    <col min="6198" max="6198" width="1.5703125" style="613" customWidth="1"/>
    <col min="6199" max="6412" width="9.140625" style="613"/>
    <col min="6413" max="6413" width="2.7109375" style="613" customWidth="1"/>
    <col min="6414" max="6414" width="38.140625" style="613" customWidth="1"/>
    <col min="6415" max="6415" width="9.5703125" style="613" customWidth="1"/>
    <col min="6416" max="6416" width="9.7109375" style="613" customWidth="1"/>
    <col min="6417" max="6417" width="1.5703125" style="613" customWidth="1"/>
    <col min="6418" max="6420" width="0" style="613" hidden="1" customWidth="1"/>
    <col min="6421" max="6429" width="8.5703125" style="613" customWidth="1"/>
    <col min="6430" max="6444" width="0" style="613" hidden="1" customWidth="1"/>
    <col min="6445" max="6445" width="1.5703125" style="613" customWidth="1"/>
    <col min="6446" max="6446" width="9.7109375" style="613" customWidth="1"/>
    <col min="6447" max="6447" width="9.28515625" style="613" customWidth="1"/>
    <col min="6448" max="6450" width="9.7109375" style="613" customWidth="1"/>
    <col min="6451" max="6453" width="0" style="613" hidden="1" customWidth="1"/>
    <col min="6454" max="6454" width="1.5703125" style="613" customWidth="1"/>
    <col min="6455" max="6668" width="9.140625" style="613"/>
    <col min="6669" max="6669" width="2.7109375" style="613" customWidth="1"/>
    <col min="6670" max="6670" width="38.140625" style="613" customWidth="1"/>
    <col min="6671" max="6671" width="9.5703125" style="613" customWidth="1"/>
    <col min="6672" max="6672" width="9.7109375" style="613" customWidth="1"/>
    <col min="6673" max="6673" width="1.5703125" style="613" customWidth="1"/>
    <col min="6674" max="6676" width="0" style="613" hidden="1" customWidth="1"/>
    <col min="6677" max="6685" width="8.5703125" style="613" customWidth="1"/>
    <col min="6686" max="6700" width="0" style="613" hidden="1" customWidth="1"/>
    <col min="6701" max="6701" width="1.5703125" style="613" customWidth="1"/>
    <col min="6702" max="6702" width="9.7109375" style="613" customWidth="1"/>
    <col min="6703" max="6703" width="9.28515625" style="613" customWidth="1"/>
    <col min="6704" max="6706" width="9.7109375" style="613" customWidth="1"/>
    <col min="6707" max="6709" width="0" style="613" hidden="1" customWidth="1"/>
    <col min="6710" max="6710" width="1.5703125" style="613" customWidth="1"/>
    <col min="6711" max="6924" width="9.140625" style="613"/>
    <col min="6925" max="6925" width="2.7109375" style="613" customWidth="1"/>
    <col min="6926" max="6926" width="38.140625" style="613" customWidth="1"/>
    <col min="6927" max="6927" width="9.5703125" style="613" customWidth="1"/>
    <col min="6928" max="6928" width="9.7109375" style="613" customWidth="1"/>
    <col min="6929" max="6929" width="1.5703125" style="613" customWidth="1"/>
    <col min="6930" max="6932" width="0" style="613" hidden="1" customWidth="1"/>
    <col min="6933" max="6941" width="8.5703125" style="613" customWidth="1"/>
    <col min="6942" max="6956" width="0" style="613" hidden="1" customWidth="1"/>
    <col min="6957" max="6957" width="1.5703125" style="613" customWidth="1"/>
    <col min="6958" max="6958" width="9.7109375" style="613" customWidth="1"/>
    <col min="6959" max="6959" width="9.28515625" style="613" customWidth="1"/>
    <col min="6960" max="6962" width="9.7109375" style="613" customWidth="1"/>
    <col min="6963" max="6965" width="0" style="613" hidden="1" customWidth="1"/>
    <col min="6966" max="6966" width="1.5703125" style="613" customWidth="1"/>
    <col min="6967" max="7180" width="9.140625" style="613"/>
    <col min="7181" max="7181" width="2.7109375" style="613" customWidth="1"/>
    <col min="7182" max="7182" width="38.140625" style="613" customWidth="1"/>
    <col min="7183" max="7183" width="9.5703125" style="613" customWidth="1"/>
    <col min="7184" max="7184" width="9.7109375" style="613" customWidth="1"/>
    <col min="7185" max="7185" width="1.5703125" style="613" customWidth="1"/>
    <col min="7186" max="7188" width="0" style="613" hidden="1" customWidth="1"/>
    <col min="7189" max="7197" width="8.5703125" style="613" customWidth="1"/>
    <col min="7198" max="7212" width="0" style="613" hidden="1" customWidth="1"/>
    <col min="7213" max="7213" width="1.5703125" style="613" customWidth="1"/>
    <col min="7214" max="7214" width="9.7109375" style="613" customWidth="1"/>
    <col min="7215" max="7215" width="9.28515625" style="613" customWidth="1"/>
    <col min="7216" max="7218" width="9.7109375" style="613" customWidth="1"/>
    <col min="7219" max="7221" width="0" style="613" hidden="1" customWidth="1"/>
    <col min="7222" max="7222" width="1.5703125" style="613" customWidth="1"/>
    <col min="7223" max="7436" width="9.140625" style="613"/>
    <col min="7437" max="7437" width="2.7109375" style="613" customWidth="1"/>
    <col min="7438" max="7438" width="38.140625" style="613" customWidth="1"/>
    <col min="7439" max="7439" width="9.5703125" style="613" customWidth="1"/>
    <col min="7440" max="7440" width="9.7109375" style="613" customWidth="1"/>
    <col min="7441" max="7441" width="1.5703125" style="613" customWidth="1"/>
    <col min="7442" max="7444" width="0" style="613" hidden="1" customWidth="1"/>
    <col min="7445" max="7453" width="8.5703125" style="613" customWidth="1"/>
    <col min="7454" max="7468" width="0" style="613" hidden="1" customWidth="1"/>
    <col min="7469" max="7469" width="1.5703125" style="613" customWidth="1"/>
    <col min="7470" max="7470" width="9.7109375" style="613" customWidth="1"/>
    <col min="7471" max="7471" width="9.28515625" style="613" customWidth="1"/>
    <col min="7472" max="7474" width="9.7109375" style="613" customWidth="1"/>
    <col min="7475" max="7477" width="0" style="613" hidden="1" customWidth="1"/>
    <col min="7478" max="7478" width="1.5703125" style="613" customWidth="1"/>
    <col min="7479" max="7692" width="9.140625" style="613"/>
    <col min="7693" max="7693" width="2.7109375" style="613" customWidth="1"/>
    <col min="7694" max="7694" width="38.140625" style="613" customWidth="1"/>
    <col min="7695" max="7695" width="9.5703125" style="613" customWidth="1"/>
    <col min="7696" max="7696" width="9.7109375" style="613" customWidth="1"/>
    <col min="7697" max="7697" width="1.5703125" style="613" customWidth="1"/>
    <col min="7698" max="7700" width="0" style="613" hidden="1" customWidth="1"/>
    <col min="7701" max="7709" width="8.5703125" style="613" customWidth="1"/>
    <col min="7710" max="7724" width="0" style="613" hidden="1" customWidth="1"/>
    <col min="7725" max="7725" width="1.5703125" style="613" customWidth="1"/>
    <col min="7726" max="7726" width="9.7109375" style="613" customWidth="1"/>
    <col min="7727" max="7727" width="9.28515625" style="613" customWidth="1"/>
    <col min="7728" max="7730" width="9.7109375" style="613" customWidth="1"/>
    <col min="7731" max="7733" width="0" style="613" hidden="1" customWidth="1"/>
    <col min="7734" max="7734" width="1.5703125" style="613" customWidth="1"/>
    <col min="7735" max="7948" width="9.140625" style="613"/>
    <col min="7949" max="7949" width="2.7109375" style="613" customWidth="1"/>
    <col min="7950" max="7950" width="38.140625" style="613" customWidth="1"/>
    <col min="7951" max="7951" width="9.5703125" style="613" customWidth="1"/>
    <col min="7952" max="7952" width="9.7109375" style="613" customWidth="1"/>
    <col min="7953" max="7953" width="1.5703125" style="613" customWidth="1"/>
    <col min="7954" max="7956" width="0" style="613" hidden="1" customWidth="1"/>
    <col min="7957" max="7965" width="8.5703125" style="613" customWidth="1"/>
    <col min="7966" max="7980" width="0" style="613" hidden="1" customWidth="1"/>
    <col min="7981" max="7981" width="1.5703125" style="613" customWidth="1"/>
    <col min="7982" max="7982" width="9.7109375" style="613" customWidth="1"/>
    <col min="7983" max="7983" width="9.28515625" style="613" customWidth="1"/>
    <col min="7984" max="7986" width="9.7109375" style="613" customWidth="1"/>
    <col min="7987" max="7989" width="0" style="613" hidden="1" customWidth="1"/>
    <col min="7990" max="7990" width="1.5703125" style="613" customWidth="1"/>
    <col min="7991" max="8204" width="9.140625" style="613"/>
    <col min="8205" max="8205" width="2.7109375" style="613" customWidth="1"/>
    <col min="8206" max="8206" width="38.140625" style="613" customWidth="1"/>
    <col min="8207" max="8207" width="9.5703125" style="613" customWidth="1"/>
    <col min="8208" max="8208" width="9.7109375" style="613" customWidth="1"/>
    <col min="8209" max="8209" width="1.5703125" style="613" customWidth="1"/>
    <col min="8210" max="8212" width="0" style="613" hidden="1" customWidth="1"/>
    <col min="8213" max="8221" width="8.5703125" style="613" customWidth="1"/>
    <col min="8222" max="8236" width="0" style="613" hidden="1" customWidth="1"/>
    <col min="8237" max="8237" width="1.5703125" style="613" customWidth="1"/>
    <col min="8238" max="8238" width="9.7109375" style="613" customWidth="1"/>
    <col min="8239" max="8239" width="9.28515625" style="613" customWidth="1"/>
    <col min="8240" max="8242" width="9.7109375" style="613" customWidth="1"/>
    <col min="8243" max="8245" width="0" style="613" hidden="1" customWidth="1"/>
    <col min="8246" max="8246" width="1.5703125" style="613" customWidth="1"/>
    <col min="8247" max="8460" width="9.140625" style="613"/>
    <col min="8461" max="8461" width="2.7109375" style="613" customWidth="1"/>
    <col min="8462" max="8462" width="38.140625" style="613" customWidth="1"/>
    <col min="8463" max="8463" width="9.5703125" style="613" customWidth="1"/>
    <col min="8464" max="8464" width="9.7109375" style="613" customWidth="1"/>
    <col min="8465" max="8465" width="1.5703125" style="613" customWidth="1"/>
    <col min="8466" max="8468" width="0" style="613" hidden="1" customWidth="1"/>
    <col min="8469" max="8477" width="8.5703125" style="613" customWidth="1"/>
    <col min="8478" max="8492" width="0" style="613" hidden="1" customWidth="1"/>
    <col min="8493" max="8493" width="1.5703125" style="613" customWidth="1"/>
    <col min="8494" max="8494" width="9.7109375" style="613" customWidth="1"/>
    <col min="8495" max="8495" width="9.28515625" style="613" customWidth="1"/>
    <col min="8496" max="8498" width="9.7109375" style="613" customWidth="1"/>
    <col min="8499" max="8501" width="0" style="613" hidden="1" customWidth="1"/>
    <col min="8502" max="8502" width="1.5703125" style="613" customWidth="1"/>
    <col min="8503" max="8716" width="9.140625" style="613"/>
    <col min="8717" max="8717" width="2.7109375" style="613" customWidth="1"/>
    <col min="8718" max="8718" width="38.140625" style="613" customWidth="1"/>
    <col min="8719" max="8719" width="9.5703125" style="613" customWidth="1"/>
    <col min="8720" max="8720" width="9.7109375" style="613" customWidth="1"/>
    <col min="8721" max="8721" width="1.5703125" style="613" customWidth="1"/>
    <col min="8722" max="8724" width="0" style="613" hidden="1" customWidth="1"/>
    <col min="8725" max="8733" width="8.5703125" style="613" customWidth="1"/>
    <col min="8734" max="8748" width="0" style="613" hidden="1" customWidth="1"/>
    <col min="8749" max="8749" width="1.5703125" style="613" customWidth="1"/>
    <col min="8750" max="8750" width="9.7109375" style="613" customWidth="1"/>
    <col min="8751" max="8751" width="9.28515625" style="613" customWidth="1"/>
    <col min="8752" max="8754" width="9.7109375" style="613" customWidth="1"/>
    <col min="8755" max="8757" width="0" style="613" hidden="1" customWidth="1"/>
    <col min="8758" max="8758" width="1.5703125" style="613" customWidth="1"/>
    <col min="8759" max="8972" width="9.140625" style="613"/>
    <col min="8973" max="8973" width="2.7109375" style="613" customWidth="1"/>
    <col min="8974" max="8974" width="38.140625" style="613" customWidth="1"/>
    <col min="8975" max="8975" width="9.5703125" style="613" customWidth="1"/>
    <col min="8976" max="8976" width="9.7109375" style="613" customWidth="1"/>
    <col min="8977" max="8977" width="1.5703125" style="613" customWidth="1"/>
    <col min="8978" max="8980" width="0" style="613" hidden="1" customWidth="1"/>
    <col min="8981" max="8989" width="8.5703125" style="613" customWidth="1"/>
    <col min="8990" max="9004" width="0" style="613" hidden="1" customWidth="1"/>
    <col min="9005" max="9005" width="1.5703125" style="613" customWidth="1"/>
    <col min="9006" max="9006" width="9.7109375" style="613" customWidth="1"/>
    <col min="9007" max="9007" width="9.28515625" style="613" customWidth="1"/>
    <col min="9008" max="9010" width="9.7109375" style="613" customWidth="1"/>
    <col min="9011" max="9013" width="0" style="613" hidden="1" customWidth="1"/>
    <col min="9014" max="9014" width="1.5703125" style="613" customWidth="1"/>
    <col min="9015" max="9228" width="9.140625" style="613"/>
    <col min="9229" max="9229" width="2.7109375" style="613" customWidth="1"/>
    <col min="9230" max="9230" width="38.140625" style="613" customWidth="1"/>
    <col min="9231" max="9231" width="9.5703125" style="613" customWidth="1"/>
    <col min="9232" max="9232" width="9.7109375" style="613" customWidth="1"/>
    <col min="9233" max="9233" width="1.5703125" style="613" customWidth="1"/>
    <col min="9234" max="9236" width="0" style="613" hidden="1" customWidth="1"/>
    <col min="9237" max="9245" width="8.5703125" style="613" customWidth="1"/>
    <col min="9246" max="9260" width="0" style="613" hidden="1" customWidth="1"/>
    <col min="9261" max="9261" width="1.5703125" style="613" customWidth="1"/>
    <col min="9262" max="9262" width="9.7109375" style="613" customWidth="1"/>
    <col min="9263" max="9263" width="9.28515625" style="613" customWidth="1"/>
    <col min="9264" max="9266" width="9.7109375" style="613" customWidth="1"/>
    <col min="9267" max="9269" width="0" style="613" hidden="1" customWidth="1"/>
    <col min="9270" max="9270" width="1.5703125" style="613" customWidth="1"/>
    <col min="9271" max="9484" width="9.140625" style="613"/>
    <col min="9485" max="9485" width="2.7109375" style="613" customWidth="1"/>
    <col min="9486" max="9486" width="38.140625" style="613" customWidth="1"/>
    <col min="9487" max="9487" width="9.5703125" style="613" customWidth="1"/>
    <col min="9488" max="9488" width="9.7109375" style="613" customWidth="1"/>
    <col min="9489" max="9489" width="1.5703125" style="613" customWidth="1"/>
    <col min="9490" max="9492" width="0" style="613" hidden="1" customWidth="1"/>
    <col min="9493" max="9501" width="8.5703125" style="613" customWidth="1"/>
    <col min="9502" max="9516" width="0" style="613" hidden="1" customWidth="1"/>
    <col min="9517" max="9517" width="1.5703125" style="613" customWidth="1"/>
    <col min="9518" max="9518" width="9.7109375" style="613" customWidth="1"/>
    <col min="9519" max="9519" width="9.28515625" style="613" customWidth="1"/>
    <col min="9520" max="9522" width="9.7109375" style="613" customWidth="1"/>
    <col min="9523" max="9525" width="0" style="613" hidden="1" customWidth="1"/>
    <col min="9526" max="9526" width="1.5703125" style="613" customWidth="1"/>
    <col min="9527" max="9740" width="9.140625" style="613"/>
    <col min="9741" max="9741" width="2.7109375" style="613" customWidth="1"/>
    <col min="9742" max="9742" width="38.140625" style="613" customWidth="1"/>
    <col min="9743" max="9743" width="9.5703125" style="613" customWidth="1"/>
    <col min="9744" max="9744" width="9.7109375" style="613" customWidth="1"/>
    <col min="9745" max="9745" width="1.5703125" style="613" customWidth="1"/>
    <col min="9746" max="9748" width="0" style="613" hidden="1" customWidth="1"/>
    <col min="9749" max="9757" width="8.5703125" style="613" customWidth="1"/>
    <col min="9758" max="9772" width="0" style="613" hidden="1" customWidth="1"/>
    <col min="9773" max="9773" width="1.5703125" style="613" customWidth="1"/>
    <col min="9774" max="9774" width="9.7109375" style="613" customWidth="1"/>
    <col min="9775" max="9775" width="9.28515625" style="613" customWidth="1"/>
    <col min="9776" max="9778" width="9.7109375" style="613" customWidth="1"/>
    <col min="9779" max="9781" width="0" style="613" hidden="1" customWidth="1"/>
    <col min="9782" max="9782" width="1.5703125" style="613" customWidth="1"/>
    <col min="9783" max="9996" width="9.140625" style="613"/>
    <col min="9997" max="9997" width="2.7109375" style="613" customWidth="1"/>
    <col min="9998" max="9998" width="38.140625" style="613" customWidth="1"/>
    <col min="9999" max="9999" width="9.5703125" style="613" customWidth="1"/>
    <col min="10000" max="10000" width="9.7109375" style="613" customWidth="1"/>
    <col min="10001" max="10001" width="1.5703125" style="613" customWidth="1"/>
    <col min="10002" max="10004" width="0" style="613" hidden="1" customWidth="1"/>
    <col min="10005" max="10013" width="8.5703125" style="613" customWidth="1"/>
    <col min="10014" max="10028" width="0" style="613" hidden="1" customWidth="1"/>
    <col min="10029" max="10029" width="1.5703125" style="613" customWidth="1"/>
    <col min="10030" max="10030" width="9.7109375" style="613" customWidth="1"/>
    <col min="10031" max="10031" width="9.28515625" style="613" customWidth="1"/>
    <col min="10032" max="10034" width="9.7109375" style="613" customWidth="1"/>
    <col min="10035" max="10037" width="0" style="613" hidden="1" customWidth="1"/>
    <col min="10038" max="10038" width="1.5703125" style="613" customWidth="1"/>
    <col min="10039" max="10252" width="9.140625" style="613"/>
    <col min="10253" max="10253" width="2.7109375" style="613" customWidth="1"/>
    <col min="10254" max="10254" width="38.140625" style="613" customWidth="1"/>
    <col min="10255" max="10255" width="9.5703125" style="613" customWidth="1"/>
    <col min="10256" max="10256" width="9.7109375" style="613" customWidth="1"/>
    <col min="10257" max="10257" width="1.5703125" style="613" customWidth="1"/>
    <col min="10258" max="10260" width="0" style="613" hidden="1" customWidth="1"/>
    <col min="10261" max="10269" width="8.5703125" style="613" customWidth="1"/>
    <col min="10270" max="10284" width="0" style="613" hidden="1" customWidth="1"/>
    <col min="10285" max="10285" width="1.5703125" style="613" customWidth="1"/>
    <col min="10286" max="10286" width="9.7109375" style="613" customWidth="1"/>
    <col min="10287" max="10287" width="9.28515625" style="613" customWidth="1"/>
    <col min="10288" max="10290" width="9.7109375" style="613" customWidth="1"/>
    <col min="10291" max="10293" width="0" style="613" hidden="1" customWidth="1"/>
    <col min="10294" max="10294" width="1.5703125" style="613" customWidth="1"/>
    <col min="10295" max="10508" width="9.140625" style="613"/>
    <col min="10509" max="10509" width="2.7109375" style="613" customWidth="1"/>
    <col min="10510" max="10510" width="38.140625" style="613" customWidth="1"/>
    <col min="10511" max="10511" width="9.5703125" style="613" customWidth="1"/>
    <col min="10512" max="10512" width="9.7109375" style="613" customWidth="1"/>
    <col min="10513" max="10513" width="1.5703125" style="613" customWidth="1"/>
    <col min="10514" max="10516" width="0" style="613" hidden="1" customWidth="1"/>
    <col min="10517" max="10525" width="8.5703125" style="613" customWidth="1"/>
    <col min="10526" max="10540" width="0" style="613" hidden="1" customWidth="1"/>
    <col min="10541" max="10541" width="1.5703125" style="613" customWidth="1"/>
    <col min="10542" max="10542" width="9.7109375" style="613" customWidth="1"/>
    <col min="10543" max="10543" width="9.28515625" style="613" customWidth="1"/>
    <col min="10544" max="10546" width="9.7109375" style="613" customWidth="1"/>
    <col min="10547" max="10549" width="0" style="613" hidden="1" customWidth="1"/>
    <col min="10550" max="10550" width="1.5703125" style="613" customWidth="1"/>
    <col min="10551" max="10764" width="9.140625" style="613"/>
    <col min="10765" max="10765" width="2.7109375" style="613" customWidth="1"/>
    <col min="10766" max="10766" width="38.140625" style="613" customWidth="1"/>
    <col min="10767" max="10767" width="9.5703125" style="613" customWidth="1"/>
    <col min="10768" max="10768" width="9.7109375" style="613" customWidth="1"/>
    <col min="10769" max="10769" width="1.5703125" style="613" customWidth="1"/>
    <col min="10770" max="10772" width="0" style="613" hidden="1" customWidth="1"/>
    <col min="10773" max="10781" width="8.5703125" style="613" customWidth="1"/>
    <col min="10782" max="10796" width="0" style="613" hidden="1" customWidth="1"/>
    <col min="10797" max="10797" width="1.5703125" style="613" customWidth="1"/>
    <col min="10798" max="10798" width="9.7109375" style="613" customWidth="1"/>
    <col min="10799" max="10799" width="9.28515625" style="613" customWidth="1"/>
    <col min="10800" max="10802" width="9.7109375" style="613" customWidth="1"/>
    <col min="10803" max="10805" width="0" style="613" hidden="1" customWidth="1"/>
    <col min="10806" max="10806" width="1.5703125" style="613" customWidth="1"/>
    <col min="10807" max="11020" width="9.140625" style="613"/>
    <col min="11021" max="11021" width="2.7109375" style="613" customWidth="1"/>
    <col min="11022" max="11022" width="38.140625" style="613" customWidth="1"/>
    <col min="11023" max="11023" width="9.5703125" style="613" customWidth="1"/>
    <col min="11024" max="11024" width="9.7109375" style="613" customWidth="1"/>
    <col min="11025" max="11025" width="1.5703125" style="613" customWidth="1"/>
    <col min="11026" max="11028" width="0" style="613" hidden="1" customWidth="1"/>
    <col min="11029" max="11037" width="8.5703125" style="613" customWidth="1"/>
    <col min="11038" max="11052" width="0" style="613" hidden="1" customWidth="1"/>
    <col min="11053" max="11053" width="1.5703125" style="613" customWidth="1"/>
    <col min="11054" max="11054" width="9.7109375" style="613" customWidth="1"/>
    <col min="11055" max="11055" width="9.28515625" style="613" customWidth="1"/>
    <col min="11056" max="11058" width="9.7109375" style="613" customWidth="1"/>
    <col min="11059" max="11061" width="0" style="613" hidden="1" customWidth="1"/>
    <col min="11062" max="11062" width="1.5703125" style="613" customWidth="1"/>
    <col min="11063" max="11276" width="9.140625" style="613"/>
    <col min="11277" max="11277" width="2.7109375" style="613" customWidth="1"/>
    <col min="11278" max="11278" width="38.140625" style="613" customWidth="1"/>
    <col min="11279" max="11279" width="9.5703125" style="613" customWidth="1"/>
    <col min="11280" max="11280" width="9.7109375" style="613" customWidth="1"/>
    <col min="11281" max="11281" width="1.5703125" style="613" customWidth="1"/>
    <col min="11282" max="11284" width="0" style="613" hidden="1" customWidth="1"/>
    <col min="11285" max="11293" width="8.5703125" style="613" customWidth="1"/>
    <col min="11294" max="11308" width="0" style="613" hidden="1" customWidth="1"/>
    <col min="11309" max="11309" width="1.5703125" style="613" customWidth="1"/>
    <col min="11310" max="11310" width="9.7109375" style="613" customWidth="1"/>
    <col min="11311" max="11311" width="9.28515625" style="613" customWidth="1"/>
    <col min="11312" max="11314" width="9.7109375" style="613" customWidth="1"/>
    <col min="11315" max="11317" width="0" style="613" hidden="1" customWidth="1"/>
    <col min="11318" max="11318" width="1.5703125" style="613" customWidth="1"/>
    <col min="11319" max="11532" width="9.140625" style="613"/>
    <col min="11533" max="11533" width="2.7109375" style="613" customWidth="1"/>
    <col min="11534" max="11534" width="38.140625" style="613" customWidth="1"/>
    <col min="11535" max="11535" width="9.5703125" style="613" customWidth="1"/>
    <col min="11536" max="11536" width="9.7109375" style="613" customWidth="1"/>
    <col min="11537" max="11537" width="1.5703125" style="613" customWidth="1"/>
    <col min="11538" max="11540" width="0" style="613" hidden="1" customWidth="1"/>
    <col min="11541" max="11549" width="8.5703125" style="613" customWidth="1"/>
    <col min="11550" max="11564" width="0" style="613" hidden="1" customWidth="1"/>
    <col min="11565" max="11565" width="1.5703125" style="613" customWidth="1"/>
    <col min="11566" max="11566" width="9.7109375" style="613" customWidth="1"/>
    <col min="11567" max="11567" width="9.28515625" style="613" customWidth="1"/>
    <col min="11568" max="11570" width="9.7109375" style="613" customWidth="1"/>
    <col min="11571" max="11573" width="0" style="613" hidden="1" customWidth="1"/>
    <col min="11574" max="11574" width="1.5703125" style="613" customWidth="1"/>
    <col min="11575" max="11788" width="9.140625" style="613"/>
    <col min="11789" max="11789" width="2.7109375" style="613" customWidth="1"/>
    <col min="11790" max="11790" width="38.140625" style="613" customWidth="1"/>
    <col min="11791" max="11791" width="9.5703125" style="613" customWidth="1"/>
    <col min="11792" max="11792" width="9.7109375" style="613" customWidth="1"/>
    <col min="11793" max="11793" width="1.5703125" style="613" customWidth="1"/>
    <col min="11794" max="11796" width="0" style="613" hidden="1" customWidth="1"/>
    <col min="11797" max="11805" width="8.5703125" style="613" customWidth="1"/>
    <col min="11806" max="11820" width="0" style="613" hidden="1" customWidth="1"/>
    <col min="11821" max="11821" width="1.5703125" style="613" customWidth="1"/>
    <col min="11822" max="11822" width="9.7109375" style="613" customWidth="1"/>
    <col min="11823" max="11823" width="9.28515625" style="613" customWidth="1"/>
    <col min="11824" max="11826" width="9.7109375" style="613" customWidth="1"/>
    <col min="11827" max="11829" width="0" style="613" hidden="1" customWidth="1"/>
    <col min="11830" max="11830" width="1.5703125" style="613" customWidth="1"/>
    <col min="11831" max="12044" width="9.140625" style="613"/>
    <col min="12045" max="12045" width="2.7109375" style="613" customWidth="1"/>
    <col min="12046" max="12046" width="38.140625" style="613" customWidth="1"/>
    <col min="12047" max="12047" width="9.5703125" style="613" customWidth="1"/>
    <col min="12048" max="12048" width="9.7109375" style="613" customWidth="1"/>
    <col min="12049" max="12049" width="1.5703125" style="613" customWidth="1"/>
    <col min="12050" max="12052" width="0" style="613" hidden="1" customWidth="1"/>
    <col min="12053" max="12061" width="8.5703125" style="613" customWidth="1"/>
    <col min="12062" max="12076" width="0" style="613" hidden="1" customWidth="1"/>
    <col min="12077" max="12077" width="1.5703125" style="613" customWidth="1"/>
    <col min="12078" max="12078" width="9.7109375" style="613" customWidth="1"/>
    <col min="12079" max="12079" width="9.28515625" style="613" customWidth="1"/>
    <col min="12080" max="12082" width="9.7109375" style="613" customWidth="1"/>
    <col min="12083" max="12085" width="0" style="613" hidden="1" customWidth="1"/>
    <col min="12086" max="12086" width="1.5703125" style="613" customWidth="1"/>
    <col min="12087" max="12300" width="9.140625" style="613"/>
    <col min="12301" max="12301" width="2.7109375" style="613" customWidth="1"/>
    <col min="12302" max="12302" width="38.140625" style="613" customWidth="1"/>
    <col min="12303" max="12303" width="9.5703125" style="613" customWidth="1"/>
    <col min="12304" max="12304" width="9.7109375" style="613" customWidth="1"/>
    <col min="12305" max="12305" width="1.5703125" style="613" customWidth="1"/>
    <col min="12306" max="12308" width="0" style="613" hidden="1" customWidth="1"/>
    <col min="12309" max="12317" width="8.5703125" style="613" customWidth="1"/>
    <col min="12318" max="12332" width="0" style="613" hidden="1" customWidth="1"/>
    <col min="12333" max="12333" width="1.5703125" style="613" customWidth="1"/>
    <col min="12334" max="12334" width="9.7109375" style="613" customWidth="1"/>
    <col min="12335" max="12335" width="9.28515625" style="613" customWidth="1"/>
    <col min="12336" max="12338" width="9.7109375" style="613" customWidth="1"/>
    <col min="12339" max="12341" width="0" style="613" hidden="1" customWidth="1"/>
    <col min="12342" max="12342" width="1.5703125" style="613" customWidth="1"/>
    <col min="12343" max="12556" width="9.140625" style="613"/>
    <col min="12557" max="12557" width="2.7109375" style="613" customWidth="1"/>
    <col min="12558" max="12558" width="38.140625" style="613" customWidth="1"/>
    <col min="12559" max="12559" width="9.5703125" style="613" customWidth="1"/>
    <col min="12560" max="12560" width="9.7109375" style="613" customWidth="1"/>
    <col min="12561" max="12561" width="1.5703125" style="613" customWidth="1"/>
    <col min="12562" max="12564" width="0" style="613" hidden="1" customWidth="1"/>
    <col min="12565" max="12573" width="8.5703125" style="613" customWidth="1"/>
    <col min="12574" max="12588" width="0" style="613" hidden="1" customWidth="1"/>
    <col min="12589" max="12589" width="1.5703125" style="613" customWidth="1"/>
    <col min="12590" max="12590" width="9.7109375" style="613" customWidth="1"/>
    <col min="12591" max="12591" width="9.28515625" style="613" customWidth="1"/>
    <col min="12592" max="12594" width="9.7109375" style="613" customWidth="1"/>
    <col min="12595" max="12597" width="0" style="613" hidden="1" customWidth="1"/>
    <col min="12598" max="12598" width="1.5703125" style="613" customWidth="1"/>
    <col min="12599" max="12812" width="9.140625" style="613"/>
    <col min="12813" max="12813" width="2.7109375" style="613" customWidth="1"/>
    <col min="12814" max="12814" width="38.140625" style="613" customWidth="1"/>
    <col min="12815" max="12815" width="9.5703125" style="613" customWidth="1"/>
    <col min="12816" max="12816" width="9.7109375" style="613" customWidth="1"/>
    <col min="12817" max="12817" width="1.5703125" style="613" customWidth="1"/>
    <col min="12818" max="12820" width="0" style="613" hidden="1" customWidth="1"/>
    <col min="12821" max="12829" width="8.5703125" style="613" customWidth="1"/>
    <col min="12830" max="12844" width="0" style="613" hidden="1" customWidth="1"/>
    <col min="12845" max="12845" width="1.5703125" style="613" customWidth="1"/>
    <col min="12846" max="12846" width="9.7109375" style="613" customWidth="1"/>
    <col min="12847" max="12847" width="9.28515625" style="613" customWidth="1"/>
    <col min="12848" max="12850" width="9.7109375" style="613" customWidth="1"/>
    <col min="12851" max="12853" width="0" style="613" hidden="1" customWidth="1"/>
    <col min="12854" max="12854" width="1.5703125" style="613" customWidth="1"/>
    <col min="12855" max="13068" width="9.140625" style="613"/>
    <col min="13069" max="13069" width="2.7109375" style="613" customWidth="1"/>
    <col min="13070" max="13070" width="38.140625" style="613" customWidth="1"/>
    <col min="13071" max="13071" width="9.5703125" style="613" customWidth="1"/>
    <col min="13072" max="13072" width="9.7109375" style="613" customWidth="1"/>
    <col min="13073" max="13073" width="1.5703125" style="613" customWidth="1"/>
    <col min="13074" max="13076" width="0" style="613" hidden="1" customWidth="1"/>
    <col min="13077" max="13085" width="8.5703125" style="613" customWidth="1"/>
    <col min="13086" max="13100" width="0" style="613" hidden="1" customWidth="1"/>
    <col min="13101" max="13101" width="1.5703125" style="613" customWidth="1"/>
    <col min="13102" max="13102" width="9.7109375" style="613" customWidth="1"/>
    <col min="13103" max="13103" width="9.28515625" style="613" customWidth="1"/>
    <col min="13104" max="13106" width="9.7109375" style="613" customWidth="1"/>
    <col min="13107" max="13109" width="0" style="613" hidden="1" customWidth="1"/>
    <col min="13110" max="13110" width="1.5703125" style="613" customWidth="1"/>
    <col min="13111" max="13324" width="9.140625" style="613"/>
    <col min="13325" max="13325" width="2.7109375" style="613" customWidth="1"/>
    <col min="13326" max="13326" width="38.140625" style="613" customWidth="1"/>
    <col min="13327" max="13327" width="9.5703125" style="613" customWidth="1"/>
    <col min="13328" max="13328" width="9.7109375" style="613" customWidth="1"/>
    <col min="13329" max="13329" width="1.5703125" style="613" customWidth="1"/>
    <col min="13330" max="13332" width="0" style="613" hidden="1" customWidth="1"/>
    <col min="13333" max="13341" width="8.5703125" style="613" customWidth="1"/>
    <col min="13342" max="13356" width="0" style="613" hidden="1" customWidth="1"/>
    <col min="13357" max="13357" width="1.5703125" style="613" customWidth="1"/>
    <col min="13358" max="13358" width="9.7109375" style="613" customWidth="1"/>
    <col min="13359" max="13359" width="9.28515625" style="613" customWidth="1"/>
    <col min="13360" max="13362" width="9.7109375" style="613" customWidth="1"/>
    <col min="13363" max="13365" width="0" style="613" hidden="1" customWidth="1"/>
    <col min="13366" max="13366" width="1.5703125" style="613" customWidth="1"/>
    <col min="13367" max="13580" width="9.140625" style="613"/>
    <col min="13581" max="13581" width="2.7109375" style="613" customWidth="1"/>
    <col min="13582" max="13582" width="38.140625" style="613" customWidth="1"/>
    <col min="13583" max="13583" width="9.5703125" style="613" customWidth="1"/>
    <col min="13584" max="13584" width="9.7109375" style="613" customWidth="1"/>
    <col min="13585" max="13585" width="1.5703125" style="613" customWidth="1"/>
    <col min="13586" max="13588" width="0" style="613" hidden="1" customWidth="1"/>
    <col min="13589" max="13597" width="8.5703125" style="613" customWidth="1"/>
    <col min="13598" max="13612" width="0" style="613" hidden="1" customWidth="1"/>
    <col min="13613" max="13613" width="1.5703125" style="613" customWidth="1"/>
    <col min="13614" max="13614" width="9.7109375" style="613" customWidth="1"/>
    <col min="13615" max="13615" width="9.28515625" style="613" customWidth="1"/>
    <col min="13616" max="13618" width="9.7109375" style="613" customWidth="1"/>
    <col min="13619" max="13621" width="0" style="613" hidden="1" customWidth="1"/>
    <col min="13622" max="13622" width="1.5703125" style="613" customWidth="1"/>
    <col min="13623" max="13836" width="9.140625" style="613"/>
    <col min="13837" max="13837" width="2.7109375" style="613" customWidth="1"/>
    <col min="13838" max="13838" width="38.140625" style="613" customWidth="1"/>
    <col min="13839" max="13839" width="9.5703125" style="613" customWidth="1"/>
    <col min="13840" max="13840" width="9.7109375" style="613" customWidth="1"/>
    <col min="13841" max="13841" width="1.5703125" style="613" customWidth="1"/>
    <col min="13842" max="13844" width="0" style="613" hidden="1" customWidth="1"/>
    <col min="13845" max="13853" width="8.5703125" style="613" customWidth="1"/>
    <col min="13854" max="13868" width="0" style="613" hidden="1" customWidth="1"/>
    <col min="13869" max="13869" width="1.5703125" style="613" customWidth="1"/>
    <col min="13870" max="13870" width="9.7109375" style="613" customWidth="1"/>
    <col min="13871" max="13871" width="9.28515625" style="613" customWidth="1"/>
    <col min="13872" max="13874" width="9.7109375" style="613" customWidth="1"/>
    <col min="13875" max="13877" width="0" style="613" hidden="1" customWidth="1"/>
    <col min="13878" max="13878" width="1.5703125" style="613" customWidth="1"/>
    <col min="13879" max="14092" width="9.140625" style="613"/>
    <col min="14093" max="14093" width="2.7109375" style="613" customWidth="1"/>
    <col min="14094" max="14094" width="38.140625" style="613" customWidth="1"/>
    <col min="14095" max="14095" width="9.5703125" style="613" customWidth="1"/>
    <col min="14096" max="14096" width="9.7109375" style="613" customWidth="1"/>
    <col min="14097" max="14097" width="1.5703125" style="613" customWidth="1"/>
    <col min="14098" max="14100" width="0" style="613" hidden="1" customWidth="1"/>
    <col min="14101" max="14109" width="8.5703125" style="613" customWidth="1"/>
    <col min="14110" max="14124" width="0" style="613" hidden="1" customWidth="1"/>
    <col min="14125" max="14125" width="1.5703125" style="613" customWidth="1"/>
    <col min="14126" max="14126" width="9.7109375" style="613" customWidth="1"/>
    <col min="14127" max="14127" width="9.28515625" style="613" customWidth="1"/>
    <col min="14128" max="14130" width="9.7109375" style="613" customWidth="1"/>
    <col min="14131" max="14133" width="0" style="613" hidden="1" customWidth="1"/>
    <col min="14134" max="14134" width="1.5703125" style="613" customWidth="1"/>
    <col min="14135" max="14348" width="9.140625" style="613"/>
    <col min="14349" max="14349" width="2.7109375" style="613" customWidth="1"/>
    <col min="14350" max="14350" width="38.140625" style="613" customWidth="1"/>
    <col min="14351" max="14351" width="9.5703125" style="613" customWidth="1"/>
    <col min="14352" max="14352" width="9.7109375" style="613" customWidth="1"/>
    <col min="14353" max="14353" width="1.5703125" style="613" customWidth="1"/>
    <col min="14354" max="14356" width="0" style="613" hidden="1" customWidth="1"/>
    <col min="14357" max="14365" width="8.5703125" style="613" customWidth="1"/>
    <col min="14366" max="14380" width="0" style="613" hidden="1" customWidth="1"/>
    <col min="14381" max="14381" width="1.5703125" style="613" customWidth="1"/>
    <col min="14382" max="14382" width="9.7109375" style="613" customWidth="1"/>
    <col min="14383" max="14383" width="9.28515625" style="613" customWidth="1"/>
    <col min="14384" max="14386" width="9.7109375" style="613" customWidth="1"/>
    <col min="14387" max="14389" width="0" style="613" hidden="1" customWidth="1"/>
    <col min="14390" max="14390" width="1.5703125" style="613" customWidth="1"/>
    <col min="14391" max="14604" width="9.140625" style="613"/>
    <col min="14605" max="14605" width="2.7109375" style="613" customWidth="1"/>
    <col min="14606" max="14606" width="38.140625" style="613" customWidth="1"/>
    <col min="14607" max="14607" width="9.5703125" style="613" customWidth="1"/>
    <col min="14608" max="14608" width="9.7109375" style="613" customWidth="1"/>
    <col min="14609" max="14609" width="1.5703125" style="613" customWidth="1"/>
    <col min="14610" max="14612" width="0" style="613" hidden="1" customWidth="1"/>
    <col min="14613" max="14621" width="8.5703125" style="613" customWidth="1"/>
    <col min="14622" max="14636" width="0" style="613" hidden="1" customWidth="1"/>
    <col min="14637" max="14637" width="1.5703125" style="613" customWidth="1"/>
    <col min="14638" max="14638" width="9.7109375" style="613" customWidth="1"/>
    <col min="14639" max="14639" width="9.28515625" style="613" customWidth="1"/>
    <col min="14640" max="14642" width="9.7109375" style="613" customWidth="1"/>
    <col min="14643" max="14645" width="0" style="613" hidden="1" customWidth="1"/>
    <col min="14646" max="14646" width="1.5703125" style="613" customWidth="1"/>
    <col min="14647" max="14860" width="9.140625" style="613"/>
    <col min="14861" max="14861" width="2.7109375" style="613" customWidth="1"/>
    <col min="14862" max="14862" width="38.140625" style="613" customWidth="1"/>
    <col min="14863" max="14863" width="9.5703125" style="613" customWidth="1"/>
    <col min="14864" max="14864" width="9.7109375" style="613" customWidth="1"/>
    <col min="14865" max="14865" width="1.5703125" style="613" customWidth="1"/>
    <col min="14866" max="14868" width="0" style="613" hidden="1" customWidth="1"/>
    <col min="14869" max="14877" width="8.5703125" style="613" customWidth="1"/>
    <col min="14878" max="14892" width="0" style="613" hidden="1" customWidth="1"/>
    <col min="14893" max="14893" width="1.5703125" style="613" customWidth="1"/>
    <col min="14894" max="14894" width="9.7109375" style="613" customWidth="1"/>
    <col min="14895" max="14895" width="9.28515625" style="613" customWidth="1"/>
    <col min="14896" max="14898" width="9.7109375" style="613" customWidth="1"/>
    <col min="14899" max="14901" width="0" style="613" hidden="1" customWidth="1"/>
    <col min="14902" max="14902" width="1.5703125" style="613" customWidth="1"/>
    <col min="14903" max="15116" width="9.140625" style="613"/>
    <col min="15117" max="15117" width="2.7109375" style="613" customWidth="1"/>
    <col min="15118" max="15118" width="38.140625" style="613" customWidth="1"/>
    <col min="15119" max="15119" width="9.5703125" style="613" customWidth="1"/>
    <col min="15120" max="15120" width="9.7109375" style="613" customWidth="1"/>
    <col min="15121" max="15121" width="1.5703125" style="613" customWidth="1"/>
    <col min="15122" max="15124" width="0" style="613" hidden="1" customWidth="1"/>
    <col min="15125" max="15133" width="8.5703125" style="613" customWidth="1"/>
    <col min="15134" max="15148" width="0" style="613" hidden="1" customWidth="1"/>
    <col min="15149" max="15149" width="1.5703125" style="613" customWidth="1"/>
    <col min="15150" max="15150" width="9.7109375" style="613" customWidth="1"/>
    <col min="15151" max="15151" width="9.28515625" style="613" customWidth="1"/>
    <col min="15152" max="15154" width="9.7109375" style="613" customWidth="1"/>
    <col min="15155" max="15157" width="0" style="613" hidden="1" customWidth="1"/>
    <col min="15158" max="15158" width="1.5703125" style="613" customWidth="1"/>
    <col min="15159" max="15372" width="9.140625" style="613"/>
    <col min="15373" max="15373" width="2.7109375" style="613" customWidth="1"/>
    <col min="15374" max="15374" width="38.140625" style="613" customWidth="1"/>
    <col min="15375" max="15375" width="9.5703125" style="613" customWidth="1"/>
    <col min="15376" max="15376" width="9.7109375" style="613" customWidth="1"/>
    <col min="15377" max="15377" width="1.5703125" style="613" customWidth="1"/>
    <col min="15378" max="15380" width="0" style="613" hidden="1" customWidth="1"/>
    <col min="15381" max="15389" width="8.5703125" style="613" customWidth="1"/>
    <col min="15390" max="15404" width="0" style="613" hidden="1" customWidth="1"/>
    <col min="15405" max="15405" width="1.5703125" style="613" customWidth="1"/>
    <col min="15406" max="15406" width="9.7109375" style="613" customWidth="1"/>
    <col min="15407" max="15407" width="9.28515625" style="613" customWidth="1"/>
    <col min="15408" max="15410" width="9.7109375" style="613" customWidth="1"/>
    <col min="15411" max="15413" width="0" style="613" hidden="1" customWidth="1"/>
    <col min="15414" max="15414" width="1.5703125" style="613" customWidth="1"/>
    <col min="15415" max="15628" width="9.140625" style="613"/>
    <col min="15629" max="15629" width="2.7109375" style="613" customWidth="1"/>
    <col min="15630" max="15630" width="38.140625" style="613" customWidth="1"/>
    <col min="15631" max="15631" width="9.5703125" style="613" customWidth="1"/>
    <col min="15632" max="15632" width="9.7109375" style="613" customWidth="1"/>
    <col min="15633" max="15633" width="1.5703125" style="613" customWidth="1"/>
    <col min="15634" max="15636" width="0" style="613" hidden="1" customWidth="1"/>
    <col min="15637" max="15645" width="8.5703125" style="613" customWidth="1"/>
    <col min="15646" max="15660" width="0" style="613" hidden="1" customWidth="1"/>
    <col min="15661" max="15661" width="1.5703125" style="613" customWidth="1"/>
    <col min="15662" max="15662" width="9.7109375" style="613" customWidth="1"/>
    <col min="15663" max="15663" width="9.28515625" style="613" customWidth="1"/>
    <col min="15664" max="15666" width="9.7109375" style="613" customWidth="1"/>
    <col min="15667" max="15669" width="0" style="613" hidden="1" customWidth="1"/>
    <col min="15670" max="15670" width="1.5703125" style="613" customWidth="1"/>
    <col min="15671" max="15884" width="9.140625" style="613"/>
    <col min="15885" max="15885" width="2.7109375" style="613" customWidth="1"/>
    <col min="15886" max="15886" width="38.140625" style="613" customWidth="1"/>
    <col min="15887" max="15887" width="9.5703125" style="613" customWidth="1"/>
    <col min="15888" max="15888" width="9.7109375" style="613" customWidth="1"/>
    <col min="15889" max="15889" width="1.5703125" style="613" customWidth="1"/>
    <col min="15890" max="15892" width="0" style="613" hidden="1" customWidth="1"/>
    <col min="15893" max="15901" width="8.5703125" style="613" customWidth="1"/>
    <col min="15902" max="15916" width="0" style="613" hidden="1" customWidth="1"/>
    <col min="15917" max="15917" width="1.5703125" style="613" customWidth="1"/>
    <col min="15918" max="15918" width="9.7109375" style="613" customWidth="1"/>
    <col min="15919" max="15919" width="9.28515625" style="613" customWidth="1"/>
    <col min="15920" max="15922" width="9.7109375" style="613" customWidth="1"/>
    <col min="15923" max="15925" width="0" style="613" hidden="1" customWidth="1"/>
    <col min="15926" max="15926" width="1.5703125" style="613" customWidth="1"/>
    <col min="15927" max="16140" width="9.140625" style="613"/>
    <col min="16141" max="16141" width="2.7109375" style="613" customWidth="1"/>
    <col min="16142" max="16142" width="38.140625" style="613" customWidth="1"/>
    <col min="16143" max="16143" width="9.5703125" style="613" customWidth="1"/>
    <col min="16144" max="16144" width="9.7109375" style="613" customWidth="1"/>
    <col min="16145" max="16145" width="1.5703125" style="613" customWidth="1"/>
    <col min="16146" max="16148" width="0" style="613" hidden="1" customWidth="1"/>
    <col min="16149" max="16157" width="8.5703125" style="613" customWidth="1"/>
    <col min="16158" max="16172" width="0" style="613" hidden="1" customWidth="1"/>
    <col min="16173" max="16173" width="1.5703125" style="613" customWidth="1"/>
    <col min="16174" max="16174" width="9.7109375" style="613" customWidth="1"/>
    <col min="16175" max="16175" width="9.28515625" style="613" customWidth="1"/>
    <col min="16176" max="16178" width="9.7109375" style="613" customWidth="1"/>
    <col min="16179" max="16181" width="0" style="613" hidden="1" customWidth="1"/>
    <col min="16182" max="16182" width="1.5703125" style="613" customWidth="1"/>
    <col min="16183" max="16384" width="9.140625" style="613"/>
  </cols>
  <sheetData>
    <row r="5" spans="1:61" x14ac:dyDescent="0.2">
      <c r="A5" s="3"/>
      <c r="B5" s="3"/>
      <c r="C5" s="3"/>
      <c r="D5" s="3"/>
      <c r="AC5" s="3"/>
      <c r="AD5" s="3"/>
      <c r="AE5" s="3"/>
    </row>
    <row r="6" spans="1:61" ht="18" customHeight="1" x14ac:dyDescent="0.2">
      <c r="A6" s="132" t="s">
        <v>269</v>
      </c>
      <c r="B6" s="3"/>
      <c r="C6" s="3"/>
      <c r="D6" s="3"/>
      <c r="F6" s="523"/>
      <c r="G6" s="523"/>
      <c r="J6" s="523"/>
      <c r="K6" s="523"/>
      <c r="N6" s="523"/>
      <c r="O6" s="523"/>
      <c r="AC6" s="3"/>
      <c r="AD6" s="3"/>
      <c r="AE6" s="3"/>
      <c r="AM6" s="523"/>
      <c r="AN6" s="523"/>
    </row>
    <row r="7" spans="1:61" ht="18" customHeight="1" x14ac:dyDescent="0.2">
      <c r="A7" s="132" t="s">
        <v>223</v>
      </c>
      <c r="B7" s="3"/>
      <c r="C7" s="3"/>
      <c r="D7" s="3"/>
      <c r="AC7" s="3"/>
      <c r="AD7" s="3"/>
      <c r="AE7" s="3"/>
    </row>
    <row r="8" spans="1:61" s="721" customFormat="1" ht="14.25" x14ac:dyDescent="0.2">
      <c r="A8" s="760" t="s">
        <v>353</v>
      </c>
      <c r="B8" s="722"/>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O8" s="106"/>
      <c r="AP8" s="106"/>
      <c r="AR8" s="106"/>
      <c r="AS8" s="106"/>
      <c r="AT8" s="106"/>
    </row>
    <row r="9" spans="1:61" ht="9.75" customHeight="1" x14ac:dyDescent="0.2">
      <c r="A9" s="2"/>
      <c r="B9" s="2"/>
      <c r="C9" s="2"/>
      <c r="D9" s="2"/>
      <c r="E9" s="2"/>
      <c r="F9" s="2"/>
      <c r="G9" s="2"/>
      <c r="H9" s="2"/>
      <c r="I9" s="2"/>
      <c r="J9" s="2"/>
      <c r="K9" s="2"/>
      <c r="L9" s="2"/>
      <c r="M9" s="2"/>
      <c r="N9" s="424"/>
      <c r="O9" s="2"/>
      <c r="P9" s="2"/>
      <c r="Q9" s="2"/>
      <c r="R9" s="424"/>
      <c r="S9" s="2"/>
      <c r="T9" s="424"/>
      <c r="U9" s="2"/>
      <c r="V9" s="424"/>
      <c r="W9" s="2"/>
      <c r="X9" s="424"/>
      <c r="Y9" s="2"/>
      <c r="Z9" s="424"/>
      <c r="AA9" s="2"/>
      <c r="AB9" s="2"/>
      <c r="AC9" s="3"/>
      <c r="AD9" s="3"/>
      <c r="AE9" s="3"/>
      <c r="AO9" s="552"/>
      <c r="AP9" s="552"/>
      <c r="AR9" s="552"/>
      <c r="AS9" s="552"/>
      <c r="AT9" s="552"/>
      <c r="AY9" s="3"/>
      <c r="AZ9" s="3"/>
      <c r="BA9" s="3"/>
    </row>
    <row r="10" spans="1:61" x14ac:dyDescent="0.2">
      <c r="A10" s="6" t="s">
        <v>1</v>
      </c>
      <c r="B10" s="7"/>
      <c r="C10" s="1479" t="s">
        <v>360</v>
      </c>
      <c r="D10" s="1480"/>
      <c r="E10" s="256"/>
      <c r="F10" s="410"/>
      <c r="G10" s="410"/>
      <c r="H10" s="410"/>
      <c r="I10" s="19"/>
      <c r="J10" s="410"/>
      <c r="K10" s="410"/>
      <c r="L10" s="410"/>
      <c r="M10" s="19"/>
      <c r="N10" s="17"/>
      <c r="O10" s="18"/>
      <c r="P10" s="410"/>
      <c r="Q10" s="19"/>
      <c r="R10" s="17"/>
      <c r="S10" s="18"/>
      <c r="T10" s="410"/>
      <c r="U10" s="19"/>
      <c r="V10" s="722"/>
      <c r="W10" s="18"/>
      <c r="X10" s="2"/>
      <c r="Y10" s="19"/>
      <c r="Z10" s="18"/>
      <c r="AA10" s="722"/>
      <c r="AB10" s="410"/>
      <c r="AC10" s="19"/>
      <c r="AD10" s="18"/>
      <c r="AE10" s="18"/>
      <c r="AF10" s="18"/>
      <c r="AG10" s="18"/>
      <c r="AH10" s="22"/>
      <c r="AI10" s="19"/>
      <c r="AJ10" s="19"/>
      <c r="AK10" s="19"/>
      <c r="AL10" s="24"/>
      <c r="AM10" s="661" t="s">
        <v>340</v>
      </c>
      <c r="AN10" s="647"/>
      <c r="AO10" s="647" t="s">
        <v>320</v>
      </c>
      <c r="AP10" s="648"/>
      <c r="AQ10" s="15"/>
      <c r="AR10" s="875"/>
      <c r="AS10" s="694"/>
      <c r="AT10" s="666"/>
      <c r="AU10" s="87"/>
      <c r="AV10" s="87"/>
      <c r="AW10" s="17"/>
      <c r="AX10" s="22"/>
      <c r="AY10" s="87"/>
      <c r="AZ10" s="87"/>
      <c r="BA10" s="694"/>
      <c r="BB10" s="25"/>
    </row>
    <row r="11" spans="1:61" ht="13.5" x14ac:dyDescent="0.2">
      <c r="A11" s="6" t="s">
        <v>2</v>
      </c>
      <c r="B11" s="7"/>
      <c r="C11" s="1481" t="s">
        <v>39</v>
      </c>
      <c r="D11" s="1482"/>
      <c r="E11" s="530"/>
      <c r="F11" s="21" t="s">
        <v>363</v>
      </c>
      <c r="G11" s="21" t="s">
        <v>362</v>
      </c>
      <c r="H11" s="21" t="s">
        <v>361</v>
      </c>
      <c r="I11" s="14" t="s">
        <v>359</v>
      </c>
      <c r="J11" s="21" t="s">
        <v>302</v>
      </c>
      <c r="K11" s="21" t="s">
        <v>303</v>
      </c>
      <c r="L11" s="21" t="s">
        <v>304</v>
      </c>
      <c r="M11" s="14" t="s">
        <v>305</v>
      </c>
      <c r="N11" s="20" t="s">
        <v>231</v>
      </c>
      <c r="O11" s="21" t="s">
        <v>232</v>
      </c>
      <c r="P11" s="21" t="s">
        <v>233</v>
      </c>
      <c r="Q11" s="14" t="s">
        <v>230</v>
      </c>
      <c r="R11" s="20" t="s">
        <v>194</v>
      </c>
      <c r="S11" s="21" t="s">
        <v>195</v>
      </c>
      <c r="T11" s="21" t="s">
        <v>196</v>
      </c>
      <c r="U11" s="14" t="s">
        <v>197</v>
      </c>
      <c r="V11" s="21" t="s">
        <v>126</v>
      </c>
      <c r="W11" s="21" t="s">
        <v>125</v>
      </c>
      <c r="X11" s="21" t="s">
        <v>124</v>
      </c>
      <c r="Y11" s="14" t="s">
        <v>123</v>
      </c>
      <c r="Z11" s="21" t="s">
        <v>86</v>
      </c>
      <c r="AA11" s="21" t="s">
        <v>87</v>
      </c>
      <c r="AB11" s="21" t="s">
        <v>88</v>
      </c>
      <c r="AC11" s="14" t="s">
        <v>30</v>
      </c>
      <c r="AD11" s="21" t="s">
        <v>31</v>
      </c>
      <c r="AE11" s="21" t="s">
        <v>32</v>
      </c>
      <c r="AF11" s="21" t="s">
        <v>33</v>
      </c>
      <c r="AG11" s="21" t="s">
        <v>34</v>
      </c>
      <c r="AH11" s="23" t="s">
        <v>35</v>
      </c>
      <c r="AI11" s="14" t="s">
        <v>36</v>
      </c>
      <c r="AJ11" s="14" t="s">
        <v>37</v>
      </c>
      <c r="AK11" s="14" t="s">
        <v>38</v>
      </c>
      <c r="AL11" s="256"/>
      <c r="AM11" s="21" t="s">
        <v>303</v>
      </c>
      <c r="AN11" s="21" t="s">
        <v>232</v>
      </c>
      <c r="AO11" s="1503" t="s">
        <v>39</v>
      </c>
      <c r="AP11" s="1478"/>
      <c r="AQ11" s="668"/>
      <c r="AR11" s="20" t="s">
        <v>307</v>
      </c>
      <c r="AS11" s="20" t="s">
        <v>235</v>
      </c>
      <c r="AT11" s="20" t="s">
        <v>128</v>
      </c>
      <c r="AU11" s="20" t="s">
        <v>127</v>
      </c>
      <c r="AV11" s="20" t="s">
        <v>43</v>
      </c>
      <c r="AW11" s="20" t="s">
        <v>40</v>
      </c>
      <c r="AX11" s="23" t="s">
        <v>41</v>
      </c>
      <c r="AY11" s="23" t="s">
        <v>146</v>
      </c>
      <c r="AZ11" s="23" t="s">
        <v>147</v>
      </c>
      <c r="BA11" s="20" t="s">
        <v>148</v>
      </c>
      <c r="BB11" s="25"/>
      <c r="BC11" s="3"/>
      <c r="BD11" s="3"/>
      <c r="BG11" s="3"/>
      <c r="BH11" s="3"/>
      <c r="BI11" s="3"/>
    </row>
    <row r="12" spans="1:61" x14ac:dyDescent="0.2">
      <c r="A12" s="6"/>
      <c r="B12" s="7"/>
      <c r="C12" s="630"/>
      <c r="D12" s="669"/>
      <c r="E12" s="667"/>
      <c r="F12" s="633" t="s">
        <v>254</v>
      </c>
      <c r="G12" s="633" t="s">
        <v>254</v>
      </c>
      <c r="H12" s="633" t="s">
        <v>254</v>
      </c>
      <c r="I12" s="634" t="s">
        <v>254</v>
      </c>
      <c r="J12" s="633" t="s">
        <v>254</v>
      </c>
      <c r="K12" s="633" t="s">
        <v>254</v>
      </c>
      <c r="L12" s="633" t="s">
        <v>254</v>
      </c>
      <c r="M12" s="634" t="s">
        <v>254</v>
      </c>
      <c r="N12" s="632" t="s">
        <v>254</v>
      </c>
      <c r="O12" s="633" t="s">
        <v>254</v>
      </c>
      <c r="P12" s="633" t="s">
        <v>254</v>
      </c>
      <c r="Q12" s="634" t="s">
        <v>254</v>
      </c>
      <c r="R12" s="632" t="s">
        <v>254</v>
      </c>
      <c r="S12" s="633" t="s">
        <v>254</v>
      </c>
      <c r="T12" s="633" t="s">
        <v>254</v>
      </c>
      <c r="U12" s="634" t="s">
        <v>254</v>
      </c>
      <c r="V12" s="632" t="s">
        <v>255</v>
      </c>
      <c r="W12" s="633" t="s">
        <v>255</v>
      </c>
      <c r="X12" s="633" t="s">
        <v>255</v>
      </c>
      <c r="Y12" s="634" t="s">
        <v>255</v>
      </c>
      <c r="Z12" s="15"/>
      <c r="AA12" s="15"/>
      <c r="AB12" s="15"/>
      <c r="AC12" s="230"/>
      <c r="AD12" s="15"/>
      <c r="AE12" s="15"/>
      <c r="AF12" s="15"/>
      <c r="AG12" s="15"/>
      <c r="AH12" s="256"/>
      <c r="AI12" s="230"/>
      <c r="AJ12" s="230"/>
      <c r="AK12" s="230"/>
      <c r="AL12" s="256"/>
      <c r="AM12" s="633" t="s">
        <v>254</v>
      </c>
      <c r="AN12" s="633" t="s">
        <v>254</v>
      </c>
      <c r="AO12" s="649"/>
      <c r="AP12" s="650"/>
      <c r="AQ12" s="668"/>
      <c r="AR12" s="632" t="s">
        <v>254</v>
      </c>
      <c r="AS12" s="632" t="s">
        <v>254</v>
      </c>
      <c r="AT12" s="632" t="s">
        <v>254</v>
      </c>
      <c r="AU12" s="632" t="s">
        <v>255</v>
      </c>
      <c r="AV12" s="632" t="s">
        <v>255</v>
      </c>
      <c r="AW12" s="632" t="s">
        <v>255</v>
      </c>
      <c r="AX12" s="635" t="s">
        <v>255</v>
      </c>
      <c r="AY12" s="256"/>
      <c r="AZ12" s="256"/>
      <c r="BA12" s="229"/>
      <c r="BB12" s="25"/>
      <c r="BC12" s="3"/>
      <c r="BD12" s="3"/>
      <c r="BG12" s="3"/>
      <c r="BH12" s="3"/>
      <c r="BI12" s="3"/>
    </row>
    <row r="13" spans="1:61" ht="12.75" customHeight="1" x14ac:dyDescent="0.2">
      <c r="A13" s="615" t="s">
        <v>64</v>
      </c>
      <c r="B13" s="8"/>
      <c r="C13" s="162"/>
      <c r="D13" s="164"/>
      <c r="E13" s="88"/>
      <c r="F13" s="7"/>
      <c r="G13" s="7"/>
      <c r="H13" s="7"/>
      <c r="I13" s="412"/>
      <c r="J13" s="7"/>
      <c r="K13" s="7"/>
      <c r="L13" s="7"/>
      <c r="M13" s="412"/>
      <c r="N13" s="146"/>
      <c r="O13" s="7"/>
      <c r="P13" s="7"/>
      <c r="Q13" s="412"/>
      <c r="R13" s="146"/>
      <c r="S13" s="7"/>
      <c r="T13" s="7"/>
      <c r="U13" s="412"/>
      <c r="V13" s="146"/>
      <c r="W13" s="7"/>
      <c r="X13" s="7"/>
      <c r="Y13" s="412"/>
      <c r="Z13" s="146"/>
      <c r="AA13" s="7"/>
      <c r="AB13" s="7"/>
      <c r="AC13" s="412"/>
      <c r="AD13" s="192"/>
      <c r="AE13" s="146"/>
      <c r="AF13" s="146"/>
      <c r="AG13" s="164"/>
      <c r="AH13" s="191"/>
      <c r="AI13" s="164"/>
      <c r="AJ13" s="164"/>
      <c r="AK13" s="163"/>
      <c r="AL13" s="88"/>
      <c r="AM13" s="670"/>
      <c r="AN13" s="658"/>
      <c r="AO13" s="658"/>
      <c r="AP13" s="584"/>
      <c r="AQ13" s="82"/>
      <c r="AR13" s="572"/>
      <c r="AS13" s="572"/>
      <c r="AT13" s="572"/>
      <c r="AU13" s="88"/>
      <c r="AV13" s="88"/>
      <c r="AW13" s="162"/>
      <c r="AX13" s="88"/>
      <c r="AY13" s="307"/>
      <c r="AZ13" s="307"/>
      <c r="BA13" s="469"/>
      <c r="BB13" s="25"/>
      <c r="BC13" s="3"/>
      <c r="BD13" s="3"/>
      <c r="BG13" s="3"/>
    </row>
    <row r="14" spans="1:61" ht="12.75" customHeight="1" x14ac:dyDescent="0.2">
      <c r="A14" s="7"/>
      <c r="B14" s="82" t="s">
        <v>191</v>
      </c>
      <c r="C14" s="239" t="e">
        <f>I14-M14</f>
        <v>#REF!</v>
      </c>
      <c r="D14" s="742" t="e">
        <f>IF(OR((C14/M14)&gt;3,(C14/M14)&lt;-3),"n.m.",(C14/M14))</f>
        <v>#REF!</v>
      </c>
      <c r="E14" s="520"/>
      <c r="F14" s="745" t="e">
        <f>+#REF!</f>
        <v>#REF!</v>
      </c>
      <c r="G14" s="745" t="e">
        <f>+#REF!</f>
        <v>#REF!</v>
      </c>
      <c r="H14" s="745" t="e">
        <f>+#REF!</f>
        <v>#REF!</v>
      </c>
      <c r="I14" s="745" t="e">
        <f>+#REF!</f>
        <v>#REF!</v>
      </c>
      <c r="J14" s="732" t="e">
        <f>+#REF!</f>
        <v>#REF!</v>
      </c>
      <c r="K14" s="745" t="e">
        <f>+#REF!</f>
        <v>#REF!</v>
      </c>
      <c r="L14" s="745" t="e">
        <f>+#REF!</f>
        <v>#REF!</v>
      </c>
      <c r="M14" s="746" t="e">
        <f>+#REF!</f>
        <v>#REF!</v>
      </c>
      <c r="N14" s="687" t="e">
        <f>#REF!</f>
        <v>#REF!</v>
      </c>
      <c r="O14" s="687">
        <v>12748</v>
      </c>
      <c r="P14" s="231">
        <v>9338</v>
      </c>
      <c r="Q14" s="235">
        <v>9246</v>
      </c>
      <c r="R14" s="231">
        <v>34555</v>
      </c>
      <c r="S14" s="231">
        <v>23339</v>
      </c>
      <c r="T14" s="231">
        <v>18338</v>
      </c>
      <c r="U14" s="235">
        <v>16445</v>
      </c>
      <c r="V14" s="231">
        <v>21333</v>
      </c>
      <c r="W14" s="231">
        <v>26421</v>
      </c>
      <c r="X14" s="231">
        <v>13775</v>
      </c>
      <c r="Y14" s="235">
        <v>20925</v>
      </c>
      <c r="Z14" s="231"/>
      <c r="AA14" s="231"/>
      <c r="AB14" s="231"/>
      <c r="AC14" s="235"/>
      <c r="AD14" s="231"/>
      <c r="AE14" s="231"/>
      <c r="AF14" s="231"/>
      <c r="AG14" s="235"/>
      <c r="AH14" s="198"/>
      <c r="AI14" s="238"/>
      <c r="AJ14" s="235"/>
      <c r="AK14" s="231"/>
      <c r="AL14" s="200"/>
      <c r="AM14" s="239" t="e">
        <f>SUM(K14:M14)</f>
        <v>#REF!</v>
      </c>
      <c r="AN14" s="251">
        <f>SUM(O14:Q14)</f>
        <v>31332</v>
      </c>
      <c r="AO14" s="251" t="e">
        <f>AR14-AS14</f>
        <v>#REF!</v>
      </c>
      <c r="AP14" s="742" t="e">
        <f>IF(OR((AO14/AS14)&gt;3,(AO14/AS14)&lt;-3),"n.m.",(AO14/AS14))</f>
        <v>#REF!</v>
      </c>
      <c r="AQ14" s="242"/>
      <c r="AR14" s="737" t="e">
        <f>SUM(J14:M14)</f>
        <v>#REF!</v>
      </c>
      <c r="AS14" s="326" t="e">
        <f>SUM(N14:Q14)</f>
        <v>#REF!</v>
      </c>
      <c r="AT14" s="326">
        <f>SUM(R14:U14)</f>
        <v>92677</v>
      </c>
      <c r="AU14" s="198">
        <f>SUM(V14:Y14)</f>
        <v>82454</v>
      </c>
      <c r="AV14" s="198">
        <v>72926</v>
      </c>
      <c r="AW14" s="198">
        <v>118332</v>
      </c>
      <c r="AX14" s="204">
        <v>129852</v>
      </c>
      <c r="AY14" s="43">
        <v>125900</v>
      </c>
      <c r="AZ14" s="43">
        <v>116090</v>
      </c>
      <c r="BA14" s="686">
        <v>84489</v>
      </c>
      <c r="BB14" s="25"/>
      <c r="BC14" s="3"/>
      <c r="BD14" s="3"/>
      <c r="BG14" s="3"/>
    </row>
    <row r="15" spans="1:61" ht="12.75" customHeight="1" x14ac:dyDescent="0.2">
      <c r="A15" s="7"/>
      <c r="B15" s="724" t="s">
        <v>346</v>
      </c>
      <c r="C15" s="239">
        <f>I15-M15</f>
        <v>7391</v>
      </c>
      <c r="D15" s="742" t="s">
        <v>42</v>
      </c>
      <c r="E15" s="520"/>
      <c r="F15" s="750">
        <f>+'9 CWM UK and Europe'!J15</f>
        <v>33220</v>
      </c>
      <c r="G15" s="750">
        <f>+'9 CWM UK and Europe'!K15</f>
        <v>27018</v>
      </c>
      <c r="H15" s="750">
        <f>+'9 CWM UK and Europe'!L15</f>
        <v>25830</v>
      </c>
      <c r="I15" s="750">
        <f>+'9 CWM UK and Europe'!M15</f>
        <v>26978</v>
      </c>
      <c r="J15" s="515">
        <f>+'9 CWM UK and Europe'!N15</f>
        <v>26706</v>
      </c>
      <c r="K15" s="750">
        <f>+'9 CWM UK and Europe'!O15</f>
        <v>24792</v>
      </c>
      <c r="L15" s="750">
        <f>+'9 CWM UK and Europe'!P15</f>
        <v>20672</v>
      </c>
      <c r="M15" s="749">
        <f>+'9 CWM UK and Europe'!Q14</f>
        <v>19587</v>
      </c>
      <c r="N15" s="687">
        <f>+'9 CWM UK and Europe'!R14</f>
        <v>1987</v>
      </c>
      <c r="O15" s="545">
        <v>0</v>
      </c>
      <c r="P15" s="545">
        <v>0</v>
      </c>
      <c r="Q15" s="706">
        <v>0</v>
      </c>
      <c r="R15" s="545">
        <v>0</v>
      </c>
      <c r="S15" s="545">
        <v>0</v>
      </c>
      <c r="T15" s="545">
        <v>0</v>
      </c>
      <c r="U15" s="706">
        <v>0</v>
      </c>
      <c r="V15" s="545">
        <v>0</v>
      </c>
      <c r="W15" s="687"/>
      <c r="X15" s="687"/>
      <c r="Y15" s="235"/>
      <c r="Z15" s="687"/>
      <c r="AA15" s="687"/>
      <c r="AB15" s="687"/>
      <c r="AC15" s="235"/>
      <c r="AD15" s="687"/>
      <c r="AE15" s="687"/>
      <c r="AF15" s="687"/>
      <c r="AG15" s="235"/>
      <c r="AH15" s="198"/>
      <c r="AI15" s="238"/>
      <c r="AJ15" s="235"/>
      <c r="AK15" s="687"/>
      <c r="AL15" s="200"/>
      <c r="AM15" s="239">
        <f>SUM(K15:M15)</f>
        <v>65051</v>
      </c>
      <c r="AN15" s="251">
        <f>+'9 CWM UK and Europe'!AR14</f>
        <v>79826</v>
      </c>
      <c r="AO15" s="251">
        <f>AR15-AS15</f>
        <v>89770</v>
      </c>
      <c r="AP15" s="147" t="s">
        <v>42</v>
      </c>
      <c r="AQ15" s="242"/>
      <c r="AR15" s="737">
        <f>SUM(J15:M15)</f>
        <v>91757</v>
      </c>
      <c r="AS15" s="326">
        <f>SUM(N15:Q15)</f>
        <v>1987</v>
      </c>
      <c r="AT15" s="488">
        <v>0</v>
      </c>
      <c r="AU15" s="707">
        <v>0</v>
      </c>
      <c r="AV15" s="707">
        <v>0</v>
      </c>
      <c r="AW15" s="708">
        <v>0</v>
      </c>
      <c r="AX15" s="204"/>
      <c r="AY15" s="43"/>
      <c r="AZ15" s="43"/>
      <c r="BA15" s="686"/>
      <c r="BB15" s="25"/>
      <c r="BC15" s="3"/>
      <c r="BD15" s="3"/>
      <c r="BG15" s="3"/>
    </row>
    <row r="16" spans="1:61" ht="12.75" customHeight="1" x14ac:dyDescent="0.2">
      <c r="A16" s="8"/>
      <c r="B16" s="7"/>
      <c r="C16" s="243" t="e">
        <f>I16-M16</f>
        <v>#REF!</v>
      </c>
      <c r="D16" s="168" t="e">
        <f>IF(OR((C16/M16)&gt;3,(C16/M16)&lt;-3),"n.m.",(C16/M16))</f>
        <v>#REF!</v>
      </c>
      <c r="E16" s="520"/>
      <c r="F16" s="245" t="e">
        <f t="shared" ref="F16:N16" si="0">SUM(F14:F15)</f>
        <v>#REF!</v>
      </c>
      <c r="G16" s="245" t="e">
        <f t="shared" si="0"/>
        <v>#REF!</v>
      </c>
      <c r="H16" s="245" t="e">
        <f t="shared" si="0"/>
        <v>#REF!</v>
      </c>
      <c r="I16" s="245" t="e">
        <f t="shared" si="0"/>
        <v>#REF!</v>
      </c>
      <c r="J16" s="244" t="e">
        <f t="shared" si="0"/>
        <v>#REF!</v>
      </c>
      <c r="K16" s="245" t="e">
        <f t="shared" si="0"/>
        <v>#REF!</v>
      </c>
      <c r="L16" s="245" t="e">
        <f t="shared" si="0"/>
        <v>#REF!</v>
      </c>
      <c r="M16" s="246" t="e">
        <f t="shared" si="0"/>
        <v>#REF!</v>
      </c>
      <c r="N16" s="245" t="e">
        <f t="shared" si="0"/>
        <v>#REF!</v>
      </c>
      <c r="O16" s="245">
        <f>O14</f>
        <v>12748</v>
      </c>
      <c r="P16" s="245">
        <f>SUM(P14)</f>
        <v>9338</v>
      </c>
      <c r="Q16" s="246">
        <f>SUM(Q14)</f>
        <v>9246</v>
      </c>
      <c r="R16" s="245">
        <f t="shared" ref="R16:AX16" si="1">SUM(R14)</f>
        <v>34555</v>
      </c>
      <c r="S16" s="245">
        <f t="shared" si="1"/>
        <v>23339</v>
      </c>
      <c r="T16" s="245">
        <f t="shared" si="1"/>
        <v>18338</v>
      </c>
      <c r="U16" s="246">
        <f t="shared" si="1"/>
        <v>16445</v>
      </c>
      <c r="V16" s="245">
        <f t="shared" si="1"/>
        <v>21333</v>
      </c>
      <c r="W16" s="245">
        <f t="shared" si="1"/>
        <v>26421</v>
      </c>
      <c r="X16" s="245">
        <f t="shared" si="1"/>
        <v>13775</v>
      </c>
      <c r="Y16" s="246">
        <f t="shared" si="1"/>
        <v>20925</v>
      </c>
      <c r="Z16" s="245">
        <f t="shared" si="1"/>
        <v>0</v>
      </c>
      <c r="AA16" s="245">
        <f t="shared" si="1"/>
        <v>0</v>
      </c>
      <c r="AB16" s="245">
        <f t="shared" si="1"/>
        <v>0</v>
      </c>
      <c r="AC16" s="246">
        <f t="shared" si="1"/>
        <v>0</v>
      </c>
      <c r="AD16" s="245">
        <f t="shared" si="1"/>
        <v>0</v>
      </c>
      <c r="AE16" s="245">
        <f t="shared" si="1"/>
        <v>0</v>
      </c>
      <c r="AF16" s="245">
        <f t="shared" si="1"/>
        <v>0</v>
      </c>
      <c r="AG16" s="246">
        <f t="shared" si="1"/>
        <v>0</v>
      </c>
      <c r="AH16" s="199">
        <f t="shared" si="1"/>
        <v>0</v>
      </c>
      <c r="AI16" s="246">
        <f t="shared" si="1"/>
        <v>0</v>
      </c>
      <c r="AJ16" s="246">
        <f t="shared" si="1"/>
        <v>0</v>
      </c>
      <c r="AK16" s="245">
        <f t="shared" si="1"/>
        <v>0</v>
      </c>
      <c r="AL16" s="200"/>
      <c r="AM16" s="243" t="e">
        <f>SUM(AM14:AM15)</f>
        <v>#REF!</v>
      </c>
      <c r="AN16" s="328">
        <f>SUM(AN14)</f>
        <v>31332</v>
      </c>
      <c r="AO16" s="328" t="e">
        <f>+AR16-AS16</f>
        <v>#REF!</v>
      </c>
      <c r="AP16" s="147" t="e">
        <f>IF(OR((AO16/AS16)&gt;3,(AO16/AS16)&lt;-3),"n.m.",(AO16/AS16))</f>
        <v>#REF!</v>
      </c>
      <c r="AQ16" s="242"/>
      <c r="AR16" s="333" t="e">
        <f>SUM(AR14:AR15)</f>
        <v>#REF!</v>
      </c>
      <c r="AS16" s="333" t="e">
        <f>SUM(AS14:AS15)</f>
        <v>#REF!</v>
      </c>
      <c r="AT16" s="333">
        <f t="shared" si="1"/>
        <v>92677</v>
      </c>
      <c r="AU16" s="199">
        <f t="shared" si="1"/>
        <v>82454</v>
      </c>
      <c r="AV16" s="199">
        <f t="shared" si="1"/>
        <v>72926</v>
      </c>
      <c r="AW16" s="199">
        <f t="shared" si="1"/>
        <v>118332</v>
      </c>
      <c r="AX16" s="199">
        <f t="shared" si="1"/>
        <v>129852</v>
      </c>
      <c r="AY16" s="302">
        <v>125900</v>
      </c>
      <c r="AZ16" s="302">
        <v>116090</v>
      </c>
      <c r="BA16" s="167">
        <v>84489</v>
      </c>
      <c r="BB16" s="25"/>
      <c r="BC16" s="3"/>
      <c r="BD16" s="3"/>
      <c r="BG16" s="3"/>
    </row>
    <row r="17" spans="1:59" ht="12.75" customHeight="1" x14ac:dyDescent="0.2">
      <c r="A17" s="615" t="s">
        <v>5</v>
      </c>
      <c r="B17" s="7"/>
      <c r="C17" s="239"/>
      <c r="D17" s="660"/>
      <c r="E17" s="520"/>
      <c r="F17" s="745"/>
      <c r="G17" s="745"/>
      <c r="H17" s="745"/>
      <c r="I17" s="745"/>
      <c r="J17" s="732"/>
      <c r="K17" s="745"/>
      <c r="L17" s="745"/>
      <c r="M17" s="746"/>
      <c r="N17" s="687"/>
      <c r="O17" s="687"/>
      <c r="P17" s="231"/>
      <c r="Q17" s="235"/>
      <c r="R17" s="231"/>
      <c r="S17" s="231"/>
      <c r="T17" s="231"/>
      <c r="U17" s="235"/>
      <c r="V17" s="231"/>
      <c r="W17" s="231"/>
      <c r="X17" s="231"/>
      <c r="Y17" s="235"/>
      <c r="Z17" s="231"/>
      <c r="AA17" s="231"/>
      <c r="AB17" s="231"/>
      <c r="AC17" s="235"/>
      <c r="AD17" s="231"/>
      <c r="AE17" s="231"/>
      <c r="AF17" s="231"/>
      <c r="AG17" s="235"/>
      <c r="AH17" s="198"/>
      <c r="AI17" s="235"/>
      <c r="AJ17" s="235"/>
      <c r="AK17" s="235"/>
      <c r="AL17" s="200"/>
      <c r="AM17" s="239"/>
      <c r="AN17" s="251"/>
      <c r="AO17" s="251"/>
      <c r="AP17" s="660"/>
      <c r="AQ17" s="242"/>
      <c r="AR17" s="737"/>
      <c r="AS17" s="326"/>
      <c r="AT17" s="326"/>
      <c r="AU17" s="200"/>
      <c r="AV17" s="200"/>
      <c r="AW17" s="198"/>
      <c r="AX17" s="198"/>
      <c r="AY17" s="43"/>
      <c r="AZ17" s="43"/>
      <c r="BA17" s="686"/>
      <c r="BB17" s="25"/>
      <c r="BC17" s="3"/>
      <c r="BD17" s="3"/>
      <c r="BG17" s="3"/>
    </row>
    <row r="18" spans="1:59" s="721" customFormat="1" ht="12.75" customHeight="1" x14ac:dyDescent="0.2">
      <c r="A18" s="615"/>
      <c r="B18" s="7" t="s">
        <v>337</v>
      </c>
      <c r="C18" s="239">
        <f t="shared" ref="C18:C33" si="2">I18-M18</f>
        <v>5562.6535697325889</v>
      </c>
      <c r="D18" s="742">
        <f t="shared" ref="D18:D30" si="3">IF(OR((C18/M18)&gt;3,(C18/M18)&lt;-3),"n.m.",(C18/M18))</f>
        <v>0.3050202099979486</v>
      </c>
      <c r="E18" s="741"/>
      <c r="F18" s="745"/>
      <c r="G18" s="745"/>
      <c r="H18" s="745"/>
      <c r="I18" s="746">
        <f>25210*(1-(I21/I22))</f>
        <v>23799.653569732589</v>
      </c>
      <c r="J18" s="745">
        <f>32761*(1-(J21/J22))</f>
        <v>31708.918900372981</v>
      </c>
      <c r="K18" s="745">
        <f>29932*(1-(K21/K22))-0.5</f>
        <v>28999.683255866861</v>
      </c>
      <c r="L18" s="745">
        <v>27586</v>
      </c>
      <c r="M18" s="746">
        <v>18237</v>
      </c>
      <c r="N18" s="745">
        <v>15530</v>
      </c>
      <c r="O18" s="745">
        <v>4940</v>
      </c>
      <c r="P18" s="745">
        <v>5136</v>
      </c>
      <c r="Q18" s="746">
        <v>4653</v>
      </c>
      <c r="R18" s="745">
        <v>17347</v>
      </c>
      <c r="S18" s="745">
        <v>10930</v>
      </c>
      <c r="T18" s="745">
        <v>8777</v>
      </c>
      <c r="U18" s="746"/>
      <c r="V18" s="745"/>
      <c r="W18" s="745"/>
      <c r="X18" s="745"/>
      <c r="Y18" s="746"/>
      <c r="Z18" s="745"/>
      <c r="AA18" s="745"/>
      <c r="AB18" s="745"/>
      <c r="AC18" s="746"/>
      <c r="AD18" s="745"/>
      <c r="AE18" s="745"/>
      <c r="AF18" s="745"/>
      <c r="AG18" s="746"/>
      <c r="AH18" s="744"/>
      <c r="AI18" s="746"/>
      <c r="AJ18" s="746"/>
      <c r="AK18" s="746"/>
      <c r="AL18" s="200"/>
      <c r="AM18" s="239">
        <f>SUM(K18:M18)</f>
        <v>74822.683255866868</v>
      </c>
      <c r="AN18" s="251">
        <f t="shared" ref="AN18:AN30" si="4">SUM(O18:Q18)</f>
        <v>14729</v>
      </c>
      <c r="AO18" s="251">
        <f t="shared" ref="AO18:AO33" si="5">AR18-AS18</f>
        <v>76282.602156239838</v>
      </c>
      <c r="AP18" s="742">
        <f t="shared" ref="AP18:AP33" si="6">IF(OR((AO18/AS18)&gt;3,(AO18/AS18)&lt;-3),"n.m.",(AO18/AS18))</f>
        <v>2.5218222802816568</v>
      </c>
      <c r="AQ18" s="242"/>
      <c r="AR18" s="675">
        <f>SUM(J18:M18)</f>
        <v>106531.60215623984</v>
      </c>
      <c r="AS18" s="675">
        <v>30249</v>
      </c>
      <c r="AT18" s="675">
        <v>43961</v>
      </c>
      <c r="AU18" s="834">
        <v>41083</v>
      </c>
      <c r="AV18" s="834">
        <v>32542</v>
      </c>
      <c r="AW18" s="744">
        <v>55744</v>
      </c>
      <c r="AX18" s="744"/>
      <c r="AY18" s="43"/>
      <c r="AZ18" s="43"/>
      <c r="BA18" s="686"/>
      <c r="BB18" s="25"/>
      <c r="BC18" s="722"/>
      <c r="BD18" s="722"/>
      <c r="BG18" s="722"/>
    </row>
    <row r="19" spans="1:59" s="721" customFormat="1" ht="12.75" customHeight="1" x14ac:dyDescent="0.2">
      <c r="A19" s="615"/>
      <c r="B19" s="7" t="s">
        <v>338</v>
      </c>
      <c r="C19" s="247">
        <f t="shared" si="2"/>
        <v>-3864.4611675325887</v>
      </c>
      <c r="D19" s="147">
        <f t="shared" si="3"/>
        <v>-0.58499260786142726</v>
      </c>
      <c r="E19" s="741"/>
      <c r="F19" s="237"/>
      <c r="G19" s="237"/>
      <c r="H19" s="237"/>
      <c r="I19" s="238">
        <f>2904*(1-(I21/I22))</f>
        <v>2741.5388324674113</v>
      </c>
      <c r="J19" s="237">
        <f>3429*(1-(J21/J22))</f>
        <v>3318.8816858270184</v>
      </c>
      <c r="K19" s="237">
        <f>3687*(1-(K21/K22))</f>
        <v>3572.219553133139</v>
      </c>
      <c r="L19" s="237">
        <v>3358</v>
      </c>
      <c r="M19" s="238">
        <v>6606</v>
      </c>
      <c r="N19" s="237">
        <v>-1363</v>
      </c>
      <c r="O19" s="237">
        <v>990</v>
      </c>
      <c r="P19" s="237">
        <v>783</v>
      </c>
      <c r="Q19" s="238">
        <v>1028</v>
      </c>
      <c r="R19" s="237">
        <v>-508</v>
      </c>
      <c r="S19" s="237">
        <v>1616</v>
      </c>
      <c r="T19" s="237">
        <v>445</v>
      </c>
      <c r="U19" s="746"/>
      <c r="V19" s="745"/>
      <c r="W19" s="745"/>
      <c r="X19" s="745"/>
      <c r="Y19" s="746"/>
      <c r="Z19" s="745"/>
      <c r="AA19" s="745"/>
      <c r="AB19" s="745"/>
      <c r="AC19" s="746"/>
      <c r="AD19" s="745"/>
      <c r="AE19" s="745"/>
      <c r="AF19" s="745"/>
      <c r="AG19" s="746"/>
      <c r="AH19" s="744"/>
      <c r="AI19" s="746"/>
      <c r="AJ19" s="746"/>
      <c r="AK19" s="746"/>
      <c r="AL19" s="200"/>
      <c r="AM19" s="247">
        <f t="shared" ref="AM19:AM30" si="7">SUM(K19:M19)</f>
        <v>13536.219553133138</v>
      </c>
      <c r="AN19" s="332">
        <f t="shared" si="4"/>
        <v>2801</v>
      </c>
      <c r="AO19" s="332">
        <f t="shared" si="5"/>
        <v>15406.101238960156</v>
      </c>
      <c r="AP19" s="147" t="str">
        <f t="shared" si="6"/>
        <v>n.m.</v>
      </c>
      <c r="AQ19" s="242"/>
      <c r="AR19" s="652">
        <f>SUM(J19:M19)</f>
        <v>16855.101238960156</v>
      </c>
      <c r="AS19" s="652">
        <v>1449</v>
      </c>
      <c r="AT19" s="652">
        <v>2297</v>
      </c>
      <c r="AU19" s="842">
        <v>3323</v>
      </c>
      <c r="AV19" s="842">
        <v>1879</v>
      </c>
      <c r="AW19" s="204">
        <v>3963</v>
      </c>
      <c r="AX19" s="744"/>
      <c r="AY19" s="43"/>
      <c r="AZ19" s="43"/>
      <c r="BA19" s="686"/>
      <c r="BB19" s="25"/>
      <c r="BC19" s="722"/>
      <c r="BD19" s="722"/>
      <c r="BG19" s="722"/>
    </row>
    <row r="20" spans="1:59" ht="12.75" customHeight="1" x14ac:dyDescent="0.2">
      <c r="A20" s="8"/>
      <c r="B20" s="82" t="s">
        <v>379</v>
      </c>
      <c r="C20" s="239">
        <f t="shared" si="2"/>
        <v>1697.833051200003</v>
      </c>
      <c r="D20" s="742">
        <f t="shared" si="3"/>
        <v>6.8341524477914917E-2</v>
      </c>
      <c r="E20" s="520"/>
      <c r="F20" s="745"/>
      <c r="G20" s="745"/>
      <c r="H20" s="745"/>
      <c r="I20" s="746">
        <f>+I18+I19</f>
        <v>26541.192402200002</v>
      </c>
      <c r="J20" s="745">
        <f>+J18+J19</f>
        <v>35027.800586199999</v>
      </c>
      <c r="K20" s="745">
        <f>+K18+K19</f>
        <v>32571.902808999999</v>
      </c>
      <c r="L20" s="745">
        <f>+L22-L21</f>
        <v>30944.119799600001</v>
      </c>
      <c r="M20" s="746">
        <f>+M22-M21</f>
        <v>24843.359350999999</v>
      </c>
      <c r="N20" s="687">
        <f>N22-N21</f>
        <v>14167.216553833334</v>
      </c>
      <c r="O20" s="687">
        <f>O22-O21</f>
        <v>5930.257002166667</v>
      </c>
      <c r="P20" s="231">
        <f>P22-P21</f>
        <v>5918.9033505666666</v>
      </c>
      <c r="Q20" s="235">
        <f>Q22-Q21</f>
        <v>5681.4430129000002</v>
      </c>
      <c r="R20" s="231">
        <f t="shared" ref="R20:AX20" si="8">R22-R21</f>
        <v>16839.491104000001</v>
      </c>
      <c r="S20" s="231">
        <f t="shared" si="8"/>
        <v>12546.475937666666</v>
      </c>
      <c r="T20" s="231">
        <f t="shared" si="8"/>
        <v>9221.5742077333325</v>
      </c>
      <c r="U20" s="235">
        <f t="shared" si="8"/>
        <v>7649.9590927999998</v>
      </c>
      <c r="V20" s="231">
        <f t="shared" si="8"/>
        <v>10824</v>
      </c>
      <c r="W20" s="231">
        <f t="shared" si="8"/>
        <v>15065</v>
      </c>
      <c r="X20" s="231">
        <f t="shared" si="8"/>
        <v>7942</v>
      </c>
      <c r="Y20" s="235">
        <f t="shared" si="8"/>
        <v>10575</v>
      </c>
      <c r="Z20" s="231">
        <f t="shared" si="8"/>
        <v>-349</v>
      </c>
      <c r="AA20" s="231">
        <f t="shared" si="8"/>
        <v>-422</v>
      </c>
      <c r="AB20" s="231">
        <f t="shared" si="8"/>
        <v>-405</v>
      </c>
      <c r="AC20" s="235">
        <f t="shared" si="8"/>
        <v>-383</v>
      </c>
      <c r="AD20" s="231">
        <f t="shared" si="8"/>
        <v>-422</v>
      </c>
      <c r="AE20" s="231">
        <f t="shared" si="8"/>
        <v>-392</v>
      </c>
      <c r="AF20" s="231">
        <f t="shared" si="8"/>
        <v>-369</v>
      </c>
      <c r="AG20" s="235">
        <f t="shared" si="8"/>
        <v>-388</v>
      </c>
      <c r="AH20" s="198">
        <f t="shared" si="8"/>
        <v>-933</v>
      </c>
      <c r="AI20" s="235">
        <f t="shared" si="8"/>
        <v>-548</v>
      </c>
      <c r="AJ20" s="235">
        <f t="shared" si="8"/>
        <v>-629</v>
      </c>
      <c r="AK20" s="235">
        <f t="shared" si="8"/>
        <v>-1404</v>
      </c>
      <c r="AL20" s="200"/>
      <c r="AM20" s="239">
        <f t="shared" si="7"/>
        <v>88359.381959599996</v>
      </c>
      <c r="AN20" s="251">
        <f t="shared" si="4"/>
        <v>17530.603365633335</v>
      </c>
      <c r="AO20" s="251">
        <f t="shared" si="5"/>
        <v>91688.883475733324</v>
      </c>
      <c r="AP20" s="742">
        <f t="shared" si="6"/>
        <v>2.8925927306257484</v>
      </c>
      <c r="AQ20" s="242"/>
      <c r="AR20" s="737">
        <f>AR18+AR19</f>
        <v>123386.70339519999</v>
      </c>
      <c r="AS20" s="326">
        <f>AS22-AS21</f>
        <v>31697.819919466667</v>
      </c>
      <c r="AT20" s="326">
        <f t="shared" si="8"/>
        <v>46257.500342200001</v>
      </c>
      <c r="AU20" s="198">
        <f t="shared" si="8"/>
        <v>44406</v>
      </c>
      <c r="AV20" s="198">
        <f t="shared" si="8"/>
        <v>34421</v>
      </c>
      <c r="AW20" s="198">
        <f t="shared" si="8"/>
        <v>59707</v>
      </c>
      <c r="AX20" s="198">
        <f t="shared" si="8"/>
        <v>68799</v>
      </c>
      <c r="AY20" s="43">
        <v>65303</v>
      </c>
      <c r="AZ20" s="43">
        <v>62316</v>
      </c>
      <c r="BA20" s="686">
        <v>51311</v>
      </c>
      <c r="BB20" s="25"/>
      <c r="BC20" s="3"/>
      <c r="BD20" s="3"/>
      <c r="BG20" s="3"/>
    </row>
    <row r="21" spans="1:59" ht="12.75" customHeight="1" x14ac:dyDescent="0.2">
      <c r="A21" s="8"/>
      <c r="B21" s="724" t="s">
        <v>329</v>
      </c>
      <c r="C21" s="247">
        <f t="shared" si="2"/>
        <v>234.16694879999977</v>
      </c>
      <c r="D21" s="147">
        <f t="shared" si="3"/>
        <v>0.17492890939396519</v>
      </c>
      <c r="E21" s="520"/>
      <c r="F21" s="237"/>
      <c r="G21" s="237"/>
      <c r="H21" s="237"/>
      <c r="I21" s="238">
        <f>+NHI!B112/1000</f>
        <v>1572.8075977999999</v>
      </c>
      <c r="J21" s="237">
        <f>+NHI!E97/1000</f>
        <v>1162.1994138</v>
      </c>
      <c r="K21" s="237">
        <f>+NHI!D95/1000</f>
        <v>1046.5971910000001</v>
      </c>
      <c r="L21" s="237">
        <f>+NHI!C97/1000</f>
        <v>1346.8802003999999</v>
      </c>
      <c r="M21" s="238">
        <f>+NHI!B97/1000</f>
        <v>1338.6406490000002</v>
      </c>
      <c r="N21" s="237">
        <f>NHI!E83/1000</f>
        <v>1181.7834461666666</v>
      </c>
      <c r="O21" s="237">
        <f>NHI!D83/1000</f>
        <v>498.74299783333333</v>
      </c>
      <c r="P21" s="237">
        <f>[3]NHI!C83/1000</f>
        <v>542.09664943333325</v>
      </c>
      <c r="Q21" s="238">
        <f>[3]NHI!B83/1000</f>
        <v>527.55698710000001</v>
      </c>
      <c r="R21" s="237">
        <v>418.50889599999999</v>
      </c>
      <c r="S21" s="237">
        <v>422.52406233333329</v>
      </c>
      <c r="T21" s="237">
        <v>430.42579226666663</v>
      </c>
      <c r="U21" s="238">
        <v>388.04090719999999</v>
      </c>
      <c r="V21" s="237">
        <v>380</v>
      </c>
      <c r="W21" s="237">
        <v>456</v>
      </c>
      <c r="X21" s="237">
        <v>371</v>
      </c>
      <c r="Y21" s="238">
        <v>362</v>
      </c>
      <c r="Z21" s="237">
        <v>349</v>
      </c>
      <c r="AA21" s="237">
        <v>422</v>
      </c>
      <c r="AB21" s="237">
        <v>405</v>
      </c>
      <c r="AC21" s="238">
        <v>383</v>
      </c>
      <c r="AD21" s="237">
        <v>422</v>
      </c>
      <c r="AE21" s="237">
        <v>392</v>
      </c>
      <c r="AF21" s="237">
        <v>369</v>
      </c>
      <c r="AG21" s="238">
        <v>388</v>
      </c>
      <c r="AH21" s="198">
        <v>933</v>
      </c>
      <c r="AI21" s="235">
        <v>548</v>
      </c>
      <c r="AJ21" s="238">
        <v>629</v>
      </c>
      <c r="AK21" s="238">
        <v>1404</v>
      </c>
      <c r="AL21" s="200"/>
      <c r="AM21" s="247">
        <f t="shared" si="7"/>
        <v>3732.1180403999997</v>
      </c>
      <c r="AN21" s="332">
        <f t="shared" si="4"/>
        <v>1568.3966343666666</v>
      </c>
      <c r="AO21" s="332">
        <f t="shared" si="5"/>
        <v>2144.1373736666665</v>
      </c>
      <c r="AP21" s="147">
        <f t="shared" si="6"/>
        <v>0.77963526419363094</v>
      </c>
      <c r="AQ21" s="242"/>
      <c r="AR21" s="247">
        <f>SUM(J21:M21)</f>
        <v>4894.3174541999997</v>
      </c>
      <c r="AS21" s="247">
        <f>SUM(N21:Q21)</f>
        <v>2750.1800805333332</v>
      </c>
      <c r="AT21" s="247">
        <v>1659.4996577999998</v>
      </c>
      <c r="AU21" s="204">
        <v>1569</v>
      </c>
      <c r="AV21" s="204">
        <v>1559</v>
      </c>
      <c r="AW21" s="204">
        <v>1571</v>
      </c>
      <c r="AX21" s="204">
        <v>3514</v>
      </c>
      <c r="AY21" s="43">
        <v>3586</v>
      </c>
      <c r="AZ21" s="158">
        <v>3711</v>
      </c>
      <c r="BA21" s="404">
        <v>2665</v>
      </c>
      <c r="BB21" s="25"/>
      <c r="BC21" s="3"/>
      <c r="BD21" s="3"/>
      <c r="BG21" s="3"/>
    </row>
    <row r="22" spans="1:59" ht="12.75" customHeight="1" x14ac:dyDescent="0.2">
      <c r="A22" s="8"/>
      <c r="B22" s="82" t="s">
        <v>99</v>
      </c>
      <c r="C22" s="239">
        <f t="shared" si="2"/>
        <v>1932</v>
      </c>
      <c r="D22" s="742">
        <f t="shared" si="3"/>
        <v>7.3791154228095637E-2</v>
      </c>
      <c r="E22" s="520"/>
      <c r="F22" s="745"/>
      <c r="G22" s="745"/>
      <c r="H22" s="745"/>
      <c r="I22" s="746">
        <v>28114</v>
      </c>
      <c r="J22" s="745">
        <v>36190</v>
      </c>
      <c r="K22" s="745">
        <v>33619</v>
      </c>
      <c r="L22" s="745">
        <v>32291</v>
      </c>
      <c r="M22" s="746">
        <v>26182</v>
      </c>
      <c r="N22" s="687">
        <v>15349</v>
      </c>
      <c r="O22" s="687">
        <v>6429</v>
      </c>
      <c r="P22" s="231">
        <v>6461</v>
      </c>
      <c r="Q22" s="235">
        <v>6209</v>
      </c>
      <c r="R22" s="231">
        <v>17258</v>
      </c>
      <c r="S22" s="231">
        <v>12969</v>
      </c>
      <c r="T22" s="231">
        <v>9652</v>
      </c>
      <c r="U22" s="235">
        <v>8038</v>
      </c>
      <c r="V22" s="231">
        <v>11204</v>
      </c>
      <c r="W22" s="231">
        <v>15521</v>
      </c>
      <c r="X22" s="231">
        <v>8313</v>
      </c>
      <c r="Y22" s="235">
        <v>10937</v>
      </c>
      <c r="Z22" s="231"/>
      <c r="AA22" s="231"/>
      <c r="AB22" s="231"/>
      <c r="AC22" s="235"/>
      <c r="AD22" s="231"/>
      <c r="AE22" s="231"/>
      <c r="AF22" s="231"/>
      <c r="AG22" s="235"/>
      <c r="AH22" s="254"/>
      <c r="AI22" s="233"/>
      <c r="AJ22" s="235"/>
      <c r="AK22" s="235"/>
      <c r="AL22" s="200"/>
      <c r="AM22" s="239">
        <f t="shared" si="7"/>
        <v>92092</v>
      </c>
      <c r="AN22" s="251">
        <f t="shared" si="4"/>
        <v>19099</v>
      </c>
      <c r="AO22" s="251">
        <f t="shared" si="5"/>
        <v>93834</v>
      </c>
      <c r="AP22" s="742">
        <f t="shared" si="6"/>
        <v>2.7239317231769622</v>
      </c>
      <c r="AQ22" s="242"/>
      <c r="AR22" s="737">
        <f>SUM(J22:M22)</f>
        <v>128282</v>
      </c>
      <c r="AS22" s="326">
        <f>SUM(N22:Q22)</f>
        <v>34448</v>
      </c>
      <c r="AT22" s="326">
        <v>47917</v>
      </c>
      <c r="AU22" s="198">
        <v>45975</v>
      </c>
      <c r="AV22" s="198">
        <v>35980</v>
      </c>
      <c r="AW22" s="198">
        <v>61278</v>
      </c>
      <c r="AX22" s="198">
        <v>72313</v>
      </c>
      <c r="AY22" s="307">
        <v>68889</v>
      </c>
      <c r="AZ22" s="307">
        <v>66027</v>
      </c>
      <c r="BA22" s="469">
        <v>53976</v>
      </c>
      <c r="BB22" s="25"/>
      <c r="BC22" s="3"/>
      <c r="BD22" s="3"/>
      <c r="BG22" s="3"/>
    </row>
    <row r="23" spans="1:59" ht="12.75" customHeight="1" x14ac:dyDescent="0.2">
      <c r="A23" s="8"/>
      <c r="B23" s="82" t="s">
        <v>69</v>
      </c>
      <c r="C23" s="239">
        <f t="shared" si="2"/>
        <v>495</v>
      </c>
      <c r="D23" s="742">
        <f t="shared" si="3"/>
        <v>7.4212893553223386E-2</v>
      </c>
      <c r="E23" s="520"/>
      <c r="F23" s="745"/>
      <c r="G23" s="745"/>
      <c r="H23" s="745"/>
      <c r="I23" s="746">
        <v>7165</v>
      </c>
      <c r="J23" s="745">
        <v>6332</v>
      </c>
      <c r="K23" s="745">
        <v>6565</v>
      </c>
      <c r="L23" s="745">
        <v>5761</v>
      </c>
      <c r="M23" s="746">
        <v>6670</v>
      </c>
      <c r="N23" s="687">
        <v>1917</v>
      </c>
      <c r="O23" s="687">
        <f>1663-410</f>
        <v>1253</v>
      </c>
      <c r="P23" s="231">
        <v>1213</v>
      </c>
      <c r="Q23" s="235">
        <v>1267</v>
      </c>
      <c r="R23" s="231">
        <v>1248</v>
      </c>
      <c r="S23" s="231">
        <v>1303</v>
      </c>
      <c r="T23" s="231">
        <v>1255</v>
      </c>
      <c r="U23" s="235">
        <v>1242</v>
      </c>
      <c r="V23" s="231">
        <v>1904</v>
      </c>
      <c r="W23" s="231">
        <v>1672</v>
      </c>
      <c r="X23" s="231">
        <v>1396</v>
      </c>
      <c r="Y23" s="235">
        <v>1473</v>
      </c>
      <c r="Z23" s="231"/>
      <c r="AA23" s="231"/>
      <c r="AB23" s="231"/>
      <c r="AC23" s="235"/>
      <c r="AD23" s="231"/>
      <c r="AE23" s="231"/>
      <c r="AF23" s="231"/>
      <c r="AG23" s="235"/>
      <c r="AH23" s="198"/>
      <c r="AI23" s="235"/>
      <c r="AJ23" s="235"/>
      <c r="AK23" s="235"/>
      <c r="AL23" s="200"/>
      <c r="AM23" s="239">
        <f t="shared" si="7"/>
        <v>18996</v>
      </c>
      <c r="AN23" s="251">
        <f t="shared" si="4"/>
        <v>3733</v>
      </c>
      <c r="AO23" s="251">
        <f t="shared" si="5"/>
        <v>19678</v>
      </c>
      <c r="AP23" s="742" t="str">
        <f t="shared" si="6"/>
        <v>n.m.</v>
      </c>
      <c r="AQ23" s="242"/>
      <c r="AR23" s="43">
        <f>SUM(J23:M23)</f>
        <v>25328</v>
      </c>
      <c r="AS23" s="43">
        <f t="shared" ref="AS23:AS30" si="9">SUM(N23:Q23)</f>
        <v>5650</v>
      </c>
      <c r="AT23" s="43">
        <f>SUM(R23:U23)</f>
        <v>5048</v>
      </c>
      <c r="AU23" s="43">
        <f>SUM(V23:Y23)</f>
        <v>6445</v>
      </c>
      <c r="AV23" s="198">
        <v>5563</v>
      </c>
      <c r="AW23" s="198">
        <v>4547</v>
      </c>
      <c r="AX23" s="198">
        <v>3100</v>
      </c>
      <c r="AY23" s="43">
        <v>3210</v>
      </c>
      <c r="AZ23" s="43">
        <v>8795</v>
      </c>
      <c r="BA23" s="686">
        <v>5858</v>
      </c>
      <c r="BB23" s="25"/>
      <c r="BC23" s="3"/>
      <c r="BD23" s="3"/>
      <c r="BG23" s="3"/>
    </row>
    <row r="24" spans="1:59" ht="12.75" hidden="1" customHeight="1" x14ac:dyDescent="0.2">
      <c r="A24" s="8"/>
      <c r="B24" s="7" t="s">
        <v>200</v>
      </c>
      <c r="C24" s="239">
        <f t="shared" si="2"/>
        <v>0</v>
      </c>
      <c r="D24" s="660" t="e">
        <f t="shared" si="3"/>
        <v>#DIV/0!</v>
      </c>
      <c r="E24" s="520"/>
      <c r="F24" s="754"/>
      <c r="G24" s="754"/>
      <c r="H24" s="754"/>
      <c r="I24" s="28"/>
      <c r="J24" s="754"/>
      <c r="K24" s="754"/>
      <c r="L24" s="754"/>
      <c r="M24" s="28"/>
      <c r="N24" s="31"/>
      <c r="O24" s="31"/>
      <c r="P24" s="31"/>
      <c r="Q24" s="28"/>
      <c r="R24" s="31"/>
      <c r="S24" s="31"/>
      <c r="T24" s="31"/>
      <c r="U24" s="28"/>
      <c r="V24" s="31"/>
      <c r="W24" s="31"/>
      <c r="X24" s="31"/>
      <c r="Y24" s="28"/>
      <c r="Z24" s="31"/>
      <c r="AA24" s="31"/>
      <c r="AB24" s="31"/>
      <c r="AC24" s="28"/>
      <c r="AD24" s="231"/>
      <c r="AE24" s="231"/>
      <c r="AF24" s="231"/>
      <c r="AG24" s="235"/>
      <c r="AH24" s="198"/>
      <c r="AI24" s="235"/>
      <c r="AJ24" s="235"/>
      <c r="AK24" s="235"/>
      <c r="AL24" s="200"/>
      <c r="AM24" s="239">
        <f t="shared" si="7"/>
        <v>0</v>
      </c>
      <c r="AN24" s="251">
        <f t="shared" si="4"/>
        <v>0</v>
      </c>
      <c r="AO24" s="251">
        <f t="shared" si="5"/>
        <v>0</v>
      </c>
      <c r="AP24" s="742" t="e">
        <f t="shared" si="6"/>
        <v>#DIV/0!</v>
      </c>
      <c r="AQ24" s="240"/>
      <c r="AR24" s="43">
        <f t="shared" ref="AR24:AR33" si="10">SUM(J24:M24)</f>
        <v>0</v>
      </c>
      <c r="AS24" s="43">
        <f t="shared" si="9"/>
        <v>0</v>
      </c>
      <c r="AT24" s="43">
        <f t="shared" ref="AT24:AT30" si="11">SUM(R24:U24)</f>
        <v>0</v>
      </c>
      <c r="AU24" s="43">
        <f t="shared" ref="AU24:AU30" si="12">SUM(V24:Y24)</f>
        <v>0</v>
      </c>
      <c r="AV24" s="43"/>
      <c r="AW24" s="43"/>
      <c r="AX24" s="43"/>
      <c r="AY24" s="43">
        <v>0</v>
      </c>
      <c r="AZ24" s="43"/>
      <c r="BA24" s="686"/>
      <c r="BB24" s="25"/>
      <c r="BC24" s="3"/>
      <c r="BD24" s="3"/>
      <c r="BG24" s="3"/>
    </row>
    <row r="25" spans="1:59" ht="12.75" customHeight="1" x14ac:dyDescent="0.2">
      <c r="A25" s="8"/>
      <c r="B25" s="82" t="s">
        <v>98</v>
      </c>
      <c r="C25" s="239">
        <f t="shared" si="2"/>
        <v>353</v>
      </c>
      <c r="D25" s="660">
        <f t="shared" si="3"/>
        <v>0.20825958702064898</v>
      </c>
      <c r="E25" s="520"/>
      <c r="F25" s="745"/>
      <c r="G25" s="745"/>
      <c r="H25" s="745"/>
      <c r="I25" s="746">
        <v>2048</v>
      </c>
      <c r="J25" s="745">
        <v>1918</v>
      </c>
      <c r="K25" s="745">
        <v>1819</v>
      </c>
      <c r="L25" s="745">
        <v>1582</v>
      </c>
      <c r="M25" s="746">
        <v>1695</v>
      </c>
      <c r="N25" s="687">
        <v>742</v>
      </c>
      <c r="O25" s="687">
        <v>809</v>
      </c>
      <c r="P25" s="231">
        <v>940</v>
      </c>
      <c r="Q25" s="235">
        <v>1024</v>
      </c>
      <c r="R25" s="231">
        <v>983</v>
      </c>
      <c r="S25" s="231">
        <v>870</v>
      </c>
      <c r="T25" s="231">
        <v>841</v>
      </c>
      <c r="U25" s="235">
        <v>820</v>
      </c>
      <c r="V25" s="231">
        <v>781</v>
      </c>
      <c r="W25" s="231">
        <v>808</v>
      </c>
      <c r="X25" s="231">
        <v>968</v>
      </c>
      <c r="Y25" s="235">
        <v>995</v>
      </c>
      <c r="Z25" s="231"/>
      <c r="AA25" s="231"/>
      <c r="AB25" s="231"/>
      <c r="AC25" s="235"/>
      <c r="AD25" s="231"/>
      <c r="AE25" s="231"/>
      <c r="AF25" s="231"/>
      <c r="AG25" s="235"/>
      <c r="AH25" s="198"/>
      <c r="AI25" s="235"/>
      <c r="AJ25" s="235"/>
      <c r="AK25" s="235"/>
      <c r="AL25" s="200"/>
      <c r="AM25" s="239">
        <f t="shared" si="7"/>
        <v>5096</v>
      </c>
      <c r="AN25" s="251">
        <f t="shared" si="4"/>
        <v>2773</v>
      </c>
      <c r="AO25" s="251">
        <f t="shared" si="5"/>
        <v>3499</v>
      </c>
      <c r="AP25" s="742">
        <f t="shared" si="6"/>
        <v>0.99544807965860593</v>
      </c>
      <c r="AQ25" s="242"/>
      <c r="AR25" s="43">
        <f t="shared" si="10"/>
        <v>7014</v>
      </c>
      <c r="AS25" s="43">
        <f t="shared" si="9"/>
        <v>3515</v>
      </c>
      <c r="AT25" s="43">
        <f t="shared" si="11"/>
        <v>3514</v>
      </c>
      <c r="AU25" s="43">
        <f t="shared" si="12"/>
        <v>3552</v>
      </c>
      <c r="AV25" s="198">
        <v>2941</v>
      </c>
      <c r="AW25" s="198">
        <v>2179</v>
      </c>
      <c r="AX25" s="198">
        <v>1477</v>
      </c>
      <c r="AY25" s="43">
        <v>1190</v>
      </c>
      <c r="AZ25" s="43">
        <v>1163</v>
      </c>
      <c r="BA25" s="686">
        <v>1117</v>
      </c>
      <c r="BB25" s="25"/>
      <c r="BC25" s="3"/>
      <c r="BD25" s="3"/>
      <c r="BG25" s="3"/>
    </row>
    <row r="26" spans="1:59" ht="12.75" customHeight="1" x14ac:dyDescent="0.2">
      <c r="A26" s="8"/>
      <c r="B26" s="82" t="s">
        <v>71</v>
      </c>
      <c r="C26" s="239">
        <f t="shared" si="2"/>
        <v>-743</v>
      </c>
      <c r="D26" s="742">
        <f t="shared" si="3"/>
        <v>-0.18547179231153271</v>
      </c>
      <c r="E26" s="520"/>
      <c r="F26" s="745"/>
      <c r="G26" s="745"/>
      <c r="H26" s="745"/>
      <c r="I26" s="746">
        <v>3263</v>
      </c>
      <c r="J26" s="745">
        <v>3612</v>
      </c>
      <c r="K26" s="745">
        <v>3366</v>
      </c>
      <c r="L26" s="745">
        <v>3777</v>
      </c>
      <c r="M26" s="746">
        <v>4006</v>
      </c>
      <c r="N26" s="687">
        <v>1276</v>
      </c>
      <c r="O26" s="687">
        <v>861</v>
      </c>
      <c r="P26" s="231">
        <v>875</v>
      </c>
      <c r="Q26" s="235">
        <v>960</v>
      </c>
      <c r="R26" s="231">
        <v>855</v>
      </c>
      <c r="S26" s="231">
        <v>870</v>
      </c>
      <c r="T26" s="231">
        <v>875</v>
      </c>
      <c r="U26" s="235">
        <v>874</v>
      </c>
      <c r="V26" s="231">
        <v>944</v>
      </c>
      <c r="W26" s="231">
        <v>1054</v>
      </c>
      <c r="X26" s="231">
        <v>906</v>
      </c>
      <c r="Y26" s="235">
        <v>938</v>
      </c>
      <c r="Z26" s="231"/>
      <c r="AA26" s="231"/>
      <c r="AB26" s="231"/>
      <c r="AC26" s="235"/>
      <c r="AD26" s="231"/>
      <c r="AE26" s="231"/>
      <c r="AF26" s="231"/>
      <c r="AG26" s="235"/>
      <c r="AH26" s="198"/>
      <c r="AI26" s="235"/>
      <c r="AJ26" s="235"/>
      <c r="AK26" s="235"/>
      <c r="AL26" s="200"/>
      <c r="AM26" s="239">
        <f t="shared" si="7"/>
        <v>11149</v>
      </c>
      <c r="AN26" s="251">
        <f t="shared" si="4"/>
        <v>2696</v>
      </c>
      <c r="AO26" s="251">
        <f t="shared" si="5"/>
        <v>10789</v>
      </c>
      <c r="AP26" s="742">
        <f t="shared" si="6"/>
        <v>2.7162638469284994</v>
      </c>
      <c r="AQ26" s="242"/>
      <c r="AR26" s="43">
        <f t="shared" si="10"/>
        <v>14761</v>
      </c>
      <c r="AS26" s="43">
        <f t="shared" si="9"/>
        <v>3972</v>
      </c>
      <c r="AT26" s="43">
        <f t="shared" si="11"/>
        <v>3474</v>
      </c>
      <c r="AU26" s="43">
        <f t="shared" si="12"/>
        <v>3842</v>
      </c>
      <c r="AV26" s="198">
        <v>4046</v>
      </c>
      <c r="AW26" s="198">
        <v>3227</v>
      </c>
      <c r="AX26" s="198">
        <v>6343</v>
      </c>
      <c r="AY26" s="43">
        <v>2139</v>
      </c>
      <c r="AZ26" s="43">
        <v>2143</v>
      </c>
      <c r="BA26" s="686">
        <v>2573</v>
      </c>
      <c r="BB26" s="25"/>
      <c r="BC26" s="3"/>
      <c r="BD26" s="3"/>
      <c r="BG26" s="3"/>
    </row>
    <row r="27" spans="1:59" ht="12.75" customHeight="1" x14ac:dyDescent="0.2">
      <c r="A27" s="8"/>
      <c r="B27" s="82" t="s">
        <v>72</v>
      </c>
      <c r="C27" s="239">
        <f t="shared" si="2"/>
        <v>-2730</v>
      </c>
      <c r="D27" s="742">
        <f t="shared" si="3"/>
        <v>-0.4140127388535032</v>
      </c>
      <c r="E27" s="520"/>
      <c r="F27" s="745"/>
      <c r="G27" s="745"/>
      <c r="H27" s="745"/>
      <c r="I27" s="746">
        <v>3864</v>
      </c>
      <c r="J27" s="745">
        <v>4560</v>
      </c>
      <c r="K27" s="745">
        <v>4555</v>
      </c>
      <c r="L27" s="745">
        <v>4099</v>
      </c>
      <c r="M27" s="746">
        <v>6594</v>
      </c>
      <c r="N27" s="687">
        <v>1778</v>
      </c>
      <c r="O27" s="687">
        <v>1399</v>
      </c>
      <c r="P27" s="231">
        <v>1479</v>
      </c>
      <c r="Q27" s="235">
        <v>1345</v>
      </c>
      <c r="R27" s="231">
        <v>1313</v>
      </c>
      <c r="S27" s="231">
        <v>1310</v>
      </c>
      <c r="T27" s="231">
        <v>1340</v>
      </c>
      <c r="U27" s="235">
        <v>1180</v>
      </c>
      <c r="V27" s="231">
        <v>680</v>
      </c>
      <c r="W27" s="231">
        <v>754</v>
      </c>
      <c r="X27" s="231">
        <v>523</v>
      </c>
      <c r="Y27" s="235">
        <v>476</v>
      </c>
      <c r="Z27" s="231"/>
      <c r="AA27" s="231"/>
      <c r="AB27" s="231"/>
      <c r="AC27" s="235"/>
      <c r="AD27" s="231"/>
      <c r="AE27" s="231"/>
      <c r="AF27" s="231"/>
      <c r="AG27" s="235"/>
      <c r="AH27" s="198"/>
      <c r="AI27" s="235"/>
      <c r="AJ27" s="235"/>
      <c r="AK27" s="235"/>
      <c r="AL27" s="200"/>
      <c r="AM27" s="239">
        <f t="shared" si="7"/>
        <v>15248</v>
      </c>
      <c r="AN27" s="251">
        <f t="shared" si="4"/>
        <v>4223</v>
      </c>
      <c r="AO27" s="251">
        <f t="shared" si="5"/>
        <v>13807</v>
      </c>
      <c r="AP27" s="742">
        <f t="shared" si="6"/>
        <v>2.3007832027995332</v>
      </c>
      <c r="AQ27" s="242"/>
      <c r="AR27" s="43">
        <f t="shared" si="10"/>
        <v>19808</v>
      </c>
      <c r="AS27" s="43">
        <f t="shared" si="9"/>
        <v>6001</v>
      </c>
      <c r="AT27" s="43">
        <f t="shared" si="11"/>
        <v>5143</v>
      </c>
      <c r="AU27" s="43">
        <f t="shared" si="12"/>
        <v>2433</v>
      </c>
      <c r="AV27" s="198">
        <v>2049</v>
      </c>
      <c r="AW27" s="198">
        <v>2816</v>
      </c>
      <c r="AX27" s="198">
        <v>2227</v>
      </c>
      <c r="AY27" s="43">
        <v>1440</v>
      </c>
      <c r="AZ27" s="43">
        <v>1036</v>
      </c>
      <c r="BA27" s="686">
        <v>837</v>
      </c>
      <c r="BB27" s="25"/>
      <c r="BC27" s="3"/>
      <c r="BD27" s="3"/>
      <c r="BG27" s="3"/>
    </row>
    <row r="28" spans="1:59" ht="12.75" customHeight="1" x14ac:dyDescent="0.2">
      <c r="A28" s="8"/>
      <c r="B28" s="82" t="s">
        <v>67</v>
      </c>
      <c r="C28" s="239">
        <f t="shared" si="2"/>
        <v>196</v>
      </c>
      <c r="D28" s="742">
        <f t="shared" si="3"/>
        <v>0.23642943305186973</v>
      </c>
      <c r="E28" s="520"/>
      <c r="F28" s="745"/>
      <c r="G28" s="745"/>
      <c r="H28" s="745"/>
      <c r="I28" s="746">
        <v>1025</v>
      </c>
      <c r="J28" s="745">
        <v>843</v>
      </c>
      <c r="K28" s="745">
        <v>824</v>
      </c>
      <c r="L28" s="745">
        <v>925</v>
      </c>
      <c r="M28" s="746">
        <v>829</v>
      </c>
      <c r="N28" s="687">
        <v>154</v>
      </c>
      <c r="O28" s="687">
        <v>8</v>
      </c>
      <c r="P28" s="231">
        <v>17</v>
      </c>
      <c r="Q28" s="235">
        <v>-9</v>
      </c>
      <c r="R28" s="231">
        <v>60</v>
      </c>
      <c r="S28" s="231">
        <v>12</v>
      </c>
      <c r="T28" s="231">
        <v>13</v>
      </c>
      <c r="U28" s="235">
        <v>17</v>
      </c>
      <c r="V28" s="231">
        <v>12</v>
      </c>
      <c r="W28" s="231">
        <v>23</v>
      </c>
      <c r="X28" s="231">
        <v>15</v>
      </c>
      <c r="Y28" s="235">
        <v>24</v>
      </c>
      <c r="Z28" s="231"/>
      <c r="AA28" s="231"/>
      <c r="AB28" s="231"/>
      <c r="AC28" s="235"/>
      <c r="AD28" s="231"/>
      <c r="AE28" s="251"/>
      <c r="AF28" s="251"/>
      <c r="AG28" s="300"/>
      <c r="AH28" s="270"/>
      <c r="AI28" s="235"/>
      <c r="AJ28" s="235"/>
      <c r="AK28" s="300"/>
      <c r="AL28" s="200"/>
      <c r="AM28" s="239">
        <f t="shared" si="7"/>
        <v>2578</v>
      </c>
      <c r="AN28" s="251">
        <f t="shared" si="4"/>
        <v>16</v>
      </c>
      <c r="AO28" s="251">
        <f t="shared" si="5"/>
        <v>3251</v>
      </c>
      <c r="AP28" s="742" t="str">
        <f t="shared" si="6"/>
        <v>n.m.</v>
      </c>
      <c r="AQ28" s="242"/>
      <c r="AR28" s="43">
        <f t="shared" si="10"/>
        <v>3421</v>
      </c>
      <c r="AS28" s="43">
        <f t="shared" si="9"/>
        <v>170</v>
      </c>
      <c r="AT28" s="43">
        <f t="shared" si="11"/>
        <v>102</v>
      </c>
      <c r="AU28" s="43">
        <f t="shared" si="12"/>
        <v>74</v>
      </c>
      <c r="AV28" s="198">
        <v>253</v>
      </c>
      <c r="AW28" s="198">
        <v>-4</v>
      </c>
      <c r="AX28" s="198">
        <v>0</v>
      </c>
      <c r="AY28" s="43">
        <v>5</v>
      </c>
      <c r="AZ28" s="43">
        <v>1</v>
      </c>
      <c r="BA28" s="686">
        <v>35</v>
      </c>
      <c r="BB28" s="25"/>
      <c r="BC28" s="3"/>
      <c r="BD28" s="3"/>
      <c r="BG28" s="3"/>
    </row>
    <row r="29" spans="1:59" ht="12.75" customHeight="1" x14ac:dyDescent="0.2">
      <c r="A29" s="8"/>
      <c r="B29" s="82" t="s">
        <v>95</v>
      </c>
      <c r="C29" s="239">
        <f t="shared" si="2"/>
        <v>-1269</v>
      </c>
      <c r="D29" s="742">
        <f t="shared" si="3"/>
        <v>-0.14067176587961425</v>
      </c>
      <c r="E29" s="520"/>
      <c r="F29" s="745"/>
      <c r="G29" s="745"/>
      <c r="H29" s="745"/>
      <c r="I29" s="746">
        <v>7752</v>
      </c>
      <c r="J29" s="745">
        <v>6822</v>
      </c>
      <c r="K29" s="745">
        <v>9556</v>
      </c>
      <c r="L29" s="745">
        <v>5965</v>
      </c>
      <c r="M29" s="746">
        <v>9021</v>
      </c>
      <c r="N29" s="687">
        <v>3693</v>
      </c>
      <c r="O29" s="687">
        <v>1763</v>
      </c>
      <c r="P29" s="231">
        <v>1485</v>
      </c>
      <c r="Q29" s="235">
        <v>2212</v>
      </c>
      <c r="R29" s="231">
        <v>1710</v>
      </c>
      <c r="S29" s="231">
        <v>1633</v>
      </c>
      <c r="T29" s="231">
        <v>1593</v>
      </c>
      <c r="U29" s="235">
        <v>2463</v>
      </c>
      <c r="V29" s="231">
        <v>1365</v>
      </c>
      <c r="W29" s="231">
        <v>1398</v>
      </c>
      <c r="X29" s="231">
        <v>1575</v>
      </c>
      <c r="Y29" s="235">
        <v>1647</v>
      </c>
      <c r="Z29" s="231"/>
      <c r="AA29" s="231"/>
      <c r="AB29" s="231"/>
      <c r="AC29" s="235"/>
      <c r="AD29" s="231"/>
      <c r="AE29" s="231"/>
      <c r="AF29" s="231"/>
      <c r="AG29" s="235"/>
      <c r="AH29" s="198"/>
      <c r="AI29" s="235"/>
      <c r="AJ29" s="235"/>
      <c r="AK29" s="235"/>
      <c r="AL29" s="200"/>
      <c r="AM29" s="239">
        <f t="shared" si="7"/>
        <v>24542</v>
      </c>
      <c r="AN29" s="251">
        <f t="shared" si="4"/>
        <v>5460</v>
      </c>
      <c r="AO29" s="251">
        <f t="shared" si="5"/>
        <v>22211</v>
      </c>
      <c r="AP29" s="742">
        <f t="shared" si="6"/>
        <v>2.4266360756036272</v>
      </c>
      <c r="AQ29" s="242"/>
      <c r="AR29" s="43">
        <f t="shared" si="10"/>
        <v>31364</v>
      </c>
      <c r="AS29" s="43">
        <f t="shared" si="9"/>
        <v>9153</v>
      </c>
      <c r="AT29" s="43">
        <f t="shared" si="11"/>
        <v>7399</v>
      </c>
      <c r="AU29" s="43">
        <f t="shared" si="12"/>
        <v>5985</v>
      </c>
      <c r="AV29" s="198">
        <v>15606</v>
      </c>
      <c r="AW29" s="198">
        <v>11718</v>
      </c>
      <c r="AX29" s="198">
        <v>10403</v>
      </c>
      <c r="AY29" s="43">
        <v>6374</v>
      </c>
      <c r="AZ29" s="43">
        <v>5879</v>
      </c>
      <c r="BA29" s="686">
        <v>3463</v>
      </c>
      <c r="BB29" s="25"/>
      <c r="BC29" s="3"/>
      <c r="BD29" s="3"/>
      <c r="BG29" s="3"/>
    </row>
    <row r="30" spans="1:59" ht="12.75" customHeight="1" x14ac:dyDescent="0.2">
      <c r="A30" s="8"/>
      <c r="B30" s="82" t="s">
        <v>74</v>
      </c>
      <c r="C30" s="239">
        <f t="shared" si="2"/>
        <v>-695</v>
      </c>
      <c r="D30" s="742">
        <f t="shared" si="3"/>
        <v>-0.19649420412779192</v>
      </c>
      <c r="E30" s="520"/>
      <c r="F30" s="745"/>
      <c r="G30" s="745"/>
      <c r="H30" s="745"/>
      <c r="I30" s="746">
        <v>2842</v>
      </c>
      <c r="J30" s="745">
        <v>3524</v>
      </c>
      <c r="K30" s="745">
        <v>3580</v>
      </c>
      <c r="L30" s="745">
        <v>3478</v>
      </c>
      <c r="M30" s="746">
        <v>3537</v>
      </c>
      <c r="N30" s="687">
        <v>334</v>
      </c>
      <c r="O30" s="687">
        <v>307</v>
      </c>
      <c r="P30" s="231">
        <v>291</v>
      </c>
      <c r="Q30" s="235">
        <v>312</v>
      </c>
      <c r="R30" s="231">
        <v>314</v>
      </c>
      <c r="S30" s="231">
        <v>314</v>
      </c>
      <c r="T30" s="231">
        <v>314</v>
      </c>
      <c r="U30" s="235">
        <v>312</v>
      </c>
      <c r="V30" s="231">
        <v>339</v>
      </c>
      <c r="W30" s="231">
        <v>391</v>
      </c>
      <c r="X30" s="231">
        <v>425</v>
      </c>
      <c r="Y30" s="235">
        <v>448</v>
      </c>
      <c r="Z30" s="231"/>
      <c r="AA30" s="231"/>
      <c r="AB30" s="231"/>
      <c r="AC30" s="235"/>
      <c r="AD30" s="231"/>
      <c r="AE30" s="231"/>
      <c r="AF30" s="231"/>
      <c r="AG30" s="235"/>
      <c r="AH30" s="198"/>
      <c r="AI30" s="235"/>
      <c r="AJ30" s="235"/>
      <c r="AK30" s="235"/>
      <c r="AL30" s="200"/>
      <c r="AM30" s="239">
        <f t="shared" si="7"/>
        <v>10595</v>
      </c>
      <c r="AN30" s="251">
        <f t="shared" si="4"/>
        <v>910</v>
      </c>
      <c r="AO30" s="251">
        <f t="shared" si="5"/>
        <v>12875</v>
      </c>
      <c r="AP30" s="742" t="str">
        <f t="shared" si="6"/>
        <v>n.m.</v>
      </c>
      <c r="AQ30" s="242"/>
      <c r="AR30" s="43">
        <f t="shared" si="10"/>
        <v>14119</v>
      </c>
      <c r="AS30" s="43">
        <f t="shared" si="9"/>
        <v>1244</v>
      </c>
      <c r="AT30" s="43">
        <f t="shared" si="11"/>
        <v>1254</v>
      </c>
      <c r="AU30" s="43">
        <f t="shared" si="12"/>
        <v>1603</v>
      </c>
      <c r="AV30" s="198">
        <v>1843</v>
      </c>
      <c r="AW30" s="198">
        <v>1825</v>
      </c>
      <c r="AX30" s="198">
        <v>2016</v>
      </c>
      <c r="AY30" s="43">
        <v>716</v>
      </c>
      <c r="AZ30" s="43">
        <v>620</v>
      </c>
      <c r="BA30" s="686">
        <v>716</v>
      </c>
      <c r="BB30" s="25"/>
      <c r="BC30" s="3"/>
      <c r="BD30" s="3"/>
      <c r="BG30" s="3"/>
    </row>
    <row r="31" spans="1:59" s="721" customFormat="1" ht="12.75" customHeight="1" x14ac:dyDescent="0.2">
      <c r="A31" s="7"/>
      <c r="B31" s="724" t="s">
        <v>75</v>
      </c>
      <c r="C31" s="239">
        <f t="shared" si="2"/>
        <v>1551</v>
      </c>
      <c r="D31" s="742" t="s">
        <v>42</v>
      </c>
      <c r="E31" s="741"/>
      <c r="F31" s="745"/>
      <c r="G31" s="745"/>
      <c r="H31" s="823"/>
      <c r="I31" s="300">
        <v>1551</v>
      </c>
      <c r="J31" s="745">
        <v>1658</v>
      </c>
      <c r="K31" s="745">
        <v>2664</v>
      </c>
      <c r="L31" s="823">
        <v>0</v>
      </c>
      <c r="M31" s="824">
        <v>0</v>
      </c>
      <c r="N31" s="745">
        <v>1</v>
      </c>
      <c r="O31" s="745">
        <v>512</v>
      </c>
      <c r="P31" s="745">
        <v>533</v>
      </c>
      <c r="Q31" s="746">
        <v>760</v>
      </c>
      <c r="R31" s="745">
        <v>1474</v>
      </c>
      <c r="S31" s="745">
        <v>1103</v>
      </c>
      <c r="T31" s="745">
        <v>1012</v>
      </c>
      <c r="U31" s="746">
        <v>1108</v>
      </c>
      <c r="V31" s="745">
        <v>1972</v>
      </c>
      <c r="W31" s="745">
        <v>345</v>
      </c>
      <c r="X31" s="745">
        <v>343</v>
      </c>
      <c r="Y31" s="746">
        <v>352</v>
      </c>
      <c r="Z31" s="745"/>
      <c r="AA31" s="745"/>
      <c r="AB31" s="745"/>
      <c r="AC31" s="746"/>
      <c r="AD31" s="745"/>
      <c r="AE31" s="745"/>
      <c r="AF31" s="745"/>
      <c r="AG31" s="746"/>
      <c r="AH31" s="744"/>
      <c r="AI31" s="238"/>
      <c r="AJ31" s="746"/>
      <c r="AK31" s="746"/>
      <c r="AL31" s="200"/>
      <c r="AM31" s="239">
        <f>SUM(K31:M31)</f>
        <v>2664</v>
      </c>
      <c r="AN31" s="251">
        <f>SUM(O31:Q31)</f>
        <v>1805</v>
      </c>
      <c r="AO31" s="251">
        <f t="shared" si="5"/>
        <v>2516</v>
      </c>
      <c r="AP31" s="742">
        <f t="shared" si="6"/>
        <v>1.3931339977851607</v>
      </c>
      <c r="AQ31" s="242"/>
      <c r="AR31" s="43">
        <f t="shared" si="10"/>
        <v>4322</v>
      </c>
      <c r="AS31" s="43">
        <f>SUM(N31:Q31)</f>
        <v>1806</v>
      </c>
      <c r="AT31" s="43">
        <f>SUM(R31:U31)</f>
        <v>4697</v>
      </c>
      <c r="AU31" s="43">
        <f>SUM(V31:Y31)</f>
        <v>3012</v>
      </c>
      <c r="AV31" s="744">
        <v>1340</v>
      </c>
      <c r="AW31" s="744">
        <v>1133</v>
      </c>
      <c r="AX31" s="744">
        <v>269</v>
      </c>
      <c r="AY31" s="43">
        <v>0</v>
      </c>
      <c r="AZ31" s="43">
        <v>0</v>
      </c>
      <c r="BA31" s="686">
        <v>0</v>
      </c>
      <c r="BB31" s="25"/>
      <c r="BC31" s="722"/>
      <c r="BD31" s="722"/>
      <c r="BG31" s="722"/>
    </row>
    <row r="32" spans="1:59" s="721" customFormat="1" ht="12.75" customHeight="1" x14ac:dyDescent="0.2">
      <c r="A32" s="8"/>
      <c r="B32" s="724" t="s">
        <v>169</v>
      </c>
      <c r="C32" s="239">
        <f t="shared" si="2"/>
        <v>0</v>
      </c>
      <c r="D32" s="742">
        <v>0</v>
      </c>
      <c r="E32" s="741"/>
      <c r="F32" s="745"/>
      <c r="G32" s="745"/>
      <c r="H32" s="823"/>
      <c r="I32" s="824">
        <v>0</v>
      </c>
      <c r="J32" s="745">
        <v>6445</v>
      </c>
      <c r="K32" s="745">
        <v>3325</v>
      </c>
      <c r="L32" s="823">
        <v>0</v>
      </c>
      <c r="M32" s="824">
        <v>0</v>
      </c>
      <c r="N32" s="745">
        <v>18050</v>
      </c>
      <c r="O32" s="745">
        <v>410</v>
      </c>
      <c r="P32" s="823">
        <v>0</v>
      </c>
      <c r="Q32" s="824">
        <v>0</v>
      </c>
      <c r="R32" s="823">
        <v>0</v>
      </c>
      <c r="S32" s="823">
        <v>0</v>
      </c>
      <c r="T32" s="823">
        <v>0</v>
      </c>
      <c r="U32" s="824">
        <v>0</v>
      </c>
      <c r="V32" s="545">
        <v>0</v>
      </c>
      <c r="W32" s="745">
        <v>0</v>
      </c>
      <c r="X32" s="745">
        <v>0</v>
      </c>
      <c r="Y32" s="746">
        <v>0</v>
      </c>
      <c r="Z32" s="745"/>
      <c r="AA32" s="745"/>
      <c r="AB32" s="745"/>
      <c r="AC32" s="746"/>
      <c r="AD32" s="745"/>
      <c r="AE32" s="745"/>
      <c r="AF32" s="745"/>
      <c r="AG32" s="746"/>
      <c r="AH32" s="744"/>
      <c r="AI32" s="746"/>
      <c r="AJ32" s="746"/>
      <c r="AK32" s="746"/>
      <c r="AL32" s="200"/>
      <c r="AM32" s="239">
        <f>SUM(K32:M32)</f>
        <v>3325</v>
      </c>
      <c r="AN32" s="251">
        <f>SUM(O32:Q32)</f>
        <v>410</v>
      </c>
      <c r="AO32" s="251">
        <f t="shared" si="5"/>
        <v>-8690</v>
      </c>
      <c r="AP32" s="742">
        <f t="shared" si="6"/>
        <v>-0.47074756229685805</v>
      </c>
      <c r="AQ32" s="242"/>
      <c r="AR32" s="43">
        <f t="shared" si="10"/>
        <v>9770</v>
      </c>
      <c r="AS32" s="43">
        <f>SUM(N32:Q32)</f>
        <v>18460</v>
      </c>
      <c r="AT32" s="43">
        <f>SUM(R32:U32)</f>
        <v>0</v>
      </c>
      <c r="AU32" s="43">
        <f>SUM(V32:Y32)</f>
        <v>0</v>
      </c>
      <c r="AV32" s="752">
        <v>1274</v>
      </c>
      <c r="AW32" s="752">
        <v>0</v>
      </c>
      <c r="AX32" s="744">
        <v>0</v>
      </c>
      <c r="AY32" s="43">
        <v>0</v>
      </c>
      <c r="AZ32" s="43">
        <v>0</v>
      </c>
      <c r="BA32" s="686">
        <v>0</v>
      </c>
      <c r="BB32" s="25"/>
      <c r="BC32" s="722"/>
      <c r="BD32" s="722"/>
      <c r="BG32" s="722"/>
    </row>
    <row r="33" spans="1:59" s="721" customFormat="1" ht="12.75" customHeight="1" x14ac:dyDescent="0.2">
      <c r="A33" s="8"/>
      <c r="B33" s="724" t="s">
        <v>190</v>
      </c>
      <c r="C33" s="239">
        <f t="shared" si="2"/>
        <v>0</v>
      </c>
      <c r="D33" s="742">
        <v>0</v>
      </c>
      <c r="E33" s="741"/>
      <c r="F33" s="251"/>
      <c r="G33" s="251"/>
      <c r="H33" s="745"/>
      <c r="I33" s="300">
        <v>0</v>
      </c>
      <c r="J33" s="251">
        <v>0</v>
      </c>
      <c r="K33" s="251">
        <v>431</v>
      </c>
      <c r="L33" s="745">
        <v>900</v>
      </c>
      <c r="M33" s="300">
        <v>0</v>
      </c>
      <c r="N33" s="251">
        <v>9963</v>
      </c>
      <c r="O33" s="251">
        <v>0</v>
      </c>
      <c r="P33" s="251">
        <v>0</v>
      </c>
      <c r="Q33" s="300">
        <v>0</v>
      </c>
      <c r="R33" s="251">
        <v>0</v>
      </c>
      <c r="S33" s="251">
        <v>0</v>
      </c>
      <c r="T33" s="251">
        <v>0</v>
      </c>
      <c r="U33" s="300">
        <v>0</v>
      </c>
      <c r="V33" s="745">
        <v>0</v>
      </c>
      <c r="W33" s="745"/>
      <c r="X33" s="745"/>
      <c r="Y33" s="746"/>
      <c r="Z33" s="745"/>
      <c r="AA33" s="745"/>
      <c r="AB33" s="745"/>
      <c r="AC33" s="746"/>
      <c r="AD33" s="745"/>
      <c r="AE33" s="745"/>
      <c r="AF33" s="745"/>
      <c r="AG33" s="746"/>
      <c r="AH33" s="744"/>
      <c r="AI33" s="746"/>
      <c r="AJ33" s="746"/>
      <c r="AK33" s="746"/>
      <c r="AL33" s="200"/>
      <c r="AM33" s="239">
        <f>SUM(K33:M33)</f>
        <v>1331</v>
      </c>
      <c r="AN33" s="251">
        <f>SUM(O33:Q33)</f>
        <v>0</v>
      </c>
      <c r="AO33" s="251">
        <f t="shared" si="5"/>
        <v>-8632</v>
      </c>
      <c r="AP33" s="742">
        <f t="shared" si="6"/>
        <v>-0.86640570109404802</v>
      </c>
      <c r="AQ33" s="242"/>
      <c r="AR33" s="43">
        <f t="shared" si="10"/>
        <v>1331</v>
      </c>
      <c r="AS33" s="43">
        <f>SUM(N33:Q33)</f>
        <v>9963</v>
      </c>
      <c r="AT33" s="43">
        <f>SUM(R33:U33)</f>
        <v>0</v>
      </c>
      <c r="AU33" s="43">
        <v>0</v>
      </c>
      <c r="AV33" s="744">
        <v>0</v>
      </c>
      <c r="AW33" s="744">
        <v>0</v>
      </c>
      <c r="AX33" s="744"/>
      <c r="AY33" s="43"/>
      <c r="AZ33" s="43"/>
      <c r="BA33" s="686"/>
      <c r="BB33" s="25"/>
      <c r="BC33" s="722"/>
      <c r="BD33" s="722"/>
      <c r="BG33" s="722"/>
    </row>
    <row r="34" spans="1:59" s="721" customFormat="1" ht="12.75" hidden="1" customHeight="1" x14ac:dyDescent="0.2">
      <c r="A34" s="8"/>
      <c r="B34" s="724" t="s">
        <v>277</v>
      </c>
      <c r="C34" s="239"/>
      <c r="D34" s="742"/>
      <c r="E34" s="741"/>
      <c r="F34" s="745"/>
      <c r="G34" s="745"/>
      <c r="H34" s="745"/>
      <c r="I34" s="300"/>
      <c r="J34" s="745"/>
      <c r="K34" s="745"/>
      <c r="L34" s="745"/>
      <c r="M34" s="300"/>
      <c r="N34" s="251"/>
      <c r="O34" s="251"/>
      <c r="P34" s="251"/>
      <c r="Q34" s="300"/>
      <c r="R34" s="251"/>
      <c r="S34" s="251"/>
      <c r="T34" s="251"/>
      <c r="U34" s="300"/>
      <c r="V34" s="745"/>
      <c r="W34" s="745"/>
      <c r="X34" s="745"/>
      <c r="Y34" s="746"/>
      <c r="Z34" s="745"/>
      <c r="AA34" s="745"/>
      <c r="AB34" s="745"/>
      <c r="AC34" s="746"/>
      <c r="AD34" s="745"/>
      <c r="AE34" s="745"/>
      <c r="AF34" s="745"/>
      <c r="AG34" s="746"/>
      <c r="AH34" s="744"/>
      <c r="AI34" s="746"/>
      <c r="AJ34" s="746"/>
      <c r="AK34" s="746"/>
      <c r="AL34" s="200"/>
      <c r="AM34" s="239"/>
      <c r="AN34" s="251"/>
      <c r="AO34" s="251"/>
      <c r="AP34" s="742"/>
      <c r="AQ34" s="242"/>
      <c r="AR34" s="43"/>
      <c r="AS34" s="43"/>
      <c r="AT34" s="43"/>
      <c r="AU34" s="43"/>
      <c r="AV34" s="744"/>
      <c r="AW34" s="744"/>
      <c r="AX34" s="744"/>
      <c r="AY34" s="43"/>
      <c r="AZ34" s="43"/>
      <c r="BA34" s="686"/>
      <c r="BB34" s="25"/>
      <c r="BC34" s="722"/>
      <c r="BD34" s="722"/>
      <c r="BG34" s="722"/>
    </row>
    <row r="35" spans="1:59" ht="12.75" customHeight="1" x14ac:dyDescent="0.2">
      <c r="A35" s="8"/>
      <c r="B35" s="7"/>
      <c r="C35" s="244">
        <f>I35-M35</f>
        <v>-910</v>
      </c>
      <c r="D35" s="168">
        <f>IF(OR((C35/M35)&gt;3,(C35/M35)&lt;-3),"n.m.",(C35/M35))</f>
        <v>-1.5546519971298732E-2</v>
      </c>
      <c r="E35" s="520"/>
      <c r="F35" s="245"/>
      <c r="G35" s="245"/>
      <c r="H35" s="245"/>
      <c r="I35" s="246">
        <f t="shared" ref="I35:N35" si="13">SUM(I22:I34)</f>
        <v>57624</v>
      </c>
      <c r="J35" s="245">
        <f t="shared" si="13"/>
        <v>71904</v>
      </c>
      <c r="K35" s="245">
        <f t="shared" si="13"/>
        <v>70304</v>
      </c>
      <c r="L35" s="245">
        <f t="shared" si="13"/>
        <v>58778</v>
      </c>
      <c r="M35" s="246">
        <f t="shared" si="13"/>
        <v>58534</v>
      </c>
      <c r="N35" s="245">
        <f t="shared" si="13"/>
        <v>53257</v>
      </c>
      <c r="O35" s="245">
        <f>SUM(O20:O21,O23:O33)</f>
        <v>13751</v>
      </c>
      <c r="P35" s="245">
        <f>SUM(P22:P34)</f>
        <v>13294</v>
      </c>
      <c r="Q35" s="246">
        <f>SUM(Q22:Q34)</f>
        <v>14080</v>
      </c>
      <c r="R35" s="245">
        <f t="shared" ref="R35:AX35" si="14">SUM(R22:R33)</f>
        <v>25215</v>
      </c>
      <c r="S35" s="245">
        <f t="shared" si="14"/>
        <v>20384</v>
      </c>
      <c r="T35" s="245">
        <f t="shared" si="14"/>
        <v>16895</v>
      </c>
      <c r="U35" s="246">
        <f t="shared" si="14"/>
        <v>16054</v>
      </c>
      <c r="V35" s="245">
        <f t="shared" si="14"/>
        <v>19201</v>
      </c>
      <c r="W35" s="245">
        <f t="shared" si="14"/>
        <v>21966</v>
      </c>
      <c r="X35" s="245">
        <f t="shared" si="14"/>
        <v>14464</v>
      </c>
      <c r="Y35" s="246">
        <f t="shared" si="14"/>
        <v>17290</v>
      </c>
      <c r="Z35" s="245">
        <f t="shared" si="14"/>
        <v>0</v>
      </c>
      <c r="AA35" s="245">
        <f t="shared" si="14"/>
        <v>0</v>
      </c>
      <c r="AB35" s="245">
        <f t="shared" si="14"/>
        <v>0</v>
      </c>
      <c r="AC35" s="246">
        <f t="shared" si="14"/>
        <v>0</v>
      </c>
      <c r="AD35" s="245">
        <f t="shared" si="14"/>
        <v>0</v>
      </c>
      <c r="AE35" s="245">
        <f t="shared" si="14"/>
        <v>0</v>
      </c>
      <c r="AF35" s="245">
        <f t="shared" si="14"/>
        <v>0</v>
      </c>
      <c r="AG35" s="246">
        <f t="shared" si="14"/>
        <v>0</v>
      </c>
      <c r="AH35" s="204">
        <f t="shared" si="14"/>
        <v>0</v>
      </c>
      <c r="AI35" s="246">
        <f t="shared" si="14"/>
        <v>0</v>
      </c>
      <c r="AJ35" s="246">
        <f t="shared" si="14"/>
        <v>0</v>
      </c>
      <c r="AK35" s="246">
        <f t="shared" si="14"/>
        <v>0</v>
      </c>
      <c r="AL35" s="200"/>
      <c r="AM35" s="243">
        <f>SUM(AM22:AM33)</f>
        <v>187616</v>
      </c>
      <c r="AN35" s="328">
        <f>SUM(AN22:AN33)</f>
        <v>41125</v>
      </c>
      <c r="AO35" s="328">
        <f>AR35-AS35</f>
        <v>165138</v>
      </c>
      <c r="AP35" s="168">
        <f>IF(OR((AO35/AS35)&gt;3,(AO35/AS35)&lt;-3),"n.m.",(AO35/AS35))</f>
        <v>1.7496768451611535</v>
      </c>
      <c r="AQ35" s="242"/>
      <c r="AR35" s="333">
        <f>SUM(AR22:AR34)</f>
        <v>259520</v>
      </c>
      <c r="AS35" s="333">
        <f>SUM(AS22:AS34)</f>
        <v>94382</v>
      </c>
      <c r="AT35" s="333">
        <f>SUM(AT22:AT34)</f>
        <v>78548</v>
      </c>
      <c r="AU35" s="199">
        <f t="shared" si="14"/>
        <v>72921</v>
      </c>
      <c r="AV35" s="199">
        <f t="shared" si="14"/>
        <v>70895</v>
      </c>
      <c r="AW35" s="199">
        <f t="shared" si="14"/>
        <v>88719</v>
      </c>
      <c r="AX35" s="199">
        <f t="shared" si="14"/>
        <v>98148</v>
      </c>
      <c r="AY35" s="302">
        <v>83963</v>
      </c>
      <c r="AZ35" s="302">
        <v>85664</v>
      </c>
      <c r="BA35" s="167">
        <v>68575</v>
      </c>
      <c r="BB35" s="25"/>
      <c r="BC35" s="3"/>
      <c r="BD35" s="3"/>
      <c r="BG35" s="3"/>
    </row>
    <row r="36" spans="1:59" s="721" customFormat="1" ht="12.75" customHeight="1" thickBot="1" x14ac:dyDescent="0.25">
      <c r="A36" s="1485" t="s">
        <v>374</v>
      </c>
      <c r="B36" s="1486"/>
      <c r="C36" s="405" t="e">
        <f>I36-M36</f>
        <v>#REF!</v>
      </c>
      <c r="D36" s="179" t="e">
        <f>IF(OR((C36/M36)&gt;3,(C36/M36)&lt;-3),"n.m.",(C36/M36))</f>
        <v>#REF!</v>
      </c>
      <c r="E36" s="741"/>
      <c r="F36" s="219"/>
      <c r="G36" s="219"/>
      <c r="H36" s="219"/>
      <c r="I36" s="220" t="e">
        <f>+I16-I35</f>
        <v>#REF!</v>
      </c>
      <c r="J36" s="219" t="e">
        <f>+J16-J35</f>
        <v>#REF!</v>
      </c>
      <c r="K36" s="219" t="e">
        <f>+K16-K35</f>
        <v>#REF!</v>
      </c>
      <c r="L36" s="219" t="e">
        <f>+L16-L35</f>
        <v>#REF!</v>
      </c>
      <c r="M36" s="220" t="e">
        <f t="shared" ref="M36:AK36" si="15">M16-M35</f>
        <v>#REF!</v>
      </c>
      <c r="N36" s="219" t="e">
        <f t="shared" si="15"/>
        <v>#REF!</v>
      </c>
      <c r="O36" s="219">
        <f t="shared" si="15"/>
        <v>-1003</v>
      </c>
      <c r="P36" s="219">
        <f t="shared" si="15"/>
        <v>-3956</v>
      </c>
      <c r="Q36" s="220">
        <f t="shared" si="15"/>
        <v>-4834</v>
      </c>
      <c r="R36" s="219">
        <f t="shared" si="15"/>
        <v>9340</v>
      </c>
      <c r="S36" s="219">
        <f t="shared" si="15"/>
        <v>2955</v>
      </c>
      <c r="T36" s="219">
        <f t="shared" si="15"/>
        <v>1443</v>
      </c>
      <c r="U36" s="220">
        <f t="shared" si="15"/>
        <v>391</v>
      </c>
      <c r="V36" s="219">
        <f t="shared" si="15"/>
        <v>2132</v>
      </c>
      <c r="W36" s="219">
        <f t="shared" si="15"/>
        <v>4455</v>
      </c>
      <c r="X36" s="219">
        <f t="shared" si="15"/>
        <v>-689</v>
      </c>
      <c r="Y36" s="220">
        <f t="shared" si="15"/>
        <v>3635</v>
      </c>
      <c r="Z36" s="219">
        <f t="shared" si="15"/>
        <v>0</v>
      </c>
      <c r="AA36" s="219">
        <f t="shared" si="15"/>
        <v>0</v>
      </c>
      <c r="AB36" s="219">
        <f t="shared" si="15"/>
        <v>0</v>
      </c>
      <c r="AC36" s="220">
        <f t="shared" si="15"/>
        <v>0</v>
      </c>
      <c r="AD36" s="220">
        <f t="shared" si="15"/>
        <v>0</v>
      </c>
      <c r="AE36" s="341">
        <f t="shared" si="15"/>
        <v>0</v>
      </c>
      <c r="AF36" s="341">
        <f t="shared" si="15"/>
        <v>0</v>
      </c>
      <c r="AG36" s="217">
        <f t="shared" si="15"/>
        <v>0</v>
      </c>
      <c r="AH36" s="217">
        <f t="shared" si="15"/>
        <v>0</v>
      </c>
      <c r="AI36" s="217">
        <f t="shared" si="15"/>
        <v>0</v>
      </c>
      <c r="AJ36" s="217">
        <f t="shared" si="15"/>
        <v>0</v>
      </c>
      <c r="AK36" s="217">
        <f t="shared" si="15"/>
        <v>0</v>
      </c>
      <c r="AL36" s="88"/>
      <c r="AM36" s="219" t="e">
        <f>AM16-AM35</f>
        <v>#REF!</v>
      </c>
      <c r="AN36" s="219">
        <f>AN16-AN35</f>
        <v>-9793</v>
      </c>
      <c r="AO36" s="479" t="e">
        <f>AR36-AS36</f>
        <v>#REF!</v>
      </c>
      <c r="AP36" s="179" t="e">
        <f>-IF(OR((AO36/AS36)&gt;3,(AO36/AS36)&lt;-3),"n.m.",(AO36/AS36))</f>
        <v>#REF!</v>
      </c>
      <c r="AQ36" s="88"/>
      <c r="AR36" s="220" t="e">
        <f>AR16-AR35</f>
        <v>#REF!</v>
      </c>
      <c r="AS36" s="220" t="e">
        <f t="shared" ref="AS36:AZ36" si="16">AS16-AS35</f>
        <v>#REF!</v>
      </c>
      <c r="AT36" s="220">
        <f t="shared" si="16"/>
        <v>14129</v>
      </c>
      <c r="AU36" s="206">
        <f t="shared" si="16"/>
        <v>9533</v>
      </c>
      <c r="AV36" s="206">
        <f t="shared" si="16"/>
        <v>2031</v>
      </c>
      <c r="AW36" s="206">
        <f t="shared" si="16"/>
        <v>29613</v>
      </c>
      <c r="AX36" s="250">
        <f t="shared" si="16"/>
        <v>31704</v>
      </c>
      <c r="AY36" s="303">
        <f t="shared" si="16"/>
        <v>41937</v>
      </c>
      <c r="AZ36" s="303">
        <f t="shared" si="16"/>
        <v>30426</v>
      </c>
      <c r="BA36" s="307"/>
      <c r="BB36" s="725"/>
      <c r="BC36" s="725"/>
      <c r="BG36" s="722"/>
    </row>
    <row r="37" spans="1:59" s="721" customFormat="1" ht="12.75" customHeight="1" thickTop="1" x14ac:dyDescent="0.2">
      <c r="A37" s="8"/>
      <c r="B37" s="412"/>
      <c r="C37" s="754"/>
      <c r="D37" s="742"/>
      <c r="E37" s="742"/>
      <c r="F37" s="209"/>
      <c r="G37" s="209"/>
      <c r="H37" s="209"/>
      <c r="I37" s="213"/>
      <c r="J37" s="209"/>
      <c r="K37" s="209"/>
      <c r="L37" s="209"/>
      <c r="M37" s="213"/>
      <c r="N37" s="209"/>
      <c r="O37" s="209"/>
      <c r="P37" s="209"/>
      <c r="Q37" s="213"/>
      <c r="R37" s="209"/>
      <c r="S37" s="209"/>
      <c r="T37" s="209"/>
      <c r="U37" s="213"/>
      <c r="V37" s="209"/>
      <c r="W37" s="209"/>
      <c r="X37" s="209"/>
      <c r="Y37" s="213"/>
      <c r="Z37" s="209"/>
      <c r="AA37" s="209"/>
      <c r="AB37" s="209"/>
      <c r="AC37" s="213"/>
      <c r="AD37" s="213"/>
      <c r="AE37" s="341"/>
      <c r="AF37" s="341"/>
      <c r="AG37" s="217"/>
      <c r="AH37" s="217"/>
      <c r="AI37" s="217"/>
      <c r="AJ37" s="217"/>
      <c r="AK37" s="217"/>
      <c r="AL37" s="164"/>
      <c r="AM37" s="725"/>
      <c r="AN37" s="725"/>
      <c r="AO37" s="754"/>
      <c r="AP37" s="742"/>
      <c r="AQ37" s="164"/>
      <c r="AR37" s="906"/>
      <c r="AS37" s="906"/>
      <c r="AT37" s="906"/>
      <c r="AU37" s="906"/>
      <c r="AV37" s="906"/>
      <c r="AW37" s="746"/>
      <c r="AX37" s="746"/>
      <c r="AY37" s="28"/>
      <c r="AZ37" s="28"/>
      <c r="BA37" s="155"/>
      <c r="BB37" s="725"/>
      <c r="BC37" s="725"/>
      <c r="BG37" s="722"/>
    </row>
    <row r="38" spans="1:59" s="721" customFormat="1" ht="12.75" hidden="1" customHeight="1" outlineLevel="1" x14ac:dyDescent="0.2">
      <c r="A38" s="8"/>
      <c r="B38" s="412" t="s">
        <v>377</v>
      </c>
      <c r="C38" s="239">
        <f>I38-M38</f>
        <v>825</v>
      </c>
      <c r="D38" s="742" t="s">
        <v>42</v>
      </c>
      <c r="E38" s="742"/>
      <c r="F38" s="209"/>
      <c r="G38" s="209"/>
      <c r="H38" s="209"/>
      <c r="I38" s="213">
        <f>275*3</f>
        <v>825</v>
      </c>
      <c r="J38" s="830">
        <v>0</v>
      </c>
      <c r="K38" s="830">
        <v>0</v>
      </c>
      <c r="L38" s="830">
        <v>0</v>
      </c>
      <c r="M38" s="889">
        <v>0</v>
      </c>
      <c r="N38" s="830">
        <v>0</v>
      </c>
      <c r="O38" s="830">
        <v>0</v>
      </c>
      <c r="P38" s="830">
        <v>0</v>
      </c>
      <c r="Q38" s="889">
        <v>0</v>
      </c>
      <c r="R38" s="209"/>
      <c r="S38" s="209"/>
      <c r="T38" s="209"/>
      <c r="U38" s="213"/>
      <c r="V38" s="209"/>
      <c r="W38" s="209"/>
      <c r="X38" s="209"/>
      <c r="Y38" s="213"/>
      <c r="Z38" s="209"/>
      <c r="AA38" s="209"/>
      <c r="AB38" s="209"/>
      <c r="AC38" s="213"/>
      <c r="AD38" s="213"/>
      <c r="AE38" s="341"/>
      <c r="AF38" s="341"/>
      <c r="AG38" s="217"/>
      <c r="AH38" s="217"/>
      <c r="AI38" s="217"/>
      <c r="AJ38" s="217"/>
      <c r="AK38" s="217"/>
      <c r="AL38" s="164"/>
      <c r="AM38" s="725"/>
      <c r="AN38" s="725"/>
      <c r="AO38" s="754"/>
      <c r="AP38" s="742"/>
      <c r="AQ38" s="164"/>
      <c r="AR38" s="897">
        <v>0</v>
      </c>
      <c r="AS38" s="897">
        <v>0</v>
      </c>
      <c r="AT38" s="897">
        <v>0</v>
      </c>
      <c r="AU38" s="897">
        <v>0</v>
      </c>
      <c r="AV38" s="897">
        <v>0</v>
      </c>
      <c r="AW38" s="746"/>
      <c r="AX38" s="746"/>
      <c r="AY38" s="28">
        <v>11945</v>
      </c>
      <c r="AZ38" s="28">
        <v>10058</v>
      </c>
      <c r="BA38" s="155"/>
      <c r="BB38" s="725"/>
      <c r="BC38" s="725"/>
      <c r="BG38" s="722"/>
    </row>
    <row r="39" spans="1:59" s="721" customFormat="1" ht="12.75" hidden="1" customHeight="1" outlineLevel="1" x14ac:dyDescent="0.2">
      <c r="A39" s="8"/>
      <c r="B39" s="7" t="s">
        <v>378</v>
      </c>
      <c r="C39" s="247">
        <f>I39-M39</f>
        <v>98</v>
      </c>
      <c r="D39" s="147" t="s">
        <v>42</v>
      </c>
      <c r="E39" s="742"/>
      <c r="F39" s="209"/>
      <c r="G39" s="209"/>
      <c r="H39" s="209"/>
      <c r="I39" s="216">
        <v>98</v>
      </c>
      <c r="J39" s="927">
        <v>0</v>
      </c>
      <c r="K39" s="927">
        <v>0</v>
      </c>
      <c r="L39" s="927">
        <v>0</v>
      </c>
      <c r="M39" s="928">
        <v>0</v>
      </c>
      <c r="N39" s="927">
        <v>0</v>
      </c>
      <c r="O39" s="927">
        <v>0</v>
      </c>
      <c r="P39" s="927">
        <v>0</v>
      </c>
      <c r="Q39" s="928">
        <v>0</v>
      </c>
      <c r="R39" s="209"/>
      <c r="S39" s="209"/>
      <c r="T39" s="209"/>
      <c r="U39" s="213"/>
      <c r="V39" s="209"/>
      <c r="W39" s="209"/>
      <c r="X39" s="209"/>
      <c r="Y39" s="213"/>
      <c r="Z39" s="209"/>
      <c r="AA39" s="209"/>
      <c r="AB39" s="209"/>
      <c r="AC39" s="213"/>
      <c r="AD39" s="213"/>
      <c r="AE39" s="341"/>
      <c r="AF39" s="341"/>
      <c r="AG39" s="217"/>
      <c r="AH39" s="217"/>
      <c r="AI39" s="217"/>
      <c r="AJ39" s="217"/>
      <c r="AK39" s="217"/>
      <c r="AL39" s="164"/>
      <c r="AM39" s="725"/>
      <c r="AN39" s="725"/>
      <c r="AO39" s="754"/>
      <c r="AP39" s="742"/>
      <c r="AQ39" s="164"/>
      <c r="AR39" s="929">
        <v>0</v>
      </c>
      <c r="AS39" s="929">
        <v>0</v>
      </c>
      <c r="AT39" s="929">
        <v>0</v>
      </c>
      <c r="AU39" s="929">
        <v>0</v>
      </c>
      <c r="AV39" s="929">
        <v>0</v>
      </c>
      <c r="AW39" s="746"/>
      <c r="AX39" s="746"/>
      <c r="AY39" s="754"/>
      <c r="AZ39" s="28"/>
      <c r="BA39" s="155"/>
      <c r="BB39" s="725"/>
      <c r="BC39" s="725"/>
      <c r="BG39" s="722"/>
    </row>
    <row r="40" spans="1:59" s="721" customFormat="1" ht="12.75" customHeight="1" collapsed="1" x14ac:dyDescent="0.2">
      <c r="A40" s="8"/>
      <c r="B40" s="7" t="s">
        <v>380</v>
      </c>
      <c r="C40" s="239">
        <f>I40-M40</f>
        <v>923</v>
      </c>
      <c r="D40" s="742" t="s">
        <v>42</v>
      </c>
      <c r="E40" s="742"/>
      <c r="F40" s="209"/>
      <c r="G40" s="209"/>
      <c r="H40" s="209"/>
      <c r="I40" s="213">
        <f>+I38+I39</f>
        <v>923</v>
      </c>
      <c r="J40" s="830">
        <v>0</v>
      </c>
      <c r="K40" s="830">
        <v>0</v>
      </c>
      <c r="L40" s="830">
        <v>0</v>
      </c>
      <c r="M40" s="889">
        <v>0</v>
      </c>
      <c r="N40" s="830">
        <v>0</v>
      </c>
      <c r="O40" s="830">
        <v>0</v>
      </c>
      <c r="P40" s="830">
        <v>0</v>
      </c>
      <c r="Q40" s="889">
        <v>0</v>
      </c>
      <c r="R40" s="209"/>
      <c r="S40" s="209"/>
      <c r="T40" s="209"/>
      <c r="U40" s="213"/>
      <c r="V40" s="209"/>
      <c r="W40" s="209"/>
      <c r="X40" s="209"/>
      <c r="Y40" s="213"/>
      <c r="Z40" s="209"/>
      <c r="AA40" s="209"/>
      <c r="AB40" s="209"/>
      <c r="AC40" s="213"/>
      <c r="AD40" s="213"/>
      <c r="AE40" s="341"/>
      <c r="AF40" s="341"/>
      <c r="AG40" s="217"/>
      <c r="AH40" s="217"/>
      <c r="AI40" s="217"/>
      <c r="AJ40" s="217"/>
      <c r="AK40" s="217"/>
      <c r="AL40" s="164"/>
      <c r="AM40" s="725"/>
      <c r="AN40" s="725"/>
      <c r="AO40" s="754"/>
      <c r="AP40" s="742"/>
      <c r="AQ40" s="164"/>
      <c r="AR40" s="897">
        <v>0</v>
      </c>
      <c r="AS40" s="897">
        <v>0</v>
      </c>
      <c r="AT40" s="897">
        <v>0</v>
      </c>
      <c r="AU40" s="897">
        <v>0</v>
      </c>
      <c r="AV40" s="897">
        <v>0</v>
      </c>
      <c r="AW40" s="746"/>
      <c r="AX40" s="746"/>
      <c r="AY40" s="754"/>
      <c r="AZ40" s="28"/>
      <c r="BA40" s="155"/>
      <c r="BB40" s="725"/>
      <c r="BC40" s="725"/>
      <c r="BG40" s="722"/>
    </row>
    <row r="41" spans="1:59" s="721" customFormat="1" ht="12.75" customHeight="1" x14ac:dyDescent="0.2">
      <c r="A41" s="8"/>
      <c r="B41" s="7"/>
      <c r="C41" s="686"/>
      <c r="D41" s="742"/>
      <c r="E41" s="741"/>
      <c r="F41" s="209"/>
      <c r="G41" s="209"/>
      <c r="H41" s="209"/>
      <c r="I41" s="213"/>
      <c r="J41" s="209"/>
      <c r="K41" s="209"/>
      <c r="L41" s="209"/>
      <c r="M41" s="213"/>
      <c r="N41" s="209"/>
      <c r="O41" s="209"/>
      <c r="P41" s="209"/>
      <c r="Q41" s="213"/>
      <c r="R41" s="209"/>
      <c r="S41" s="209"/>
      <c r="T41" s="209"/>
      <c r="U41" s="213"/>
      <c r="V41" s="209"/>
      <c r="W41" s="209"/>
      <c r="X41" s="209"/>
      <c r="Y41" s="213"/>
      <c r="Z41" s="209"/>
      <c r="AA41" s="209"/>
      <c r="AB41" s="209"/>
      <c r="AC41" s="213"/>
      <c r="AD41" s="213"/>
      <c r="AE41" s="341"/>
      <c r="AF41" s="341"/>
      <c r="AG41" s="217"/>
      <c r="AH41" s="217"/>
      <c r="AI41" s="217"/>
      <c r="AJ41" s="217"/>
      <c r="AK41" s="217"/>
      <c r="AL41" s="725"/>
      <c r="AM41" s="725"/>
      <c r="AN41" s="725"/>
      <c r="AO41" s="754"/>
      <c r="AP41" s="755"/>
      <c r="AQ41" s="88"/>
      <c r="AR41" s="204"/>
      <c r="AS41" s="204"/>
      <c r="AT41" s="204"/>
      <c r="AU41" s="204"/>
      <c r="AV41" s="204"/>
      <c r="AW41" s="746"/>
      <c r="AX41" s="746"/>
      <c r="AY41" s="754"/>
      <c r="AZ41" s="43"/>
      <c r="BA41" s="307"/>
      <c r="BB41" s="725"/>
      <c r="BC41" s="725"/>
      <c r="BG41" s="722"/>
    </row>
    <row r="42" spans="1:59" s="95" customFormat="1" ht="12.75" customHeight="1" thickBot="1" x14ac:dyDescent="0.25">
      <c r="A42" s="1485" t="s">
        <v>77</v>
      </c>
      <c r="B42" s="1486"/>
      <c r="C42" s="405" t="e">
        <f>I42-M42</f>
        <v>#REF!</v>
      </c>
      <c r="D42" s="179" t="e">
        <f>-IF(OR((C42/M42)&gt;3,(C42/M42)&lt;-3),"n.m.",(C42/M42))</f>
        <v>#REF!</v>
      </c>
      <c r="E42" s="741"/>
      <c r="F42" s="219"/>
      <c r="G42" s="219"/>
      <c r="H42" s="219"/>
      <c r="I42" s="220" t="e">
        <f>+I36-I38-I39</f>
        <v>#REF!</v>
      </c>
      <c r="J42" s="219" t="e">
        <f t="shared" ref="J42:Q42" si="17">+J36-J38-J39</f>
        <v>#REF!</v>
      </c>
      <c r="K42" s="219" t="e">
        <f t="shared" si="17"/>
        <v>#REF!</v>
      </c>
      <c r="L42" s="219" t="e">
        <f t="shared" si="17"/>
        <v>#REF!</v>
      </c>
      <c r="M42" s="220" t="e">
        <f t="shared" si="17"/>
        <v>#REF!</v>
      </c>
      <c r="N42" s="219" t="e">
        <f t="shared" si="17"/>
        <v>#REF!</v>
      </c>
      <c r="O42" s="219">
        <f t="shared" si="17"/>
        <v>-1003</v>
      </c>
      <c r="P42" s="219">
        <f t="shared" si="17"/>
        <v>-3956</v>
      </c>
      <c r="Q42" s="220">
        <f t="shared" si="17"/>
        <v>-4834</v>
      </c>
      <c r="R42" s="219"/>
      <c r="S42" s="219"/>
      <c r="T42" s="219"/>
      <c r="U42" s="220"/>
      <c r="V42" s="219"/>
      <c r="W42" s="219"/>
      <c r="X42" s="219"/>
      <c r="Y42" s="220"/>
      <c r="Z42" s="219"/>
      <c r="AA42" s="219"/>
      <c r="AB42" s="219"/>
      <c r="AC42" s="220"/>
      <c r="AD42" s="219"/>
      <c r="AE42" s="220"/>
      <c r="AF42" s="220"/>
      <c r="AG42" s="217"/>
      <c r="AH42" s="217"/>
      <c r="AI42" s="217"/>
      <c r="AJ42" s="217"/>
      <c r="AK42" s="217"/>
      <c r="AL42" s="725"/>
      <c r="AM42" s="725"/>
      <c r="AN42" s="725"/>
      <c r="AO42" s="479"/>
      <c r="AP42" s="179"/>
      <c r="AQ42" s="88"/>
      <c r="AR42" s="206" t="e">
        <f>+AR36-AR38-AR39</f>
        <v>#REF!</v>
      </c>
      <c r="AS42" s="206" t="e">
        <f>+AS36-AS38-AS39</f>
        <v>#REF!</v>
      </c>
      <c r="AT42" s="206">
        <f>+AT36-AT38-AT39</f>
        <v>14129</v>
      </c>
      <c r="AU42" s="206">
        <f>+AU36-AU38-AU39</f>
        <v>9533</v>
      </c>
      <c r="AV42" s="206">
        <f>+AV36-AV38-AV39</f>
        <v>2031</v>
      </c>
      <c r="AW42" s="250"/>
      <c r="AX42" s="250"/>
      <c r="AY42" s="479">
        <f>AY36-AY38</f>
        <v>29992</v>
      </c>
      <c r="AZ42" s="303">
        <f>AZ36-AZ38</f>
        <v>20368</v>
      </c>
      <c r="BA42" s="317">
        <v>15914</v>
      </c>
      <c r="BB42" s="725"/>
      <c r="BC42" s="366"/>
      <c r="BG42" s="207"/>
    </row>
    <row r="43" spans="1:59" s="95" customFormat="1" ht="12.75" customHeight="1" thickTop="1" x14ac:dyDescent="0.2">
      <c r="A43" s="141"/>
      <c r="B43" s="615"/>
      <c r="C43" s="231"/>
      <c r="D43" s="41"/>
      <c r="E43" s="41"/>
      <c r="F43" s="755"/>
      <c r="G43" s="755"/>
      <c r="H43" s="755"/>
      <c r="I43" s="745"/>
      <c r="J43" s="755"/>
      <c r="K43" s="755"/>
      <c r="L43" s="755"/>
      <c r="M43" s="745"/>
      <c r="N43" s="41"/>
      <c r="O43" s="41"/>
      <c r="P43" s="41"/>
      <c r="Q43" s="231"/>
      <c r="R43" s="41"/>
      <c r="S43" s="41"/>
      <c r="T43" s="41"/>
      <c r="U43" s="231"/>
      <c r="V43" s="41"/>
      <c r="W43" s="41"/>
      <c r="X43" s="41"/>
      <c r="Y43" s="231"/>
      <c r="Z43" s="41"/>
      <c r="AA43" s="41"/>
      <c r="AB43" s="41"/>
      <c r="AC43" s="231"/>
      <c r="AD43" s="231"/>
      <c r="AE43" s="231"/>
      <c r="AF43" s="231"/>
      <c r="AG43" s="231"/>
      <c r="AH43" s="231"/>
      <c r="AI43" s="231"/>
      <c r="AJ43" s="231"/>
      <c r="AK43" s="231"/>
      <c r="AL43" s="242"/>
      <c r="AM43" s="242"/>
      <c r="AN43" s="242"/>
      <c r="AO43" s="251"/>
      <c r="AP43" s="41"/>
      <c r="AQ43" s="242"/>
      <c r="AR43" s="734"/>
      <c r="AS43" s="267"/>
      <c r="AT43" s="267"/>
      <c r="AU43" s="231"/>
      <c r="AV43" s="231"/>
      <c r="AW43" s="82"/>
      <c r="AX43" s="231"/>
      <c r="AY43" s="31"/>
      <c r="AZ43" s="31"/>
      <c r="BA43" s="31"/>
      <c r="BB43" s="3"/>
      <c r="BC43" s="207"/>
      <c r="BD43" s="207"/>
      <c r="BG43" s="207"/>
    </row>
    <row r="44" spans="1:59" s="95" customFormat="1" ht="12.75" customHeight="1" x14ac:dyDescent="0.2">
      <c r="A44" s="7" t="s">
        <v>335</v>
      </c>
      <c r="B44" s="615"/>
      <c r="C44" s="225" t="e">
        <f t="shared" ref="C44:C50" si="18">(I44-M44)*100</f>
        <v>#REF!</v>
      </c>
      <c r="D44" s="755"/>
      <c r="E44" s="755"/>
      <c r="F44" s="755"/>
      <c r="G44" s="755"/>
      <c r="H44" s="755"/>
      <c r="I44" s="755" t="e">
        <f>+I18/I$16</f>
        <v>#REF!</v>
      </c>
      <c r="J44" s="755" t="e">
        <f t="shared" ref="J44:L45" si="19">+J18/J$16</f>
        <v>#REF!</v>
      </c>
      <c r="K44" s="755" t="e">
        <f t="shared" si="19"/>
        <v>#REF!</v>
      </c>
      <c r="L44" s="755" t="e">
        <f t="shared" si="19"/>
        <v>#REF!</v>
      </c>
      <c r="M44" s="755" t="e">
        <f t="shared" ref="M44:AK44" si="20">+M18/M$16</f>
        <v>#REF!</v>
      </c>
      <c r="N44" s="755" t="e">
        <f t="shared" si="20"/>
        <v>#REF!</v>
      </c>
      <c r="O44" s="755">
        <f t="shared" si="20"/>
        <v>0.38751176655161595</v>
      </c>
      <c r="P44" s="755">
        <f t="shared" si="20"/>
        <v>0.5500107089312487</v>
      </c>
      <c r="Q44" s="755">
        <f t="shared" si="20"/>
        <v>0.50324464633354959</v>
      </c>
      <c r="R44" s="755">
        <f t="shared" si="20"/>
        <v>0.50201128635508607</v>
      </c>
      <c r="S44" s="755">
        <f t="shared" si="20"/>
        <v>0.46831483782509964</v>
      </c>
      <c r="T44" s="755">
        <f t="shared" si="20"/>
        <v>0.47862362307776202</v>
      </c>
      <c r="U44" s="755">
        <f t="shared" si="20"/>
        <v>0</v>
      </c>
      <c r="V44" s="755">
        <f t="shared" si="20"/>
        <v>0</v>
      </c>
      <c r="W44" s="755">
        <f t="shared" si="20"/>
        <v>0</v>
      </c>
      <c r="X44" s="755">
        <f t="shared" si="20"/>
        <v>0</v>
      </c>
      <c r="Y44" s="755">
        <f t="shared" si="20"/>
        <v>0</v>
      </c>
      <c r="Z44" s="755" t="e">
        <f t="shared" si="20"/>
        <v>#DIV/0!</v>
      </c>
      <c r="AA44" s="755" t="e">
        <f t="shared" si="20"/>
        <v>#DIV/0!</v>
      </c>
      <c r="AB44" s="755" t="e">
        <f t="shared" si="20"/>
        <v>#DIV/0!</v>
      </c>
      <c r="AC44" s="755" t="e">
        <f t="shared" si="20"/>
        <v>#DIV/0!</v>
      </c>
      <c r="AD44" s="755" t="e">
        <f t="shared" si="20"/>
        <v>#DIV/0!</v>
      </c>
      <c r="AE44" s="755" t="e">
        <f t="shared" si="20"/>
        <v>#DIV/0!</v>
      </c>
      <c r="AF44" s="755" t="e">
        <f t="shared" si="20"/>
        <v>#DIV/0!</v>
      </c>
      <c r="AG44" s="755" t="e">
        <f t="shared" si="20"/>
        <v>#DIV/0!</v>
      </c>
      <c r="AH44" s="755" t="e">
        <f t="shared" si="20"/>
        <v>#DIV/0!</v>
      </c>
      <c r="AI44" s="755" t="e">
        <f t="shared" si="20"/>
        <v>#DIV/0!</v>
      </c>
      <c r="AJ44" s="755" t="e">
        <f t="shared" si="20"/>
        <v>#DIV/0!</v>
      </c>
      <c r="AK44" s="755" t="e">
        <f t="shared" si="20"/>
        <v>#DIV/0!</v>
      </c>
      <c r="AL44" s="242"/>
      <c r="AM44" s="755" t="e">
        <f>+AM18/AM$16</f>
        <v>#REF!</v>
      </c>
      <c r="AN44" s="755">
        <f>+AN18/AN$16</f>
        <v>0.47009447210519595</v>
      </c>
      <c r="AO44" s="225" t="e">
        <f t="shared" ref="AO44:AO50" si="21">(AR44-AS44)*100</f>
        <v>#REF!</v>
      </c>
      <c r="AP44" s="755"/>
      <c r="AQ44" s="242"/>
      <c r="AR44" s="755" t="e">
        <f t="shared" ref="AR44:AW45" si="22">+AR18/AR$16</f>
        <v>#REF!</v>
      </c>
      <c r="AS44" s="755" t="e">
        <f t="shared" si="22"/>
        <v>#REF!</v>
      </c>
      <c r="AT44" s="755">
        <f t="shared" si="22"/>
        <v>0.47434638583467309</v>
      </c>
      <c r="AU44" s="755">
        <f t="shared" si="22"/>
        <v>0.49825357168845658</v>
      </c>
      <c r="AV44" s="755">
        <f t="shared" si="22"/>
        <v>0.44623316786879852</v>
      </c>
      <c r="AW44" s="755">
        <f t="shared" si="22"/>
        <v>0.47108136429706249</v>
      </c>
      <c r="AX44" s="745"/>
      <c r="AY44" s="754"/>
      <c r="AZ44" s="754"/>
      <c r="BA44" s="754"/>
      <c r="BB44" s="722"/>
      <c r="BC44" s="207"/>
      <c r="BD44" s="207"/>
      <c r="BG44" s="207"/>
    </row>
    <row r="45" spans="1:59" s="95" customFormat="1" ht="12.75" customHeight="1" x14ac:dyDescent="0.2">
      <c r="A45" s="7" t="s">
        <v>336</v>
      </c>
      <c r="B45" s="615"/>
      <c r="C45" s="225" t="e">
        <f t="shared" si="18"/>
        <v>#REF!</v>
      </c>
      <c r="D45" s="755"/>
      <c r="E45" s="755"/>
      <c r="F45" s="755"/>
      <c r="G45" s="755"/>
      <c r="H45" s="755"/>
      <c r="I45" s="755" t="e">
        <f>+I19/I$16</f>
        <v>#REF!</v>
      </c>
      <c r="J45" s="755" t="e">
        <f t="shared" si="19"/>
        <v>#REF!</v>
      </c>
      <c r="K45" s="755" t="e">
        <f t="shared" si="19"/>
        <v>#REF!</v>
      </c>
      <c r="L45" s="755" t="e">
        <f t="shared" si="19"/>
        <v>#REF!</v>
      </c>
      <c r="M45" s="755" t="e">
        <f t="shared" ref="M45:AK45" si="23">+M19/M$16</f>
        <v>#REF!</v>
      </c>
      <c r="N45" s="755" t="e">
        <f t="shared" si="23"/>
        <v>#REF!</v>
      </c>
      <c r="O45" s="755">
        <f t="shared" si="23"/>
        <v>7.7659240665202384E-2</v>
      </c>
      <c r="P45" s="755">
        <f t="shared" si="23"/>
        <v>8.3850931677018639E-2</v>
      </c>
      <c r="Q45" s="755">
        <f t="shared" si="23"/>
        <v>0.11118321436296777</v>
      </c>
      <c r="R45" s="755">
        <f t="shared" si="23"/>
        <v>-1.4701200983938649E-2</v>
      </c>
      <c r="S45" s="755">
        <f t="shared" si="23"/>
        <v>6.9240327349072373E-2</v>
      </c>
      <c r="T45" s="755">
        <f t="shared" si="23"/>
        <v>2.4266550332642599E-2</v>
      </c>
      <c r="U45" s="755">
        <f t="shared" si="23"/>
        <v>0</v>
      </c>
      <c r="V45" s="755">
        <f t="shared" si="23"/>
        <v>0</v>
      </c>
      <c r="W45" s="755">
        <f t="shared" si="23"/>
        <v>0</v>
      </c>
      <c r="X45" s="755">
        <f t="shared" si="23"/>
        <v>0</v>
      </c>
      <c r="Y45" s="755">
        <f t="shared" si="23"/>
        <v>0</v>
      </c>
      <c r="Z45" s="755" t="e">
        <f t="shared" si="23"/>
        <v>#DIV/0!</v>
      </c>
      <c r="AA45" s="755" t="e">
        <f t="shared" si="23"/>
        <v>#DIV/0!</v>
      </c>
      <c r="AB45" s="755" t="e">
        <f t="shared" si="23"/>
        <v>#DIV/0!</v>
      </c>
      <c r="AC45" s="755" t="e">
        <f t="shared" si="23"/>
        <v>#DIV/0!</v>
      </c>
      <c r="AD45" s="755" t="e">
        <f t="shared" si="23"/>
        <v>#DIV/0!</v>
      </c>
      <c r="AE45" s="755" t="e">
        <f t="shared" si="23"/>
        <v>#DIV/0!</v>
      </c>
      <c r="AF45" s="755" t="e">
        <f t="shared" si="23"/>
        <v>#DIV/0!</v>
      </c>
      <c r="AG45" s="755" t="e">
        <f t="shared" si="23"/>
        <v>#DIV/0!</v>
      </c>
      <c r="AH45" s="755" t="e">
        <f t="shared" si="23"/>
        <v>#DIV/0!</v>
      </c>
      <c r="AI45" s="755" t="e">
        <f t="shared" si="23"/>
        <v>#DIV/0!</v>
      </c>
      <c r="AJ45" s="755" t="e">
        <f t="shared" si="23"/>
        <v>#DIV/0!</v>
      </c>
      <c r="AK45" s="755" t="e">
        <f t="shared" si="23"/>
        <v>#DIV/0!</v>
      </c>
      <c r="AL45" s="242"/>
      <c r="AM45" s="755" t="e">
        <f>+AM19/AM$16</f>
        <v>#REF!</v>
      </c>
      <c r="AN45" s="755">
        <f>+AN19/AN$16</f>
        <v>8.9397421166858171E-2</v>
      </c>
      <c r="AO45" s="225" t="e">
        <f t="shared" si="21"/>
        <v>#REF!</v>
      </c>
      <c r="AP45" s="755"/>
      <c r="AQ45" s="242"/>
      <c r="AR45" s="755" t="e">
        <f t="shared" si="22"/>
        <v>#REF!</v>
      </c>
      <c r="AS45" s="755" t="e">
        <f t="shared" si="22"/>
        <v>#REF!</v>
      </c>
      <c r="AT45" s="755">
        <f t="shared" si="22"/>
        <v>2.4785005988540845E-2</v>
      </c>
      <c r="AU45" s="755">
        <f t="shared" si="22"/>
        <v>4.0301258883741239E-2</v>
      </c>
      <c r="AV45" s="755">
        <f t="shared" si="22"/>
        <v>2.5765844829004743E-2</v>
      </c>
      <c r="AW45" s="755">
        <f t="shared" si="22"/>
        <v>3.3490518203022006E-2</v>
      </c>
      <c r="AX45" s="745"/>
      <c r="AY45" s="754"/>
      <c r="AZ45" s="754"/>
      <c r="BA45" s="754"/>
      <c r="BB45" s="722"/>
      <c r="BC45" s="207"/>
      <c r="BD45" s="207"/>
      <c r="BG45" s="207"/>
    </row>
    <row r="46" spans="1:59" s="95" customFormat="1" ht="12.75" customHeight="1" x14ac:dyDescent="0.2">
      <c r="A46" s="143" t="s">
        <v>79</v>
      </c>
      <c r="B46" s="615"/>
      <c r="C46" s="225" t="e">
        <f t="shared" si="18"/>
        <v>#REF!</v>
      </c>
      <c r="D46" s="35"/>
      <c r="E46" s="35"/>
      <c r="F46" s="35"/>
      <c r="G46" s="35"/>
      <c r="H46" s="35"/>
      <c r="I46" s="35" t="e">
        <f>I22/I16</f>
        <v>#REF!</v>
      </c>
      <c r="J46" s="35" t="e">
        <f t="shared" ref="J46:O46" si="24">J22/J16</f>
        <v>#REF!</v>
      </c>
      <c r="K46" s="35" t="e">
        <f t="shared" si="24"/>
        <v>#REF!</v>
      </c>
      <c r="L46" s="35" t="e">
        <f t="shared" si="24"/>
        <v>#REF!</v>
      </c>
      <c r="M46" s="35" t="e">
        <f t="shared" si="24"/>
        <v>#REF!</v>
      </c>
      <c r="N46" s="35" t="e">
        <f t="shared" si="24"/>
        <v>#REF!</v>
      </c>
      <c r="O46" s="35">
        <f t="shared" si="24"/>
        <v>0.5043144022591779</v>
      </c>
      <c r="P46" s="35">
        <f t="shared" ref="P46:AX46" si="25">P22/P16</f>
        <v>0.69190404797601202</v>
      </c>
      <c r="Q46" s="35">
        <f t="shared" si="25"/>
        <v>0.67153363616699113</v>
      </c>
      <c r="R46" s="35">
        <f t="shared" si="25"/>
        <v>0.49943568224569529</v>
      </c>
      <c r="S46" s="35">
        <f t="shared" si="25"/>
        <v>0.55567933501863831</v>
      </c>
      <c r="T46" s="35">
        <f t="shared" si="25"/>
        <v>0.52633875013632891</v>
      </c>
      <c r="U46" s="35">
        <f t="shared" si="25"/>
        <v>0.48878078443295836</v>
      </c>
      <c r="V46" s="35">
        <f t="shared" si="25"/>
        <v>0.52519570618290912</v>
      </c>
      <c r="W46" s="35">
        <f t="shared" si="25"/>
        <v>0.587449377389198</v>
      </c>
      <c r="X46" s="35">
        <f t="shared" si="25"/>
        <v>0.60348457350272233</v>
      </c>
      <c r="Y46" s="35">
        <f t="shared" si="25"/>
        <v>0.52267622461170848</v>
      </c>
      <c r="Z46" s="35" t="e">
        <f t="shared" si="25"/>
        <v>#DIV/0!</v>
      </c>
      <c r="AA46" s="35" t="e">
        <f t="shared" si="25"/>
        <v>#DIV/0!</v>
      </c>
      <c r="AB46" s="35" t="e">
        <f t="shared" si="25"/>
        <v>#DIV/0!</v>
      </c>
      <c r="AC46" s="35" t="e">
        <f t="shared" si="25"/>
        <v>#DIV/0!</v>
      </c>
      <c r="AD46" s="35" t="e">
        <f t="shared" si="25"/>
        <v>#DIV/0!</v>
      </c>
      <c r="AE46" s="35" t="e">
        <f t="shared" si="25"/>
        <v>#DIV/0!</v>
      </c>
      <c r="AF46" s="35" t="e">
        <f t="shared" si="25"/>
        <v>#DIV/0!</v>
      </c>
      <c r="AG46" s="35" t="e">
        <f t="shared" si="25"/>
        <v>#DIV/0!</v>
      </c>
      <c r="AH46" s="35" t="e">
        <f t="shared" si="25"/>
        <v>#DIV/0!</v>
      </c>
      <c r="AI46" s="35" t="e">
        <f t="shared" si="25"/>
        <v>#DIV/0!</v>
      </c>
      <c r="AJ46" s="35" t="e">
        <f t="shared" si="25"/>
        <v>#DIV/0!</v>
      </c>
      <c r="AK46" s="35" t="e">
        <f t="shared" si="25"/>
        <v>#DIV/0!</v>
      </c>
      <c r="AL46" s="35"/>
      <c r="AM46" s="35" t="e">
        <f>AM22/AM16</f>
        <v>#REF!</v>
      </c>
      <c r="AN46" s="35">
        <f>AN22/AN16</f>
        <v>0.60956849227626708</v>
      </c>
      <c r="AO46" s="225" t="e">
        <f t="shared" si="21"/>
        <v>#REF!</v>
      </c>
      <c r="AP46" s="35"/>
      <c r="AQ46" s="35"/>
      <c r="AR46" s="35" t="e">
        <f>AR22/AR16</f>
        <v>#REF!</v>
      </c>
      <c r="AS46" s="35" t="e">
        <f>AS22/AS16</f>
        <v>#REF!</v>
      </c>
      <c r="AT46" s="35">
        <f t="shared" si="25"/>
        <v>0.51703227337958713</v>
      </c>
      <c r="AU46" s="35">
        <f>AU22/AU16</f>
        <v>0.55758362238338954</v>
      </c>
      <c r="AV46" s="35">
        <f t="shared" si="25"/>
        <v>0.49337684776348628</v>
      </c>
      <c r="AW46" s="35">
        <f t="shared" si="25"/>
        <v>0.51784808842916541</v>
      </c>
      <c r="AX46" s="35">
        <f t="shared" si="25"/>
        <v>0.55688784154267934</v>
      </c>
      <c r="AY46" s="305">
        <v>0.54700000000000004</v>
      </c>
      <c r="AZ46" s="305">
        <v>0.56899999999999995</v>
      </c>
      <c r="BA46" s="305">
        <v>0.63900000000000001</v>
      </c>
      <c r="BB46" s="3"/>
      <c r="BC46" s="207"/>
      <c r="BD46" s="207"/>
      <c r="BG46" s="207"/>
    </row>
    <row r="47" spans="1:59" s="95" customFormat="1" ht="12.75" customHeight="1" x14ac:dyDescent="0.2">
      <c r="A47" s="143" t="s">
        <v>224</v>
      </c>
      <c r="B47" s="615"/>
      <c r="C47" s="225" t="e">
        <f t="shared" si="18"/>
        <v>#REF!</v>
      </c>
      <c r="D47" s="35"/>
      <c r="E47" s="35"/>
      <c r="F47" s="35"/>
      <c r="G47" s="35"/>
      <c r="H47" s="35"/>
      <c r="I47" s="35" t="e">
        <f t="shared" ref="I47:O47" si="26">(I22+I23)/I16</f>
        <v>#REF!</v>
      </c>
      <c r="J47" s="35" t="e">
        <f t="shared" si="26"/>
        <v>#REF!</v>
      </c>
      <c r="K47" s="35" t="e">
        <f t="shared" si="26"/>
        <v>#REF!</v>
      </c>
      <c r="L47" s="35" t="e">
        <f t="shared" si="26"/>
        <v>#REF!</v>
      </c>
      <c r="M47" s="35" t="e">
        <f t="shared" si="26"/>
        <v>#REF!</v>
      </c>
      <c r="N47" s="35" t="e">
        <f t="shared" si="26"/>
        <v>#REF!</v>
      </c>
      <c r="O47" s="35">
        <f t="shared" si="26"/>
        <v>0.60260433009099468</v>
      </c>
      <c r="P47" s="35">
        <f t="shared" ref="P47:AX47" si="27">(P22+P23)/P16</f>
        <v>0.8218033840222746</v>
      </c>
      <c r="Q47" s="35">
        <f t="shared" si="27"/>
        <v>0.80856586632057104</v>
      </c>
      <c r="R47" s="35">
        <f t="shared" si="27"/>
        <v>0.53555201852119805</v>
      </c>
      <c r="S47" s="35">
        <f t="shared" si="27"/>
        <v>0.61150863361755003</v>
      </c>
      <c r="T47" s="35">
        <f t="shared" si="27"/>
        <v>0.59477587523175923</v>
      </c>
      <c r="U47" s="35">
        <f t="shared" si="27"/>
        <v>0.56430525995743386</v>
      </c>
      <c r="V47" s="35">
        <f t="shared" si="27"/>
        <v>0.61444710073594899</v>
      </c>
      <c r="W47" s="35">
        <f t="shared" si="27"/>
        <v>0.65073237197683664</v>
      </c>
      <c r="X47" s="35">
        <f t="shared" si="27"/>
        <v>0.70482758620689656</v>
      </c>
      <c r="Y47" s="35">
        <f t="shared" si="27"/>
        <v>0.59307048984468336</v>
      </c>
      <c r="Z47" s="35" t="e">
        <f t="shared" si="27"/>
        <v>#DIV/0!</v>
      </c>
      <c r="AA47" s="35" t="e">
        <f t="shared" si="27"/>
        <v>#DIV/0!</v>
      </c>
      <c r="AB47" s="35" t="e">
        <f t="shared" si="27"/>
        <v>#DIV/0!</v>
      </c>
      <c r="AC47" s="35" t="e">
        <f t="shared" si="27"/>
        <v>#DIV/0!</v>
      </c>
      <c r="AD47" s="35" t="e">
        <f t="shared" si="27"/>
        <v>#DIV/0!</v>
      </c>
      <c r="AE47" s="35" t="e">
        <f t="shared" si="27"/>
        <v>#DIV/0!</v>
      </c>
      <c r="AF47" s="35" t="e">
        <f t="shared" si="27"/>
        <v>#DIV/0!</v>
      </c>
      <c r="AG47" s="35" t="e">
        <f t="shared" si="27"/>
        <v>#DIV/0!</v>
      </c>
      <c r="AH47" s="35" t="e">
        <f t="shared" si="27"/>
        <v>#DIV/0!</v>
      </c>
      <c r="AI47" s="35" t="e">
        <f t="shared" si="27"/>
        <v>#DIV/0!</v>
      </c>
      <c r="AJ47" s="35" t="e">
        <f t="shared" si="27"/>
        <v>#DIV/0!</v>
      </c>
      <c r="AK47" s="35" t="e">
        <f t="shared" si="27"/>
        <v>#DIV/0!</v>
      </c>
      <c r="AL47" s="35"/>
      <c r="AM47" s="35" t="e">
        <f>(AM22+AM23)/AM16</f>
        <v>#REF!</v>
      </c>
      <c r="AN47" s="35">
        <f>(AN22+AN23)/AN16</f>
        <v>0.72871186007915234</v>
      </c>
      <c r="AO47" s="225" t="e">
        <f t="shared" si="21"/>
        <v>#REF!</v>
      </c>
      <c r="AP47" s="35"/>
      <c r="AQ47" s="35"/>
      <c r="AR47" s="35" t="e">
        <f>(AR22+AR23)/AR16</f>
        <v>#REF!</v>
      </c>
      <c r="AS47" s="35" t="e">
        <f>(AS22+AS23)/AS16</f>
        <v>#REF!</v>
      </c>
      <c r="AT47" s="35">
        <f t="shared" si="27"/>
        <v>0.5715010196704684</v>
      </c>
      <c r="AU47" s="35">
        <f t="shared" si="27"/>
        <v>0.63574841729934262</v>
      </c>
      <c r="AV47" s="35">
        <f t="shared" si="27"/>
        <v>0.56965965499273241</v>
      </c>
      <c r="AW47" s="35">
        <f t="shared" si="27"/>
        <v>0.55627387350843394</v>
      </c>
      <c r="AX47" s="35">
        <f t="shared" si="27"/>
        <v>0.58076117425992668</v>
      </c>
      <c r="AY47" s="305">
        <v>0.57299999999999995</v>
      </c>
      <c r="AZ47" s="305">
        <v>0.64500000000000002</v>
      </c>
      <c r="BA47" s="305">
        <v>0.70799999999999996</v>
      </c>
      <c r="BB47" s="3"/>
      <c r="BC47" s="207"/>
      <c r="BD47" s="207"/>
      <c r="BG47" s="207"/>
    </row>
    <row r="48" spans="1:59" s="95" customFormat="1" ht="12.75" customHeight="1" x14ac:dyDescent="0.2">
      <c r="A48" s="143" t="s">
        <v>80</v>
      </c>
      <c r="B48" s="615"/>
      <c r="C48" s="225" t="e">
        <f t="shared" si="18"/>
        <v>#REF!</v>
      </c>
      <c r="D48" s="35"/>
      <c r="E48" s="35"/>
      <c r="F48" s="35"/>
      <c r="G48" s="35"/>
      <c r="H48" s="35"/>
      <c r="I48" s="35" t="e">
        <f t="shared" ref="I48:S48" si="28">(I35-I22-I23)/I16</f>
        <v>#REF!</v>
      </c>
      <c r="J48" s="35" t="e">
        <f t="shared" si="28"/>
        <v>#REF!</v>
      </c>
      <c r="K48" s="35" t="e">
        <f t="shared" si="28"/>
        <v>#REF!</v>
      </c>
      <c r="L48" s="35" t="e">
        <f t="shared" si="28"/>
        <v>#REF!</v>
      </c>
      <c r="M48" s="35" t="e">
        <f t="shared" si="28"/>
        <v>#REF!</v>
      </c>
      <c r="N48" s="35" t="e">
        <f t="shared" si="28"/>
        <v>#REF!</v>
      </c>
      <c r="O48" s="35">
        <f t="shared" si="28"/>
        <v>0.47607467838092249</v>
      </c>
      <c r="P48" s="35">
        <f t="shared" si="28"/>
        <v>0.60184193617476978</v>
      </c>
      <c r="Q48" s="35">
        <f t="shared" si="28"/>
        <v>0.71425481289206139</v>
      </c>
      <c r="R48" s="35">
        <f t="shared" si="28"/>
        <v>0.1941542468528433</v>
      </c>
      <c r="S48" s="35">
        <f t="shared" si="28"/>
        <v>0.26187925789451133</v>
      </c>
      <c r="T48" s="35">
        <f t="shared" ref="T48:AK48" si="29">(T25+T26+T27+T28+T29+T30+T32)/T16</f>
        <v>0.27134911113534738</v>
      </c>
      <c r="U48" s="35">
        <f t="shared" si="29"/>
        <v>0.34454241410763148</v>
      </c>
      <c r="V48" s="35">
        <f t="shared" si="29"/>
        <v>0.19317489335770871</v>
      </c>
      <c r="W48" s="35">
        <f t="shared" si="29"/>
        <v>0.16759395935051663</v>
      </c>
      <c r="X48" s="35">
        <f t="shared" si="29"/>
        <v>0.32029038112522684</v>
      </c>
      <c r="Y48" s="35">
        <f t="shared" si="29"/>
        <v>0.21639187574671445</v>
      </c>
      <c r="Z48" s="35" t="e">
        <f t="shared" si="29"/>
        <v>#DIV/0!</v>
      </c>
      <c r="AA48" s="35" t="e">
        <f t="shared" si="29"/>
        <v>#DIV/0!</v>
      </c>
      <c r="AB48" s="35" t="e">
        <f t="shared" si="29"/>
        <v>#DIV/0!</v>
      </c>
      <c r="AC48" s="35" t="e">
        <f t="shared" si="29"/>
        <v>#DIV/0!</v>
      </c>
      <c r="AD48" s="35" t="e">
        <f t="shared" si="29"/>
        <v>#DIV/0!</v>
      </c>
      <c r="AE48" s="35" t="e">
        <f t="shared" si="29"/>
        <v>#DIV/0!</v>
      </c>
      <c r="AF48" s="35" t="e">
        <f t="shared" si="29"/>
        <v>#DIV/0!</v>
      </c>
      <c r="AG48" s="35" t="e">
        <f t="shared" si="29"/>
        <v>#DIV/0!</v>
      </c>
      <c r="AH48" s="35" t="e">
        <f t="shared" si="29"/>
        <v>#DIV/0!</v>
      </c>
      <c r="AI48" s="35" t="e">
        <f t="shared" si="29"/>
        <v>#DIV/0!</v>
      </c>
      <c r="AJ48" s="35" t="e">
        <f t="shared" si="29"/>
        <v>#DIV/0!</v>
      </c>
      <c r="AK48" s="35" t="e">
        <f t="shared" si="29"/>
        <v>#DIV/0!</v>
      </c>
      <c r="AL48" s="35"/>
      <c r="AM48" s="35" t="e">
        <f>(AM35-AM22-AM23)/AM16</f>
        <v>#REF!</v>
      </c>
      <c r="AN48" s="35">
        <f>(AN35-AN22-AN23)/AN16</f>
        <v>0.58384399336141968</v>
      </c>
      <c r="AO48" s="225" t="e">
        <f t="shared" si="21"/>
        <v>#REF!</v>
      </c>
      <c r="AP48" s="35"/>
      <c r="AQ48" s="35"/>
      <c r="AR48" s="35" t="e">
        <f t="shared" ref="AR48:AW48" si="30">+(AR35-AR23-AR22)/AR16</f>
        <v>#REF!</v>
      </c>
      <c r="AS48" s="35" t="e">
        <f t="shared" si="30"/>
        <v>#REF!</v>
      </c>
      <c r="AT48" s="35">
        <f t="shared" si="30"/>
        <v>0.27604475759897279</v>
      </c>
      <c r="AU48" s="35">
        <f t="shared" si="30"/>
        <v>0.24863560288160672</v>
      </c>
      <c r="AV48" s="35">
        <f t="shared" si="30"/>
        <v>0.4024901955406851</v>
      </c>
      <c r="AW48" s="35">
        <f t="shared" si="30"/>
        <v>0.19347260250819728</v>
      </c>
      <c r="AX48" s="35">
        <f>(AX25+AX26+AX27+AX28+AX29+AX30+AX32)/AX16</f>
        <v>0.17301235252441241</v>
      </c>
      <c r="AY48" s="318">
        <v>9.4E-2</v>
      </c>
      <c r="AZ48" s="318">
        <v>9.2999999999999999E-2</v>
      </c>
      <c r="BA48" s="318">
        <v>0.104</v>
      </c>
      <c r="BB48" s="3"/>
      <c r="BC48" s="207"/>
      <c r="BD48" s="207"/>
      <c r="BG48" s="207"/>
    </row>
    <row r="49" spans="1:59" s="95" customFormat="1" ht="12.75" customHeight="1" x14ac:dyDescent="0.2">
      <c r="A49" s="143" t="s">
        <v>81</v>
      </c>
      <c r="B49" s="615"/>
      <c r="C49" s="225" t="e">
        <f t="shared" si="18"/>
        <v>#REF!</v>
      </c>
      <c r="D49" s="35"/>
      <c r="E49" s="35"/>
      <c r="F49" s="35"/>
      <c r="G49" s="35"/>
      <c r="H49" s="35"/>
      <c r="I49" s="35" t="e">
        <f>I35/I16</f>
        <v>#REF!</v>
      </c>
      <c r="J49" s="35" t="e">
        <f>J35/J16</f>
        <v>#REF!</v>
      </c>
      <c r="K49" s="35" t="e">
        <f>K35/K16</f>
        <v>#REF!</v>
      </c>
      <c r="L49" s="35" t="e">
        <f t="shared" ref="L49:AK49" si="31">L35/L16</f>
        <v>#REF!</v>
      </c>
      <c r="M49" s="35" t="e">
        <f t="shared" si="31"/>
        <v>#REF!</v>
      </c>
      <c r="N49" s="35" t="e">
        <f t="shared" si="31"/>
        <v>#REF!</v>
      </c>
      <c r="O49" s="35">
        <f t="shared" si="31"/>
        <v>1.0786790084719171</v>
      </c>
      <c r="P49" s="35">
        <f t="shared" si="31"/>
        <v>1.4236453201970443</v>
      </c>
      <c r="Q49" s="35">
        <f t="shared" si="31"/>
        <v>1.5228206792126324</v>
      </c>
      <c r="R49" s="35">
        <f t="shared" si="31"/>
        <v>0.72970626537404137</v>
      </c>
      <c r="S49" s="35">
        <f t="shared" si="31"/>
        <v>0.87338789151206131</v>
      </c>
      <c r="T49" s="35">
        <f t="shared" si="31"/>
        <v>0.92131093903370054</v>
      </c>
      <c r="U49" s="35">
        <f t="shared" si="31"/>
        <v>0.97622377622377621</v>
      </c>
      <c r="V49" s="35">
        <f t="shared" si="31"/>
        <v>0.90006093845216328</v>
      </c>
      <c r="W49" s="35">
        <f t="shared" si="31"/>
        <v>0.83138412626319969</v>
      </c>
      <c r="X49" s="35">
        <f t="shared" si="31"/>
        <v>1.0500181488203266</v>
      </c>
      <c r="Y49" s="35">
        <f t="shared" si="31"/>
        <v>0.82628434886499402</v>
      </c>
      <c r="Z49" s="35" t="e">
        <f t="shared" si="31"/>
        <v>#DIV/0!</v>
      </c>
      <c r="AA49" s="35" t="e">
        <f t="shared" si="31"/>
        <v>#DIV/0!</v>
      </c>
      <c r="AB49" s="35" t="e">
        <f t="shared" si="31"/>
        <v>#DIV/0!</v>
      </c>
      <c r="AC49" s="35" t="e">
        <f t="shared" si="31"/>
        <v>#DIV/0!</v>
      </c>
      <c r="AD49" s="35" t="e">
        <f t="shared" si="31"/>
        <v>#DIV/0!</v>
      </c>
      <c r="AE49" s="35" t="e">
        <f t="shared" si="31"/>
        <v>#DIV/0!</v>
      </c>
      <c r="AF49" s="35" t="e">
        <f t="shared" si="31"/>
        <v>#DIV/0!</v>
      </c>
      <c r="AG49" s="35" t="e">
        <f t="shared" si="31"/>
        <v>#DIV/0!</v>
      </c>
      <c r="AH49" s="35" t="e">
        <f t="shared" si="31"/>
        <v>#DIV/0!</v>
      </c>
      <c r="AI49" s="35" t="e">
        <f t="shared" si="31"/>
        <v>#DIV/0!</v>
      </c>
      <c r="AJ49" s="35" t="e">
        <f t="shared" si="31"/>
        <v>#DIV/0!</v>
      </c>
      <c r="AK49" s="35" t="e">
        <f t="shared" si="31"/>
        <v>#DIV/0!</v>
      </c>
      <c r="AL49" s="35"/>
      <c r="AM49" s="35" t="e">
        <f>AM35/AM16</f>
        <v>#REF!</v>
      </c>
      <c r="AN49" s="35">
        <f>AN35/AN16</f>
        <v>1.3125558534405719</v>
      </c>
      <c r="AO49" s="225" t="e">
        <f t="shared" si="21"/>
        <v>#REF!</v>
      </c>
      <c r="AP49" s="35"/>
      <c r="AQ49" s="35"/>
      <c r="AR49" s="35" t="e">
        <f>AR35/AR16</f>
        <v>#REF!</v>
      </c>
      <c r="AS49" s="35" t="e">
        <f t="shared" ref="AS49:AX49" si="32">AS35/AS16</f>
        <v>#REF!</v>
      </c>
      <c r="AT49" s="35">
        <f t="shared" si="32"/>
        <v>0.84754577726944114</v>
      </c>
      <c r="AU49" s="35">
        <f t="shared" si="32"/>
        <v>0.88438402018094942</v>
      </c>
      <c r="AV49" s="35">
        <f t="shared" si="32"/>
        <v>0.9721498505334174</v>
      </c>
      <c r="AW49" s="35">
        <f t="shared" si="32"/>
        <v>0.74974647601663114</v>
      </c>
      <c r="AX49" s="35">
        <f t="shared" si="32"/>
        <v>0.7558451159781906</v>
      </c>
      <c r="AY49" s="318">
        <v>0.66699999999999993</v>
      </c>
      <c r="AZ49" s="318">
        <v>0.73799999999999999</v>
      </c>
      <c r="BA49" s="318">
        <v>0.81199999999999994</v>
      </c>
      <c r="BB49" s="3"/>
      <c r="BC49" s="207"/>
      <c r="BD49" s="207"/>
      <c r="BG49" s="207"/>
    </row>
    <row r="50" spans="1:59" s="95" customFormat="1" ht="12.75" customHeight="1" x14ac:dyDescent="0.2">
      <c r="A50" s="143" t="s">
        <v>82</v>
      </c>
      <c r="B50" s="615"/>
      <c r="C50" s="225" t="e">
        <f t="shared" si="18"/>
        <v>#REF!</v>
      </c>
      <c r="D50" s="35"/>
      <c r="E50" s="35"/>
      <c r="F50" s="35"/>
      <c r="G50" s="35"/>
      <c r="H50" s="35"/>
      <c r="I50" s="35" t="e">
        <f>I36/I16</f>
        <v>#REF!</v>
      </c>
      <c r="J50" s="35" t="e">
        <f>J36/J16</f>
        <v>#REF!</v>
      </c>
      <c r="K50" s="35" t="e">
        <f>K36/K16</f>
        <v>#REF!</v>
      </c>
      <c r="L50" s="35" t="e">
        <f t="shared" ref="L50:AK50" si="33">L36/L16</f>
        <v>#REF!</v>
      </c>
      <c r="M50" s="35" t="e">
        <f t="shared" si="33"/>
        <v>#REF!</v>
      </c>
      <c r="N50" s="35" t="e">
        <f t="shared" si="33"/>
        <v>#REF!</v>
      </c>
      <c r="O50" s="35">
        <f t="shared" si="33"/>
        <v>-7.8679008471917167E-2</v>
      </c>
      <c r="P50" s="35">
        <f t="shared" si="33"/>
        <v>-0.42364532019704432</v>
      </c>
      <c r="Q50" s="35">
        <f t="shared" si="33"/>
        <v>-0.52282067921263253</v>
      </c>
      <c r="R50" s="35">
        <f t="shared" si="33"/>
        <v>0.27029373462595863</v>
      </c>
      <c r="S50" s="35">
        <f t="shared" si="33"/>
        <v>0.12661210848793863</v>
      </c>
      <c r="T50" s="35">
        <f t="shared" si="33"/>
        <v>7.868906096629949E-2</v>
      </c>
      <c r="U50" s="35">
        <f t="shared" si="33"/>
        <v>2.3776223776223775E-2</v>
      </c>
      <c r="V50" s="35">
        <f t="shared" si="33"/>
        <v>9.9939061547836688E-2</v>
      </c>
      <c r="W50" s="35">
        <f t="shared" si="33"/>
        <v>0.16861587373680026</v>
      </c>
      <c r="X50" s="35">
        <f t="shared" si="33"/>
        <v>-5.001814882032668E-2</v>
      </c>
      <c r="Y50" s="35">
        <f t="shared" si="33"/>
        <v>0.17371565113500598</v>
      </c>
      <c r="Z50" s="35" t="e">
        <f t="shared" si="33"/>
        <v>#DIV/0!</v>
      </c>
      <c r="AA50" s="35" t="e">
        <f t="shared" si="33"/>
        <v>#DIV/0!</v>
      </c>
      <c r="AB50" s="35" t="e">
        <f t="shared" si="33"/>
        <v>#DIV/0!</v>
      </c>
      <c r="AC50" s="35" t="e">
        <f t="shared" si="33"/>
        <v>#DIV/0!</v>
      </c>
      <c r="AD50" s="35" t="e">
        <f t="shared" si="33"/>
        <v>#DIV/0!</v>
      </c>
      <c r="AE50" s="35" t="e">
        <f t="shared" si="33"/>
        <v>#DIV/0!</v>
      </c>
      <c r="AF50" s="35" t="e">
        <f t="shared" si="33"/>
        <v>#DIV/0!</v>
      </c>
      <c r="AG50" s="35" t="e">
        <f t="shared" si="33"/>
        <v>#DIV/0!</v>
      </c>
      <c r="AH50" s="35" t="e">
        <f t="shared" si="33"/>
        <v>#DIV/0!</v>
      </c>
      <c r="AI50" s="35" t="e">
        <f t="shared" si="33"/>
        <v>#DIV/0!</v>
      </c>
      <c r="AJ50" s="35" t="e">
        <f t="shared" si="33"/>
        <v>#DIV/0!</v>
      </c>
      <c r="AK50" s="35" t="e">
        <f t="shared" si="33"/>
        <v>#DIV/0!</v>
      </c>
      <c r="AL50" s="35"/>
      <c r="AM50" s="35" t="e">
        <f>AM36/AM16</f>
        <v>#REF!</v>
      </c>
      <c r="AN50" s="35">
        <f>AN36/AN16</f>
        <v>-0.31255585344057196</v>
      </c>
      <c r="AO50" s="225" t="e">
        <f t="shared" si="21"/>
        <v>#REF!</v>
      </c>
      <c r="AP50" s="35"/>
      <c r="AQ50" s="35"/>
      <c r="AR50" s="35" t="e">
        <f>AR36/AR16</f>
        <v>#REF!</v>
      </c>
      <c r="AS50" s="35" t="e">
        <f t="shared" ref="AS50:AZ50" si="34">AS36/AS16</f>
        <v>#REF!</v>
      </c>
      <c r="AT50" s="35">
        <f t="shared" si="34"/>
        <v>0.15245422273055884</v>
      </c>
      <c r="AU50" s="35">
        <f t="shared" si="34"/>
        <v>0.11561597981905063</v>
      </c>
      <c r="AV50" s="35">
        <f t="shared" si="34"/>
        <v>2.7850149466582562E-2</v>
      </c>
      <c r="AW50" s="35">
        <f t="shared" si="34"/>
        <v>0.25025352398336881</v>
      </c>
      <c r="AX50" s="35">
        <f t="shared" si="34"/>
        <v>0.24415488402180943</v>
      </c>
      <c r="AY50" s="305">
        <f t="shared" si="34"/>
        <v>0.33309769658459093</v>
      </c>
      <c r="AZ50" s="305">
        <f t="shared" si="34"/>
        <v>0.26208975794642086</v>
      </c>
      <c r="BA50" s="305">
        <v>0.18800000000000006</v>
      </c>
      <c r="BB50" s="3"/>
      <c r="BC50" s="207"/>
      <c r="BD50" s="207"/>
      <c r="BG50" s="207"/>
    </row>
    <row r="51" spans="1:59" s="95" customFormat="1" ht="12.75" customHeight="1" x14ac:dyDescent="0.2">
      <c r="A51" s="141"/>
      <c r="B51" s="615"/>
      <c r="C51" s="35"/>
      <c r="D51" s="35"/>
      <c r="E51" s="35"/>
      <c r="F51" s="35"/>
      <c r="G51" s="35"/>
      <c r="H51" s="35"/>
      <c r="I51" s="724"/>
      <c r="J51" s="35"/>
      <c r="K51" s="35"/>
      <c r="L51" s="35"/>
      <c r="M51" s="724"/>
      <c r="N51" s="35"/>
      <c r="O51" s="35"/>
      <c r="P51" s="35"/>
      <c r="Q51" s="82"/>
      <c r="R51" s="35"/>
      <c r="S51" s="35"/>
      <c r="T51" s="35"/>
      <c r="U51" s="82"/>
      <c r="V51" s="35"/>
      <c r="W51" s="35"/>
      <c r="X51" s="35"/>
      <c r="Y51" s="82"/>
      <c r="Z51" s="35"/>
      <c r="AA51" s="35"/>
      <c r="AB51" s="35"/>
      <c r="AC51" s="82"/>
      <c r="AD51" s="82"/>
      <c r="AE51" s="82"/>
      <c r="AF51" s="82"/>
      <c r="AG51" s="82"/>
      <c r="AH51" s="82"/>
      <c r="AI51" s="82"/>
      <c r="AJ51" s="82"/>
      <c r="AK51" s="82"/>
      <c r="AL51" s="35"/>
      <c r="AM51" s="35"/>
      <c r="AN51" s="35"/>
      <c r="AO51" s="251"/>
      <c r="AP51" s="41"/>
      <c r="AQ51" s="35"/>
      <c r="AR51" s="734"/>
      <c r="AS51" s="267"/>
      <c r="AT51" s="267"/>
      <c r="AU51" s="35"/>
      <c r="AV51" s="35"/>
      <c r="AW51" s="35"/>
      <c r="AX51" s="35"/>
      <c r="AY51" s="305"/>
      <c r="AZ51" s="305"/>
      <c r="BA51" s="305"/>
      <c r="BB51" s="3"/>
      <c r="BC51" s="207"/>
      <c r="BD51" s="207"/>
      <c r="BG51" s="207"/>
    </row>
    <row r="52" spans="1:59" s="95" customFormat="1" ht="12.75" customHeight="1" x14ac:dyDescent="0.2">
      <c r="A52" s="82" t="s">
        <v>94</v>
      </c>
      <c r="B52" s="615"/>
      <c r="C52" s="165">
        <f>I52-M52</f>
        <v>-17</v>
      </c>
      <c r="D52" s="755">
        <f>IF(OR((C52/M52)&gt;3,(C52/M52)&lt;-3),"n.m.",(C52/M52))</f>
        <v>-2.4495677233429394E-2</v>
      </c>
      <c r="E52" s="41"/>
      <c r="F52" s="620"/>
      <c r="G52" s="620"/>
      <c r="H52" s="620"/>
      <c r="I52" s="178">
        <f>+'12 Misc Operating Stats'!M19+'12 Misc Operating Stats'!M18</f>
        <v>677</v>
      </c>
      <c r="J52" s="620">
        <f>+'12 Misc Operating Stats'!N18+'12 Misc Operating Stats'!N19</f>
        <v>694</v>
      </c>
      <c r="K52" s="620">
        <f>+'12 Misc Operating Stats'!O18+'12 Misc Operating Stats'!O19</f>
        <v>722</v>
      </c>
      <c r="L52" s="620">
        <f>+'12 Misc Operating Stats'!P19+'12 Misc Operating Stats'!P18</f>
        <v>682</v>
      </c>
      <c r="M52" s="178">
        <f>+'12 Misc Operating Stats'!Q18+'12 Misc Operating Stats'!Q19</f>
        <v>694</v>
      </c>
      <c r="N52" s="178">
        <f>'12 Misc Operating Stats'!R18+'12 Misc Operating Stats'!R19</f>
        <v>737</v>
      </c>
      <c r="O52" s="178">
        <f>'12 Misc Operating Stats'!S18</f>
        <v>143</v>
      </c>
      <c r="P52" s="178">
        <f>'12 Misc Operating Stats'!T18</f>
        <v>152</v>
      </c>
      <c r="Q52" s="178">
        <f>'[3]11 Misc Operating Stats'!I18</f>
        <v>155</v>
      </c>
      <c r="R52" s="178">
        <f>'[3]11 Misc Operating Stats'!J18</f>
        <v>143</v>
      </c>
      <c r="S52" s="178">
        <f>'[3]11 Misc Operating Stats'!K18</f>
        <v>140</v>
      </c>
      <c r="T52" s="178">
        <f>'[3]11 Misc Operating Stats'!L18</f>
        <v>142</v>
      </c>
      <c r="U52" s="178">
        <f>'[3]11 Misc Operating Stats'!M18</f>
        <v>137</v>
      </c>
      <c r="V52" s="178">
        <f>'[3]11 Misc Operating Stats'!N18</f>
        <v>138</v>
      </c>
      <c r="W52" s="178">
        <f>'[3]11 Misc Operating Stats'!O18</f>
        <v>136</v>
      </c>
      <c r="X52" s="178">
        <f>'[3]11 Misc Operating Stats'!P18</f>
        <v>124</v>
      </c>
      <c r="Y52" s="178">
        <f>'[3]11 Misc Operating Stats'!Q18</f>
        <v>111</v>
      </c>
      <c r="Z52" s="178">
        <f>'[3]11 Misc Operating Stats'!R18</f>
        <v>114</v>
      </c>
      <c r="AA52" s="178">
        <f>'[3]11 Misc Operating Stats'!S18</f>
        <v>117</v>
      </c>
      <c r="AB52" s="178">
        <f>'[3]11 Misc Operating Stats'!T18</f>
        <v>127</v>
      </c>
      <c r="AC52" s="178">
        <f>'[3]11 Misc Operating Stats'!U18</f>
        <v>125</v>
      </c>
      <c r="AD52" s="178">
        <f>'[3]11 Misc Operating Stats'!V18</f>
        <v>125</v>
      </c>
      <c r="AE52" s="178">
        <f>'[3]11 Misc Operating Stats'!W18</f>
        <v>116</v>
      </c>
      <c r="AF52" s="178">
        <f>'[3]11 Misc Operating Stats'!X18</f>
        <v>109</v>
      </c>
      <c r="AG52" s="178">
        <f>'[3]11 Misc Operating Stats'!Y18</f>
        <v>104</v>
      </c>
      <c r="AH52" s="178">
        <f>'[3]11 Misc Operating Stats'!Z18</f>
        <v>93</v>
      </c>
      <c r="AI52" s="178">
        <f>'[3]11 Misc Operating Stats'!AA18</f>
        <v>95</v>
      </c>
      <c r="AJ52" s="178">
        <f>'[3]11 Misc Operating Stats'!AB18</f>
        <v>89</v>
      </c>
      <c r="AK52" s="178">
        <f>'[3]11 Misc Operating Stats'!AC18</f>
        <v>88</v>
      </c>
      <c r="AL52" s="178"/>
      <c r="AM52" s="620">
        <f>K52</f>
        <v>722</v>
      </c>
      <c r="AN52" s="620">
        <f>O52</f>
        <v>143</v>
      </c>
      <c r="AO52" s="620">
        <f>AR52-AS52</f>
        <v>-43</v>
      </c>
      <c r="AP52" s="620"/>
      <c r="AQ52" s="620"/>
      <c r="AR52" s="620">
        <f>+J52</f>
        <v>694</v>
      </c>
      <c r="AS52" s="620">
        <f>N52</f>
        <v>737</v>
      </c>
      <c r="AT52" s="620">
        <f>R52</f>
        <v>143</v>
      </c>
      <c r="AU52" s="620">
        <f>V52</f>
        <v>138</v>
      </c>
      <c r="AV52" s="620">
        <f>'[4]11 Misc Operating Stats'!AL18</f>
        <v>113</v>
      </c>
      <c r="AW52" s="620">
        <f>'[4]11 Misc Operating Stats'!AM18</f>
        <v>124</v>
      </c>
      <c r="AX52" s="620">
        <f>'[4]11 Misc Operating Stats'!AN18</f>
        <v>92</v>
      </c>
      <c r="AY52" s="299">
        <v>81</v>
      </c>
      <c r="AZ52" s="299">
        <v>70</v>
      </c>
      <c r="BA52" s="299">
        <v>52</v>
      </c>
      <c r="BB52" s="3"/>
      <c r="BC52" s="207"/>
      <c r="BD52" s="207"/>
      <c r="BG52" s="207"/>
    </row>
    <row r="53" spans="1:59" s="95" customFormat="1" ht="12.75" customHeight="1" x14ac:dyDescent="0.2">
      <c r="A53" s="82"/>
      <c r="B53" s="615"/>
      <c r="C53" s="165"/>
      <c r="D53" s="41"/>
      <c r="E53" s="41"/>
      <c r="F53" s="724"/>
      <c r="G53" s="724"/>
      <c r="H53" s="724"/>
      <c r="I53" s="724"/>
      <c r="J53" s="724"/>
      <c r="K53" s="724"/>
      <c r="L53" s="724"/>
      <c r="M53" s="724"/>
      <c r="N53" s="146"/>
      <c r="O53" s="82"/>
      <c r="P53" s="82"/>
      <c r="Q53" s="82"/>
      <c r="R53" s="146"/>
      <c r="S53" s="82"/>
      <c r="T53" s="142"/>
      <c r="U53" s="82"/>
      <c r="V53" s="146"/>
      <c r="W53" s="82"/>
      <c r="X53" s="142"/>
      <c r="Y53" s="82"/>
      <c r="Z53" s="146"/>
      <c r="AA53" s="82"/>
      <c r="AB53" s="142"/>
      <c r="AC53" s="82"/>
      <c r="AD53" s="82"/>
      <c r="AE53" s="82"/>
      <c r="AF53" s="82"/>
      <c r="AG53" s="82"/>
      <c r="AH53" s="82"/>
      <c r="AI53" s="82"/>
      <c r="AJ53" s="82"/>
      <c r="AK53" s="82"/>
      <c r="AL53" s="242"/>
      <c r="AM53" s="242"/>
      <c r="AN53" s="242"/>
      <c r="AO53" s="251"/>
      <c r="AP53" s="41"/>
      <c r="AQ53" s="242"/>
      <c r="AR53" s="734"/>
      <c r="AS53" s="267"/>
      <c r="AT53" s="267"/>
      <c r="AU53" s="231"/>
      <c r="AV53" s="231"/>
      <c r="AW53" s="82"/>
      <c r="AX53" s="82"/>
      <c r="AY53" s="299"/>
      <c r="AZ53" s="299"/>
      <c r="BA53" s="299"/>
      <c r="BB53" s="3"/>
      <c r="BC53" s="207"/>
      <c r="BD53" s="207"/>
      <c r="BG53" s="207"/>
    </row>
    <row r="54" spans="1:59" ht="18" customHeight="1" x14ac:dyDescent="0.2">
      <c r="A54" s="12" t="s">
        <v>267</v>
      </c>
      <c r="B54" s="7"/>
      <c r="C54" s="82"/>
      <c r="D54" s="82"/>
      <c r="E54" s="146"/>
      <c r="F54" s="725"/>
      <c r="G54" s="725"/>
      <c r="H54" s="725"/>
      <c r="I54" s="725"/>
      <c r="J54" s="725"/>
      <c r="K54" s="725"/>
      <c r="L54" s="725"/>
      <c r="M54" s="725"/>
      <c r="N54" s="536"/>
      <c r="O54" s="146"/>
      <c r="P54" s="146"/>
      <c r="Q54" s="146"/>
      <c r="R54" s="146"/>
      <c r="S54" s="146"/>
      <c r="T54" s="146"/>
      <c r="U54" s="146"/>
      <c r="V54" s="146"/>
      <c r="W54" s="146"/>
      <c r="X54" s="146"/>
      <c r="Y54" s="146"/>
      <c r="Z54" s="146"/>
      <c r="AA54" s="146"/>
      <c r="AB54" s="146"/>
      <c r="AC54" s="146"/>
      <c r="AD54" s="146"/>
      <c r="AE54" s="146"/>
      <c r="AF54" s="82"/>
      <c r="AG54" s="82"/>
      <c r="AH54" s="82"/>
      <c r="AI54" s="82"/>
      <c r="AJ54" s="82"/>
      <c r="AK54" s="82"/>
      <c r="AL54" s="82"/>
      <c r="AM54" s="82"/>
      <c r="AN54" s="82"/>
      <c r="AO54" s="559"/>
      <c r="AP54" s="559"/>
      <c r="AQ54" s="82"/>
      <c r="AR54" s="559"/>
      <c r="AS54" s="559"/>
      <c r="AT54" s="559"/>
      <c r="AU54" s="82"/>
      <c r="AV54" s="82"/>
      <c r="AW54" s="82"/>
      <c r="AX54" s="82"/>
      <c r="AY54" s="304"/>
      <c r="AZ54" s="304"/>
      <c r="BA54" s="304"/>
      <c r="BB54" s="3"/>
      <c r="BC54" s="3"/>
      <c r="BD54" s="3"/>
      <c r="BG54" s="3"/>
    </row>
    <row r="55" spans="1:59" ht="12.75" customHeight="1" x14ac:dyDescent="0.2">
      <c r="A55" s="190"/>
      <c r="B55" s="626"/>
      <c r="C55" s="82"/>
      <c r="D55" s="82"/>
      <c r="E55" s="146"/>
      <c r="F55" s="725"/>
      <c r="G55" s="725"/>
      <c r="H55" s="725"/>
      <c r="I55" s="725"/>
      <c r="J55" s="725"/>
      <c r="K55" s="725"/>
      <c r="L55" s="725"/>
      <c r="M55" s="725"/>
      <c r="N55" s="401"/>
      <c r="O55" s="146"/>
      <c r="P55" s="146"/>
      <c r="Q55" s="146"/>
      <c r="R55" s="401"/>
      <c r="S55" s="146"/>
      <c r="T55" s="401"/>
      <c r="U55" s="146"/>
      <c r="V55" s="401"/>
      <c r="W55" s="146"/>
      <c r="X55" s="401"/>
      <c r="Y55" s="146"/>
      <c r="Z55" s="401"/>
      <c r="AA55" s="146"/>
      <c r="AB55" s="146"/>
      <c r="AC55" s="146"/>
      <c r="AD55" s="146"/>
      <c r="AE55" s="146"/>
      <c r="AF55" s="82"/>
      <c r="AG55" s="82"/>
      <c r="AH55" s="82"/>
      <c r="AI55" s="82"/>
      <c r="AJ55" s="82"/>
      <c r="AK55" s="82"/>
      <c r="AL55" s="82"/>
      <c r="AM55" s="82"/>
      <c r="AN55" s="82"/>
      <c r="AO55" s="559"/>
      <c r="AP55" s="559"/>
      <c r="AQ55" s="82"/>
      <c r="AR55" s="559"/>
      <c r="AS55" s="559"/>
      <c r="AT55" s="559"/>
      <c r="AU55" s="82"/>
      <c r="AV55" s="82"/>
      <c r="AW55" s="82"/>
      <c r="AX55" s="82"/>
      <c r="AY55" s="304"/>
      <c r="AZ55" s="304"/>
      <c r="BA55" s="304"/>
      <c r="BB55" s="3"/>
      <c r="BC55" s="3"/>
      <c r="BD55" s="3"/>
      <c r="BG55" s="3"/>
    </row>
    <row r="56" spans="1:59" ht="12.75" customHeight="1" x14ac:dyDescent="0.2">
      <c r="A56" s="6"/>
      <c r="B56" s="7"/>
      <c r="C56" s="1479" t="s">
        <v>360</v>
      </c>
      <c r="D56" s="1480"/>
      <c r="E56" s="256"/>
      <c r="F56" s="410"/>
      <c r="G56" s="410"/>
      <c r="H56" s="410"/>
      <c r="I56" s="19"/>
      <c r="J56" s="410"/>
      <c r="K56" s="410"/>
      <c r="L56" s="410"/>
      <c r="M56" s="19"/>
      <c r="N56" s="17"/>
      <c r="O56" s="18"/>
      <c r="P56" s="410"/>
      <c r="Q56" s="19"/>
      <c r="R56" s="17"/>
      <c r="S56" s="18"/>
      <c r="T56" s="410"/>
      <c r="U56" s="19"/>
      <c r="V56" s="722"/>
      <c r="W56" s="18"/>
      <c r="X56" s="2"/>
      <c r="Y56" s="19"/>
      <c r="Z56" s="18"/>
      <c r="AA56" s="722"/>
      <c r="AB56" s="410"/>
      <c r="AC56" s="19"/>
      <c r="AD56" s="18"/>
      <c r="AE56" s="18"/>
      <c r="AF56" s="18"/>
      <c r="AG56" s="18"/>
      <c r="AH56" s="22"/>
      <c r="AI56" s="19"/>
      <c r="AJ56" s="19"/>
      <c r="AK56" s="19"/>
      <c r="AL56" s="24"/>
      <c r="AM56" s="661" t="s">
        <v>340</v>
      </c>
      <c r="AN56" s="647"/>
      <c r="AO56" s="647" t="s">
        <v>320</v>
      </c>
      <c r="AP56" s="648"/>
      <c r="AQ56" s="15"/>
      <c r="AR56" s="875"/>
      <c r="AS56" s="694"/>
      <c r="AT56" s="666"/>
      <c r="AU56" s="87"/>
      <c r="AV56" s="87"/>
      <c r="AW56" s="193"/>
      <c r="AX56" s="191"/>
      <c r="AY56" s="87"/>
      <c r="AZ56" s="87"/>
      <c r="BA56" s="694"/>
      <c r="BB56" s="25"/>
      <c r="BC56" s="3"/>
      <c r="BD56" s="3"/>
      <c r="BG56" s="3"/>
    </row>
    <row r="57" spans="1:59" ht="12.75" customHeight="1" x14ac:dyDescent="0.2">
      <c r="A57" s="6" t="s">
        <v>101</v>
      </c>
      <c r="B57" s="7"/>
      <c r="C57" s="1481" t="s">
        <v>39</v>
      </c>
      <c r="D57" s="1482"/>
      <c r="E57" s="530"/>
      <c r="F57" s="21" t="s">
        <v>363</v>
      </c>
      <c r="G57" s="21" t="s">
        <v>362</v>
      </c>
      <c r="H57" s="21" t="s">
        <v>361</v>
      </c>
      <c r="I57" s="14" t="s">
        <v>359</v>
      </c>
      <c r="J57" s="21" t="s">
        <v>302</v>
      </c>
      <c r="K57" s="21" t="s">
        <v>303</v>
      </c>
      <c r="L57" s="21" t="s">
        <v>304</v>
      </c>
      <c r="M57" s="14" t="s">
        <v>305</v>
      </c>
      <c r="N57" s="20" t="s">
        <v>231</v>
      </c>
      <c r="O57" s="21" t="s">
        <v>232</v>
      </c>
      <c r="P57" s="21" t="s">
        <v>233</v>
      </c>
      <c r="Q57" s="14" t="s">
        <v>230</v>
      </c>
      <c r="R57" s="20" t="s">
        <v>194</v>
      </c>
      <c r="S57" s="21" t="s">
        <v>195</v>
      </c>
      <c r="T57" s="21" t="s">
        <v>196</v>
      </c>
      <c r="U57" s="14" t="s">
        <v>197</v>
      </c>
      <c r="V57" s="21" t="s">
        <v>126</v>
      </c>
      <c r="W57" s="21" t="s">
        <v>125</v>
      </c>
      <c r="X57" s="21" t="s">
        <v>124</v>
      </c>
      <c r="Y57" s="14" t="s">
        <v>123</v>
      </c>
      <c r="Z57" s="21" t="s">
        <v>86</v>
      </c>
      <c r="AA57" s="21" t="s">
        <v>87</v>
      </c>
      <c r="AB57" s="21" t="s">
        <v>88</v>
      </c>
      <c r="AC57" s="14" t="s">
        <v>30</v>
      </c>
      <c r="AD57" s="21" t="s">
        <v>31</v>
      </c>
      <c r="AE57" s="21" t="s">
        <v>32</v>
      </c>
      <c r="AF57" s="21" t="s">
        <v>33</v>
      </c>
      <c r="AG57" s="21" t="s">
        <v>34</v>
      </c>
      <c r="AH57" s="23" t="s">
        <v>35</v>
      </c>
      <c r="AI57" s="14" t="s">
        <v>36</v>
      </c>
      <c r="AJ57" s="14" t="s">
        <v>37</v>
      </c>
      <c r="AK57" s="14" t="s">
        <v>38</v>
      </c>
      <c r="AL57" s="256"/>
      <c r="AM57" s="21" t="s">
        <v>303</v>
      </c>
      <c r="AN57" s="21" t="s">
        <v>232</v>
      </c>
      <c r="AO57" s="1502" t="s">
        <v>39</v>
      </c>
      <c r="AP57" s="1482"/>
      <c r="AQ57" s="194"/>
      <c r="AR57" s="229" t="s">
        <v>307</v>
      </c>
      <c r="AS57" s="229" t="s">
        <v>235</v>
      </c>
      <c r="AT57" s="229" t="s">
        <v>128</v>
      </c>
      <c r="AU57" s="20" t="s">
        <v>127</v>
      </c>
      <c r="AV57" s="20" t="s">
        <v>43</v>
      </c>
      <c r="AW57" s="20" t="s">
        <v>40</v>
      </c>
      <c r="AX57" s="23" t="s">
        <v>41</v>
      </c>
      <c r="AY57" s="23" t="s">
        <v>146</v>
      </c>
      <c r="AZ57" s="23" t="s">
        <v>147</v>
      </c>
      <c r="BA57" s="20" t="s">
        <v>148</v>
      </c>
      <c r="BB57" s="25"/>
      <c r="BC57" s="3"/>
      <c r="BD57" s="3"/>
      <c r="BG57" s="3"/>
    </row>
    <row r="58" spans="1:59" ht="12.75" customHeight="1" x14ac:dyDescent="0.2">
      <c r="A58" s="145"/>
      <c r="B58" s="146" t="s">
        <v>4</v>
      </c>
      <c r="C58" s="397" t="e">
        <f>I58-M58</f>
        <v>#REF!</v>
      </c>
      <c r="D58" s="742" t="e">
        <f>IF(OR((C58/M58)&gt;3,(C58/M58)&lt;-3),"n.m.",(C58/M58))</f>
        <v>#REF!</v>
      </c>
      <c r="E58" s="88"/>
      <c r="F58" s="738" t="e">
        <f t="shared" ref="F58:M58" si="35">+F16</f>
        <v>#REF!</v>
      </c>
      <c r="G58" s="738" t="e">
        <f t="shared" si="35"/>
        <v>#REF!</v>
      </c>
      <c r="H58" s="738" t="e">
        <f t="shared" si="35"/>
        <v>#REF!</v>
      </c>
      <c r="I58" s="739" t="e">
        <f t="shared" si="35"/>
        <v>#REF!</v>
      </c>
      <c r="J58" s="738" t="e">
        <f t="shared" si="35"/>
        <v>#REF!</v>
      </c>
      <c r="K58" s="738" t="e">
        <f t="shared" si="35"/>
        <v>#REF!</v>
      </c>
      <c r="L58" s="738" t="e">
        <f t="shared" si="35"/>
        <v>#REF!</v>
      </c>
      <c r="M58" s="739" t="e">
        <f t="shared" si="35"/>
        <v>#REF!</v>
      </c>
      <c r="N58" s="327" t="e">
        <f>N16</f>
        <v>#REF!</v>
      </c>
      <c r="O58" s="327">
        <f>O16</f>
        <v>12748</v>
      </c>
      <c r="P58" s="327">
        <f>P16</f>
        <v>9338</v>
      </c>
      <c r="Q58" s="368">
        <f>Q16</f>
        <v>9246</v>
      </c>
      <c r="R58" s="327">
        <f t="shared" ref="R58:AX58" si="36">R16</f>
        <v>34555</v>
      </c>
      <c r="S58" s="327">
        <f t="shared" si="36"/>
        <v>23339</v>
      </c>
      <c r="T58" s="327">
        <f t="shared" si="36"/>
        <v>18338</v>
      </c>
      <c r="U58" s="368">
        <f t="shared" si="36"/>
        <v>16445</v>
      </c>
      <c r="V58" s="327">
        <f t="shared" si="36"/>
        <v>21333</v>
      </c>
      <c r="W58" s="327">
        <f t="shared" si="36"/>
        <v>26421</v>
      </c>
      <c r="X58" s="327">
        <f t="shared" si="36"/>
        <v>13775</v>
      </c>
      <c r="Y58" s="368">
        <f t="shared" si="36"/>
        <v>20925</v>
      </c>
      <c r="Z58" s="337">
        <f t="shared" si="36"/>
        <v>0</v>
      </c>
      <c r="AA58" s="327">
        <f t="shared" si="36"/>
        <v>0</v>
      </c>
      <c r="AB58" s="327">
        <f t="shared" si="36"/>
        <v>0</v>
      </c>
      <c r="AC58" s="368">
        <f t="shared" si="36"/>
        <v>0</v>
      </c>
      <c r="AD58" s="232">
        <f t="shared" si="36"/>
        <v>0</v>
      </c>
      <c r="AE58" s="232">
        <f t="shared" si="36"/>
        <v>0</v>
      </c>
      <c r="AF58" s="232">
        <f t="shared" si="36"/>
        <v>0</v>
      </c>
      <c r="AG58" s="233">
        <f t="shared" si="36"/>
        <v>0</v>
      </c>
      <c r="AH58" s="254">
        <f t="shared" si="36"/>
        <v>0</v>
      </c>
      <c r="AI58" s="233">
        <f t="shared" si="36"/>
        <v>0</v>
      </c>
      <c r="AJ58" s="233">
        <f t="shared" si="36"/>
        <v>0</v>
      </c>
      <c r="AK58" s="233">
        <f t="shared" si="36"/>
        <v>0</v>
      </c>
      <c r="AL58" s="88"/>
      <c r="AM58" s="239" t="e">
        <f>SUM(K58:M58)</f>
        <v>#REF!</v>
      </c>
      <c r="AN58" s="673">
        <f>SUM(O58:Q58)</f>
        <v>31332</v>
      </c>
      <c r="AO58" s="251" t="e">
        <f>AR58-AS58</f>
        <v>#REF!</v>
      </c>
      <c r="AP58" s="742" t="e">
        <f>IF(OR((AO58/AS58)&gt;3,(AO58/AS58)&lt;-3),"n.m.",(AO58/AS58))</f>
        <v>#REF!</v>
      </c>
      <c r="AQ58" s="82"/>
      <c r="AR58" s="569" t="e">
        <f>SUM(J58:M58)</f>
        <v>#REF!</v>
      </c>
      <c r="AS58" s="569" t="e">
        <f>SUM(N58:Q58)</f>
        <v>#REF!</v>
      </c>
      <c r="AT58" s="569">
        <f t="shared" si="36"/>
        <v>92677</v>
      </c>
      <c r="AU58" s="177">
        <f t="shared" si="36"/>
        <v>82454</v>
      </c>
      <c r="AV58" s="177">
        <f t="shared" si="36"/>
        <v>72926</v>
      </c>
      <c r="AW58" s="198">
        <f t="shared" si="36"/>
        <v>118332</v>
      </c>
      <c r="AX58" s="198">
        <f t="shared" si="36"/>
        <v>129852</v>
      </c>
      <c r="AY58" s="315">
        <f>AY16</f>
        <v>125900</v>
      </c>
      <c r="AZ58" s="315">
        <f>AZ16</f>
        <v>116090</v>
      </c>
      <c r="BA58" s="397">
        <f>BA16</f>
        <v>84489</v>
      </c>
      <c r="BB58" s="25"/>
      <c r="BC58" s="3"/>
      <c r="BD58" s="3"/>
      <c r="BG58" s="3"/>
    </row>
    <row r="59" spans="1:59" ht="12.75" customHeight="1" x14ac:dyDescent="0.2">
      <c r="A59" s="82"/>
      <c r="B59" s="146" t="s">
        <v>85</v>
      </c>
      <c r="C59" s="83">
        <f>I59-M59</f>
        <v>-96</v>
      </c>
      <c r="D59" s="485">
        <f>IF(OR((C59/M59)&gt;3,(C59/M59)&lt;-3),"n.m.",(C59/M59))</f>
        <v>-1.7194748437248124E-3</v>
      </c>
      <c r="E59" s="533"/>
      <c r="F59" s="399">
        <f>+F35-F32-F33</f>
        <v>0</v>
      </c>
      <c r="G59" s="399">
        <f>+G35-G32-G33</f>
        <v>0</v>
      </c>
      <c r="H59" s="399">
        <f>+H35-H32-H33</f>
        <v>0</v>
      </c>
      <c r="I59" s="739">
        <f>+I35-I32-I33-1889</f>
        <v>55735</v>
      </c>
      <c r="J59" s="399">
        <f>+J35-J32-J33-2639</f>
        <v>62820</v>
      </c>
      <c r="K59" s="399">
        <f>+K35-K32-K33-2709</f>
        <v>63839</v>
      </c>
      <c r="L59" s="399">
        <f>+L35-L33-2660</f>
        <v>55218</v>
      </c>
      <c r="M59" s="739">
        <f>+M35-1705-998</f>
        <v>55831</v>
      </c>
      <c r="N59" s="399">
        <f>N35-N32-N33</f>
        <v>25244</v>
      </c>
      <c r="O59" s="399">
        <f>O35-O32</f>
        <v>13341</v>
      </c>
      <c r="P59" s="399">
        <f>P35</f>
        <v>13294</v>
      </c>
      <c r="Q59" s="368">
        <f>Q35</f>
        <v>14080</v>
      </c>
      <c r="R59" s="399">
        <f t="shared" ref="R59:BB59" si="37">R35</f>
        <v>25215</v>
      </c>
      <c r="S59" s="399">
        <f t="shared" si="37"/>
        <v>20384</v>
      </c>
      <c r="T59" s="399">
        <f t="shared" si="37"/>
        <v>16895</v>
      </c>
      <c r="U59" s="368">
        <f t="shared" si="37"/>
        <v>16054</v>
      </c>
      <c r="V59" s="399">
        <f t="shared" si="37"/>
        <v>19201</v>
      </c>
      <c r="W59" s="399">
        <f t="shared" si="37"/>
        <v>21966</v>
      </c>
      <c r="X59" s="399">
        <f t="shared" si="37"/>
        <v>14464</v>
      </c>
      <c r="Y59" s="368">
        <f t="shared" si="37"/>
        <v>17290</v>
      </c>
      <c r="Z59" s="399">
        <f t="shared" si="37"/>
        <v>0</v>
      </c>
      <c r="AA59" s="399">
        <f t="shared" si="37"/>
        <v>0</v>
      </c>
      <c r="AB59" s="399">
        <f t="shared" si="37"/>
        <v>0</v>
      </c>
      <c r="AC59" s="368">
        <f t="shared" si="37"/>
        <v>0</v>
      </c>
      <c r="AD59" s="231">
        <f t="shared" si="37"/>
        <v>0</v>
      </c>
      <c r="AE59" s="231">
        <f t="shared" si="37"/>
        <v>0</v>
      </c>
      <c r="AF59" s="231">
        <f t="shared" si="37"/>
        <v>0</v>
      </c>
      <c r="AG59" s="235">
        <f t="shared" si="37"/>
        <v>0</v>
      </c>
      <c r="AH59" s="198">
        <f t="shared" si="37"/>
        <v>0</v>
      </c>
      <c r="AI59" s="235">
        <f t="shared" si="37"/>
        <v>0</v>
      </c>
      <c r="AJ59" s="235">
        <f t="shared" si="37"/>
        <v>0</v>
      </c>
      <c r="AK59" s="235">
        <f t="shared" si="37"/>
        <v>0</v>
      </c>
      <c r="AL59" s="88"/>
      <c r="AM59" s="239">
        <f>SUM(K59:M59)</f>
        <v>174888</v>
      </c>
      <c r="AN59" s="251">
        <f>SUM(O59:Q59)</f>
        <v>40715</v>
      </c>
      <c r="AO59" s="251">
        <f>AR59-AS59</f>
        <v>171749</v>
      </c>
      <c r="AP59" s="660">
        <f>IF(OR((AO59/AS59)&gt;3,(AO59/AS59)&lt;-3),"n.m.",(AO59/AS59))</f>
        <v>2.6038751345532831</v>
      </c>
      <c r="AQ59" s="82"/>
      <c r="AR59" s="561">
        <f>SUM(J59:M59)</f>
        <v>237708</v>
      </c>
      <c r="AS59" s="561">
        <f>SUM(N59:Q59)</f>
        <v>65959</v>
      </c>
      <c r="AT59" s="561">
        <f t="shared" si="37"/>
        <v>78548</v>
      </c>
      <c r="AU59" s="177">
        <f t="shared" si="37"/>
        <v>72921</v>
      </c>
      <c r="AV59" s="177">
        <f>AV35-AV33-AV32</f>
        <v>69621</v>
      </c>
      <c r="AW59" s="198">
        <f t="shared" si="37"/>
        <v>88719</v>
      </c>
      <c r="AX59" s="198">
        <f t="shared" si="37"/>
        <v>98148</v>
      </c>
      <c r="AY59" s="43">
        <f t="shared" si="37"/>
        <v>83963</v>
      </c>
      <c r="AZ59" s="43">
        <f t="shared" si="37"/>
        <v>85664</v>
      </c>
      <c r="BA59" s="43">
        <f t="shared" si="37"/>
        <v>68575</v>
      </c>
      <c r="BB59" s="3">
        <f t="shared" si="37"/>
        <v>0</v>
      </c>
      <c r="BC59" s="3"/>
      <c r="BD59" s="3"/>
      <c r="BG59" s="3"/>
    </row>
    <row r="60" spans="1:59" ht="12.75" customHeight="1" x14ac:dyDescent="0.2">
      <c r="A60" s="82"/>
      <c r="B60" s="146" t="s">
        <v>77</v>
      </c>
      <c r="C60" s="152" t="e">
        <f>I60-M60</f>
        <v>#REF!</v>
      </c>
      <c r="D60" s="483" t="e">
        <f>IF(OR((C60/M60)&gt;3,(C60/M60)&lt;-3),"n.m.",(C60/M60))</f>
        <v>#REF!</v>
      </c>
      <c r="E60" s="533"/>
      <c r="F60" s="407" t="e">
        <f t="shared" ref="F60:M60" si="38">+F58-F59</f>
        <v>#REF!</v>
      </c>
      <c r="G60" s="407" t="e">
        <f t="shared" si="38"/>
        <v>#REF!</v>
      </c>
      <c r="H60" s="407" t="e">
        <f t="shared" si="38"/>
        <v>#REF!</v>
      </c>
      <c r="I60" s="370" t="e">
        <f t="shared" si="38"/>
        <v>#REF!</v>
      </c>
      <c r="J60" s="407" t="e">
        <f t="shared" si="38"/>
        <v>#REF!</v>
      </c>
      <c r="K60" s="407" t="e">
        <f t="shared" si="38"/>
        <v>#REF!</v>
      </c>
      <c r="L60" s="407" t="e">
        <f t="shared" si="38"/>
        <v>#REF!</v>
      </c>
      <c r="M60" s="370" t="e">
        <f t="shared" si="38"/>
        <v>#REF!</v>
      </c>
      <c r="N60" s="407" t="e">
        <f>N58-N59</f>
        <v>#REF!</v>
      </c>
      <c r="O60" s="407">
        <f>O58-O59</f>
        <v>-593</v>
      </c>
      <c r="P60" s="407">
        <f>P58-P59</f>
        <v>-3956</v>
      </c>
      <c r="Q60" s="370">
        <f>Q58-Q59</f>
        <v>-4834</v>
      </c>
      <c r="R60" s="407">
        <f t="shared" ref="R60:AX60" si="39">R58-R59</f>
        <v>9340</v>
      </c>
      <c r="S60" s="407">
        <f t="shared" si="39"/>
        <v>2955</v>
      </c>
      <c r="T60" s="407">
        <f t="shared" si="39"/>
        <v>1443</v>
      </c>
      <c r="U60" s="370">
        <f t="shared" si="39"/>
        <v>391</v>
      </c>
      <c r="V60" s="407">
        <f t="shared" si="39"/>
        <v>2132</v>
      </c>
      <c r="W60" s="407">
        <f t="shared" si="39"/>
        <v>4455</v>
      </c>
      <c r="X60" s="407">
        <f t="shared" si="39"/>
        <v>-689</v>
      </c>
      <c r="Y60" s="370">
        <f t="shared" si="39"/>
        <v>3635</v>
      </c>
      <c r="Z60" s="407">
        <f t="shared" si="39"/>
        <v>0</v>
      </c>
      <c r="AA60" s="407">
        <f t="shared" si="39"/>
        <v>0</v>
      </c>
      <c r="AB60" s="407">
        <f t="shared" si="39"/>
        <v>0</v>
      </c>
      <c r="AC60" s="370">
        <f t="shared" si="39"/>
        <v>0</v>
      </c>
      <c r="AD60" s="237">
        <f t="shared" si="39"/>
        <v>0</v>
      </c>
      <c r="AE60" s="237">
        <f t="shared" si="39"/>
        <v>0</v>
      </c>
      <c r="AF60" s="237">
        <f t="shared" si="39"/>
        <v>0</v>
      </c>
      <c r="AG60" s="238">
        <f t="shared" si="39"/>
        <v>0</v>
      </c>
      <c r="AH60" s="204">
        <f t="shared" si="39"/>
        <v>0</v>
      </c>
      <c r="AI60" s="238">
        <f t="shared" si="39"/>
        <v>0</v>
      </c>
      <c r="AJ60" s="238">
        <f t="shared" si="39"/>
        <v>0</v>
      </c>
      <c r="AK60" s="238">
        <f t="shared" si="39"/>
        <v>0</v>
      </c>
      <c r="AL60" s="88"/>
      <c r="AM60" s="247" t="e">
        <f>AM58-AM59</f>
        <v>#REF!</v>
      </c>
      <c r="AN60" s="332">
        <f>AN58-AN59</f>
        <v>-9383</v>
      </c>
      <c r="AO60" s="332" t="e">
        <f>AR60-AS60</f>
        <v>#REF!</v>
      </c>
      <c r="AP60" s="147" t="e">
        <f>-IF(OR((AO60/AS60)&gt;3,(AO60/AS60)&lt;-3),"n.m.",(AO60/AS60))</f>
        <v>#REF!</v>
      </c>
      <c r="AQ60" s="82"/>
      <c r="AR60" s="562" t="e">
        <f>SUM(J60:M60)</f>
        <v>#REF!</v>
      </c>
      <c r="AS60" s="562" t="e">
        <f>AS58-AS59</f>
        <v>#REF!</v>
      </c>
      <c r="AT60" s="562">
        <f t="shared" si="39"/>
        <v>14129</v>
      </c>
      <c r="AU60" s="195">
        <f t="shared" si="39"/>
        <v>9533</v>
      </c>
      <c r="AV60" s="195">
        <f t="shared" si="39"/>
        <v>3305</v>
      </c>
      <c r="AW60" s="204">
        <f t="shared" si="39"/>
        <v>29613</v>
      </c>
      <c r="AX60" s="204">
        <f t="shared" si="39"/>
        <v>31704</v>
      </c>
      <c r="AY60" s="158">
        <f>AY58-AY59</f>
        <v>41937</v>
      </c>
      <c r="AZ60" s="158">
        <f>AZ58-AZ59</f>
        <v>30426</v>
      </c>
      <c r="BA60" s="158">
        <f>BA58-BA59</f>
        <v>15914</v>
      </c>
      <c r="BB60" s="3"/>
      <c r="BC60" s="3"/>
      <c r="BD60" s="3"/>
      <c r="BG60" s="3"/>
    </row>
    <row r="61" spans="1:59" ht="12.75" customHeight="1" x14ac:dyDescent="0.2">
      <c r="A61" s="82"/>
      <c r="B61" s="146"/>
      <c r="C61" s="151"/>
      <c r="D61" s="11"/>
      <c r="E61" s="11"/>
      <c r="F61" s="399"/>
      <c r="G61" s="399"/>
      <c r="H61" s="399"/>
      <c r="I61" s="738"/>
      <c r="J61" s="399"/>
      <c r="K61" s="399"/>
      <c r="L61" s="399"/>
      <c r="M61" s="738"/>
      <c r="N61" s="399"/>
      <c r="O61" s="399"/>
      <c r="P61" s="399"/>
      <c r="Q61" s="327"/>
      <c r="R61" s="399"/>
      <c r="S61" s="399"/>
      <c r="T61" s="399"/>
      <c r="U61" s="327"/>
      <c r="V61" s="399"/>
      <c r="W61" s="399"/>
      <c r="X61" s="399"/>
      <c r="Y61" s="327"/>
      <c r="Z61" s="399"/>
      <c r="AA61" s="399"/>
      <c r="AB61" s="399"/>
      <c r="AC61" s="327"/>
      <c r="AD61" s="231"/>
      <c r="AE61" s="231"/>
      <c r="AF61" s="231"/>
      <c r="AG61" s="231"/>
      <c r="AH61" s="231"/>
      <c r="AI61" s="231"/>
      <c r="AJ61" s="231"/>
      <c r="AK61" s="231"/>
      <c r="AL61" s="146"/>
      <c r="AM61" s="146"/>
      <c r="AN61" s="146"/>
      <c r="AO61" s="577"/>
      <c r="AP61" s="560"/>
      <c r="AQ61" s="82"/>
      <c r="AR61" s="557"/>
      <c r="AS61" s="557"/>
      <c r="AT61" s="557"/>
      <c r="AU61" s="327"/>
      <c r="AV61" s="327"/>
      <c r="AW61" s="231"/>
      <c r="AX61" s="231"/>
      <c r="AY61" s="31"/>
      <c r="AZ61" s="31"/>
      <c r="BA61" s="31"/>
      <c r="BB61" s="3"/>
      <c r="BC61" s="3"/>
      <c r="BD61" s="3"/>
      <c r="BG61" s="3"/>
    </row>
    <row r="62" spans="1:59" ht="12.75" customHeight="1" x14ac:dyDescent="0.2">
      <c r="A62" s="12" t="s">
        <v>199</v>
      </c>
      <c r="B62" s="143"/>
      <c r="C62" s="146"/>
      <c r="D62" s="146"/>
      <c r="E62" s="146"/>
      <c r="F62" s="725"/>
      <c r="G62" s="725"/>
      <c r="H62" s="725"/>
      <c r="I62" s="725"/>
      <c r="J62" s="725"/>
      <c r="K62" s="725"/>
      <c r="L62" s="725"/>
      <c r="M62" s="725"/>
      <c r="N62" s="146"/>
      <c r="O62" s="146"/>
      <c r="P62" s="146"/>
      <c r="Q62" s="146"/>
      <c r="R62" s="146"/>
      <c r="S62" s="146"/>
      <c r="T62" s="146"/>
      <c r="U62" s="146"/>
      <c r="V62" s="146"/>
      <c r="W62" s="146"/>
      <c r="X62" s="146"/>
      <c r="Y62" s="146"/>
      <c r="Z62" s="401"/>
      <c r="AA62" s="146"/>
      <c r="AB62" s="146"/>
      <c r="AC62" s="146"/>
      <c r="AD62" s="146"/>
      <c r="AE62" s="146"/>
      <c r="AF62" s="146"/>
      <c r="AG62" s="7"/>
      <c r="AH62" s="146"/>
      <c r="AI62" s="7"/>
      <c r="AJ62" s="7"/>
      <c r="AK62" s="146"/>
      <c r="AL62" s="146"/>
      <c r="AM62" s="146"/>
      <c r="AN62" s="146"/>
      <c r="AO62" s="559"/>
      <c r="AP62" s="559"/>
      <c r="AQ62" s="146"/>
      <c r="AR62" s="559"/>
      <c r="AS62" s="559"/>
      <c r="AT62" s="559"/>
      <c r="AU62" s="146"/>
      <c r="AV62" s="146"/>
      <c r="AW62" s="146"/>
      <c r="AX62" s="146"/>
      <c r="AY62" s="31"/>
      <c r="AZ62" s="31"/>
      <c r="BA62" s="31"/>
      <c r="BB62" s="3"/>
      <c r="BC62" s="3"/>
      <c r="BD62" s="3"/>
      <c r="BG62" s="3"/>
    </row>
    <row r="63" spans="1:59" ht="12.75" customHeight="1" x14ac:dyDescent="0.2">
      <c r="C63" s="1479" t="s">
        <v>360</v>
      </c>
      <c r="D63" s="1480"/>
      <c r="E63" s="256"/>
      <c r="F63" s="410"/>
      <c r="G63" s="410"/>
      <c r="H63" s="410"/>
      <c r="I63" s="19"/>
      <c r="J63" s="410"/>
      <c r="K63" s="410"/>
      <c r="L63" s="410"/>
      <c r="M63" s="19"/>
      <c r="N63" s="17"/>
      <c r="O63" s="18"/>
      <c r="P63" s="410"/>
      <c r="Q63" s="19"/>
      <c r="R63" s="17"/>
      <c r="S63" s="18"/>
      <c r="T63" s="410"/>
      <c r="U63" s="19"/>
      <c r="V63" s="722"/>
      <c r="W63" s="18"/>
      <c r="X63" s="2"/>
      <c r="Y63" s="19"/>
      <c r="Z63" s="18"/>
      <c r="AA63" s="722"/>
      <c r="AB63" s="410"/>
      <c r="AC63" s="19"/>
      <c r="AD63" s="18"/>
      <c r="AE63" s="18"/>
      <c r="AF63" s="18"/>
      <c r="AG63" s="18"/>
      <c r="AH63" s="22"/>
      <c r="AI63" s="19"/>
      <c r="AJ63" s="19"/>
      <c r="AK63" s="19"/>
      <c r="AL63" s="24"/>
      <c r="AM63" s="661" t="s">
        <v>340</v>
      </c>
      <c r="AN63" s="647"/>
      <c r="AO63" s="647" t="s">
        <v>320</v>
      </c>
      <c r="AP63" s="648"/>
      <c r="AQ63" s="146"/>
      <c r="AR63" s="875"/>
      <c r="AS63" s="694"/>
      <c r="AT63" s="666"/>
      <c r="AU63" s="87"/>
      <c r="AV63" s="87"/>
      <c r="AW63" s="193"/>
      <c r="AX63" s="191"/>
      <c r="AY63" s="87"/>
      <c r="AZ63" s="31"/>
      <c r="BA63" s="31"/>
      <c r="BB63" s="25"/>
      <c r="BC63" s="3"/>
      <c r="BD63" s="3"/>
      <c r="BG63" s="3"/>
    </row>
    <row r="64" spans="1:59" ht="12.75" customHeight="1" x14ac:dyDescent="0.2">
      <c r="C64" s="1481" t="s">
        <v>39</v>
      </c>
      <c r="D64" s="1482"/>
      <c r="E64" s="530"/>
      <c r="F64" s="21" t="s">
        <v>363</v>
      </c>
      <c r="G64" s="21" t="s">
        <v>362</v>
      </c>
      <c r="H64" s="21" t="s">
        <v>361</v>
      </c>
      <c r="I64" s="14" t="s">
        <v>359</v>
      </c>
      <c r="J64" s="21" t="s">
        <v>302</v>
      </c>
      <c r="K64" s="21" t="s">
        <v>303</v>
      </c>
      <c r="L64" s="21" t="s">
        <v>304</v>
      </c>
      <c r="M64" s="14" t="s">
        <v>305</v>
      </c>
      <c r="N64" s="20" t="s">
        <v>231</v>
      </c>
      <c r="O64" s="21" t="s">
        <v>232</v>
      </c>
      <c r="P64" s="21" t="s">
        <v>233</v>
      </c>
      <c r="Q64" s="14" t="s">
        <v>230</v>
      </c>
      <c r="R64" s="20" t="s">
        <v>194</v>
      </c>
      <c r="S64" s="21" t="s">
        <v>195</v>
      </c>
      <c r="T64" s="21" t="s">
        <v>196</v>
      </c>
      <c r="U64" s="14" t="s">
        <v>197</v>
      </c>
      <c r="V64" s="21" t="s">
        <v>126</v>
      </c>
      <c r="W64" s="21" t="s">
        <v>125</v>
      </c>
      <c r="X64" s="21" t="s">
        <v>124</v>
      </c>
      <c r="Y64" s="14" t="s">
        <v>123</v>
      </c>
      <c r="Z64" s="21" t="s">
        <v>86</v>
      </c>
      <c r="AA64" s="21" t="s">
        <v>87</v>
      </c>
      <c r="AB64" s="21" t="s">
        <v>88</v>
      </c>
      <c r="AC64" s="14" t="s">
        <v>30</v>
      </c>
      <c r="AD64" s="21" t="s">
        <v>31</v>
      </c>
      <c r="AE64" s="21" t="s">
        <v>32</v>
      </c>
      <c r="AF64" s="21" t="s">
        <v>33</v>
      </c>
      <c r="AG64" s="21" t="s">
        <v>34</v>
      </c>
      <c r="AH64" s="23" t="s">
        <v>35</v>
      </c>
      <c r="AI64" s="14" t="s">
        <v>36</v>
      </c>
      <c r="AJ64" s="14" t="s">
        <v>37</v>
      </c>
      <c r="AK64" s="14" t="s">
        <v>38</v>
      </c>
      <c r="AL64" s="256"/>
      <c r="AM64" s="21" t="s">
        <v>303</v>
      </c>
      <c r="AN64" s="21" t="s">
        <v>232</v>
      </c>
      <c r="AO64" s="1502" t="s">
        <v>39</v>
      </c>
      <c r="AP64" s="1482"/>
      <c r="AQ64" s="146"/>
      <c r="AR64" s="229" t="s">
        <v>307</v>
      </c>
      <c r="AS64" s="229" t="s">
        <v>235</v>
      </c>
      <c r="AT64" s="229" t="s">
        <v>128</v>
      </c>
      <c r="AU64" s="20" t="s">
        <v>127</v>
      </c>
      <c r="AV64" s="20" t="s">
        <v>43</v>
      </c>
      <c r="AW64" s="20" t="s">
        <v>40</v>
      </c>
      <c r="AX64" s="23" t="s">
        <v>41</v>
      </c>
      <c r="AY64" s="23" t="s">
        <v>146</v>
      </c>
      <c r="AZ64" s="31"/>
      <c r="BA64" s="31"/>
      <c r="BB64" s="25"/>
      <c r="BC64" s="3"/>
      <c r="BD64" s="3"/>
      <c r="BG64" s="3"/>
    </row>
    <row r="65" spans="1:59" ht="12.75" customHeight="1" x14ac:dyDescent="0.2">
      <c r="A65" s="82"/>
      <c r="B65" s="7" t="s">
        <v>341</v>
      </c>
      <c r="C65" s="83">
        <f t="shared" ref="C65:C71" si="40">I65-M65</f>
        <v>5859</v>
      </c>
      <c r="D65" s="485">
        <f t="shared" ref="D65:D71" si="41">IF(OR((C65/M65)&gt;3,(C65/M65)&lt;-3),"n.m.",(C65/M65))</f>
        <v>0.20384802727715537</v>
      </c>
      <c r="E65" s="88"/>
      <c r="F65" s="251"/>
      <c r="G65" s="251"/>
      <c r="H65" s="251"/>
      <c r="I65" s="300">
        <v>34601</v>
      </c>
      <c r="J65" s="251">
        <f>38419-2686</f>
        <v>35733</v>
      </c>
      <c r="K65" s="251">
        <f>30571+2009</f>
        <v>32580</v>
      </c>
      <c r="L65" s="251">
        <f>27830+380</f>
        <v>28210</v>
      </c>
      <c r="M65" s="300">
        <f>28445+297</f>
        <v>28742</v>
      </c>
      <c r="N65" s="251">
        <v>5969</v>
      </c>
      <c r="O65" s="251">
        <v>2712</v>
      </c>
      <c r="P65" s="251">
        <v>3187</v>
      </c>
      <c r="Q65" s="300">
        <v>3355</v>
      </c>
      <c r="R65" s="251">
        <v>4877</v>
      </c>
      <c r="S65" s="251">
        <v>4800</v>
      </c>
      <c r="T65" s="251">
        <v>4288</v>
      </c>
      <c r="U65" s="300">
        <v>3624</v>
      </c>
      <c r="V65" s="251">
        <v>2939</v>
      </c>
      <c r="W65" s="251">
        <v>3598</v>
      </c>
      <c r="X65" s="251">
        <v>2710</v>
      </c>
      <c r="Y65" s="300">
        <v>2214</v>
      </c>
      <c r="Z65" s="251"/>
      <c r="AA65" s="251"/>
      <c r="AB65" s="300"/>
      <c r="AC65" s="300"/>
      <c r="AD65" s="368"/>
      <c r="AE65" s="146"/>
      <c r="AF65" s="146"/>
      <c r="AG65" s="7"/>
      <c r="AH65" s="146"/>
      <c r="AI65" s="7"/>
      <c r="AJ65" s="7"/>
      <c r="AK65" s="146"/>
      <c r="AL65" s="88"/>
      <c r="AM65" s="239">
        <f t="shared" ref="AM65:AM70" si="42">SUM(K65:M65)</f>
        <v>89532</v>
      </c>
      <c r="AN65" s="251">
        <f t="shared" ref="AN65:AN70" si="43">SUM(O65:Q65)</f>
        <v>9254</v>
      </c>
      <c r="AO65" s="251">
        <f t="shared" ref="AO65:AO71" si="44">AR65-AS65</f>
        <v>110042</v>
      </c>
      <c r="AP65" s="742" t="str">
        <f t="shared" ref="AP65:AP71" si="45">IF(OR((AO65/AS65)&gt;3,(AO65/AS65)&lt;-3),"n.m.",(AO65/AS65))</f>
        <v>n.m.</v>
      </c>
      <c r="AQ65" s="146"/>
      <c r="AR65" s="569">
        <f t="shared" ref="AR65:AR70" si="46">SUM(J65:M65)</f>
        <v>125265</v>
      </c>
      <c r="AS65" s="569">
        <f t="shared" ref="AS65:AS70" si="47">SUM(N65:Q65)</f>
        <v>15223</v>
      </c>
      <c r="AT65" s="564">
        <f t="shared" ref="AT65:AT70" si="48">SUM(R65:U65)</f>
        <v>17589</v>
      </c>
      <c r="AU65" s="43">
        <f t="shared" ref="AU65:AU70" si="49">SUM(V65:Y65)</f>
        <v>11461</v>
      </c>
      <c r="AV65" s="43">
        <v>10891</v>
      </c>
      <c r="AW65" s="43">
        <v>14557</v>
      </c>
      <c r="AX65" s="43">
        <v>11991</v>
      </c>
      <c r="AY65" s="43">
        <v>14929</v>
      </c>
      <c r="AZ65" s="31"/>
      <c r="BA65" s="31"/>
      <c r="BB65" s="25"/>
      <c r="BC65" s="3"/>
      <c r="BD65" s="3"/>
      <c r="BG65" s="3"/>
    </row>
    <row r="66" spans="1:59" ht="12.75" customHeight="1" x14ac:dyDescent="0.2">
      <c r="A66" s="82"/>
      <c r="B66" s="7" t="s">
        <v>65</v>
      </c>
      <c r="C66" s="83">
        <f t="shared" si="40"/>
        <v>1687</v>
      </c>
      <c r="D66" s="485">
        <f t="shared" si="41"/>
        <v>0.56782228205991248</v>
      </c>
      <c r="E66" s="88"/>
      <c r="F66" s="251"/>
      <c r="G66" s="251"/>
      <c r="H66" s="251"/>
      <c r="I66" s="300">
        <v>4658</v>
      </c>
      <c r="J66" s="251">
        <f>7552-268</f>
        <v>7284</v>
      </c>
      <c r="K66" s="251">
        <f>12466+150</f>
        <v>12616</v>
      </c>
      <c r="L66" s="251">
        <f>10921+86</f>
        <v>11007</v>
      </c>
      <c r="M66" s="300">
        <f>2939+32</f>
        <v>2971</v>
      </c>
      <c r="N66" s="251">
        <v>6836</v>
      </c>
      <c r="O66" s="251">
        <v>3072</v>
      </c>
      <c r="P66" s="251">
        <v>750</v>
      </c>
      <c r="Q66" s="300">
        <v>2299</v>
      </c>
      <c r="R66" s="251">
        <v>16817</v>
      </c>
      <c r="S66" s="251">
        <v>9429</v>
      </c>
      <c r="T66" s="251">
        <v>3477</v>
      </c>
      <c r="U66" s="300">
        <v>4849</v>
      </c>
      <c r="V66" s="251">
        <f>14020-V67</f>
        <v>11927</v>
      </c>
      <c r="W66" s="251">
        <f>16392-W67</f>
        <v>13190</v>
      </c>
      <c r="X66" s="251">
        <f>3925-X67</f>
        <v>1650</v>
      </c>
      <c r="Y66" s="300">
        <f>13214-Y67</f>
        <v>9027</v>
      </c>
      <c r="Z66" s="251"/>
      <c r="AA66" s="251"/>
      <c r="AB66" s="300"/>
      <c r="AC66" s="300"/>
      <c r="AD66" s="368"/>
      <c r="AE66" s="146"/>
      <c r="AF66" s="146"/>
      <c r="AG66" s="7"/>
      <c r="AH66" s="146"/>
      <c r="AI66" s="7"/>
      <c r="AJ66" s="7"/>
      <c r="AK66" s="146"/>
      <c r="AL66" s="88"/>
      <c r="AM66" s="239">
        <f t="shared" si="42"/>
        <v>26594</v>
      </c>
      <c r="AN66" s="251">
        <f t="shared" si="43"/>
        <v>6121</v>
      </c>
      <c r="AO66" s="251">
        <f t="shared" si="44"/>
        <v>20921</v>
      </c>
      <c r="AP66" s="660">
        <f t="shared" si="45"/>
        <v>1.6146484525738982</v>
      </c>
      <c r="AQ66" s="146"/>
      <c r="AR66" s="561">
        <f t="shared" si="46"/>
        <v>33878</v>
      </c>
      <c r="AS66" s="561">
        <f t="shared" si="47"/>
        <v>12957</v>
      </c>
      <c r="AT66" s="565">
        <f t="shared" si="48"/>
        <v>34572</v>
      </c>
      <c r="AU66" s="43">
        <f t="shared" si="49"/>
        <v>35794</v>
      </c>
      <c r="AV66" s="43">
        <f>48109-AV67</f>
        <v>26736</v>
      </c>
      <c r="AW66" s="43">
        <f>92703-AW67</f>
        <v>80789</v>
      </c>
      <c r="AX66" s="43">
        <f>104869-AX67</f>
        <v>99288</v>
      </c>
      <c r="AY66" s="43">
        <f>91128-3937</f>
        <v>87191</v>
      </c>
      <c r="AZ66" s="31"/>
      <c r="BA66" s="31"/>
      <c r="BB66" s="25"/>
      <c r="BC66" s="3"/>
      <c r="BD66" s="3"/>
      <c r="BG66" s="3"/>
    </row>
    <row r="67" spans="1:59" ht="12.75" customHeight="1" x14ac:dyDescent="0.2">
      <c r="A67" s="82"/>
      <c r="B67" s="7" t="s">
        <v>213</v>
      </c>
      <c r="C67" s="83">
        <f t="shared" si="40"/>
        <v>7037</v>
      </c>
      <c r="D67" s="485">
        <f t="shared" si="41"/>
        <v>0.48145867542419268</v>
      </c>
      <c r="E67" s="88"/>
      <c r="F67" s="251"/>
      <c r="G67" s="251"/>
      <c r="H67" s="251"/>
      <c r="I67" s="300">
        <v>21653</v>
      </c>
      <c r="J67" s="251">
        <v>19658</v>
      </c>
      <c r="K67" s="251">
        <v>16995</v>
      </c>
      <c r="L67" s="251">
        <v>13802</v>
      </c>
      <c r="M67" s="300">
        <v>14616</v>
      </c>
      <c r="N67" s="251">
        <v>5533</v>
      </c>
      <c r="O67" s="251">
        <v>4356</v>
      </c>
      <c r="P67" s="251">
        <v>3235</v>
      </c>
      <c r="Q67" s="300">
        <v>1470</v>
      </c>
      <c r="R67" s="251">
        <v>2671</v>
      </c>
      <c r="S67" s="251">
        <v>2437</v>
      </c>
      <c r="T67" s="251">
        <v>4055</v>
      </c>
      <c r="U67" s="300">
        <v>3085</v>
      </c>
      <c r="V67" s="251">
        <v>2093</v>
      </c>
      <c r="W67" s="251">
        <v>3202</v>
      </c>
      <c r="X67" s="251">
        <v>2275</v>
      </c>
      <c r="Y67" s="300">
        <v>4187</v>
      </c>
      <c r="Z67" s="251"/>
      <c r="AA67" s="251"/>
      <c r="AB67" s="300"/>
      <c r="AC67" s="300"/>
      <c r="AD67" s="368"/>
      <c r="AE67" s="146"/>
      <c r="AF67" s="146"/>
      <c r="AG67" s="7"/>
      <c r="AH67" s="146"/>
      <c r="AI67" s="7"/>
      <c r="AJ67" s="7"/>
      <c r="AK67" s="146"/>
      <c r="AL67" s="88"/>
      <c r="AM67" s="239">
        <f t="shared" si="42"/>
        <v>45413</v>
      </c>
      <c r="AN67" s="251">
        <f t="shared" si="43"/>
        <v>9061</v>
      </c>
      <c r="AO67" s="251">
        <f t="shared" si="44"/>
        <v>50477</v>
      </c>
      <c r="AP67" s="660" t="str">
        <f t="shared" si="45"/>
        <v>n.m.</v>
      </c>
      <c r="AQ67" s="146"/>
      <c r="AR67" s="561">
        <f t="shared" si="46"/>
        <v>65071</v>
      </c>
      <c r="AS67" s="561">
        <f t="shared" si="47"/>
        <v>14594</v>
      </c>
      <c r="AT67" s="565">
        <f t="shared" si="48"/>
        <v>12248</v>
      </c>
      <c r="AU67" s="43">
        <f t="shared" si="49"/>
        <v>11757</v>
      </c>
      <c r="AV67" s="43">
        <v>21373</v>
      </c>
      <c r="AW67" s="43">
        <v>11914</v>
      </c>
      <c r="AX67" s="43">
        <v>5581</v>
      </c>
      <c r="AY67" s="43">
        <v>3937</v>
      </c>
      <c r="AZ67" s="31"/>
      <c r="BA67" s="31"/>
      <c r="BB67" s="25"/>
      <c r="BC67" s="3"/>
      <c r="BD67" s="3"/>
      <c r="BG67" s="3"/>
    </row>
    <row r="68" spans="1:59" ht="12.75" customHeight="1" x14ac:dyDescent="0.2">
      <c r="A68" s="82"/>
      <c r="B68" s="7" t="s">
        <v>66</v>
      </c>
      <c r="C68" s="83">
        <f t="shared" si="40"/>
        <v>2895</v>
      </c>
      <c r="D68" s="485">
        <f t="shared" si="41"/>
        <v>1.1850184199754401</v>
      </c>
      <c r="E68" s="88"/>
      <c r="F68" s="251"/>
      <c r="G68" s="251"/>
      <c r="H68" s="251"/>
      <c r="I68" s="300">
        <v>5338</v>
      </c>
      <c r="J68" s="251">
        <v>8936</v>
      </c>
      <c r="K68" s="251">
        <v>6665</v>
      </c>
      <c r="L68" s="251">
        <v>6462</v>
      </c>
      <c r="M68" s="300">
        <v>2443</v>
      </c>
      <c r="N68" s="251">
        <v>3447</v>
      </c>
      <c r="O68" s="251">
        <v>2591</v>
      </c>
      <c r="P68" s="251">
        <v>2232</v>
      </c>
      <c r="Q68" s="300">
        <v>2173</v>
      </c>
      <c r="R68" s="251">
        <v>10213</v>
      </c>
      <c r="S68" s="251">
        <v>6662</v>
      </c>
      <c r="T68" s="251">
        <v>6583</v>
      </c>
      <c r="U68" s="300">
        <v>4874</v>
      </c>
      <c r="V68" s="251">
        <v>4132</v>
      </c>
      <c r="W68" s="251">
        <v>6480</v>
      </c>
      <c r="X68" s="251">
        <v>7104</v>
      </c>
      <c r="Y68" s="300">
        <v>5474</v>
      </c>
      <c r="Z68" s="251"/>
      <c r="AA68" s="251"/>
      <c r="AB68" s="300"/>
      <c r="AC68" s="300"/>
      <c r="AD68" s="368"/>
      <c r="AE68" s="146"/>
      <c r="AF68" s="146"/>
      <c r="AG68" s="7"/>
      <c r="AH68" s="146"/>
      <c r="AI68" s="7"/>
      <c r="AJ68" s="7"/>
      <c r="AK68" s="146"/>
      <c r="AL68" s="88"/>
      <c r="AM68" s="239">
        <f t="shared" si="42"/>
        <v>15570</v>
      </c>
      <c r="AN68" s="251">
        <f t="shared" si="43"/>
        <v>6996</v>
      </c>
      <c r="AO68" s="251">
        <f t="shared" si="44"/>
        <v>14063</v>
      </c>
      <c r="AP68" s="660">
        <f t="shared" si="45"/>
        <v>1.3466436847649144</v>
      </c>
      <c r="AQ68" s="146"/>
      <c r="AR68" s="561">
        <f t="shared" si="46"/>
        <v>24506</v>
      </c>
      <c r="AS68" s="561">
        <f t="shared" si="47"/>
        <v>10443</v>
      </c>
      <c r="AT68" s="565">
        <f t="shared" si="48"/>
        <v>28332</v>
      </c>
      <c r="AU68" s="43">
        <f t="shared" si="49"/>
        <v>23190</v>
      </c>
      <c r="AV68" s="43">
        <v>9476</v>
      </c>
      <c r="AW68" s="43">
        <v>4419</v>
      </c>
      <c r="AX68" s="43">
        <v>9630</v>
      </c>
      <c r="AY68" s="43">
        <v>16467</v>
      </c>
      <c r="AZ68" s="31"/>
      <c r="BA68" s="31"/>
      <c r="BB68" s="25"/>
      <c r="BC68" s="3"/>
      <c r="BD68" s="3"/>
      <c r="BG68" s="3"/>
    </row>
    <row r="69" spans="1:59" ht="12.75" customHeight="1" x14ac:dyDescent="0.2">
      <c r="A69" s="82"/>
      <c r="B69" s="7" t="s">
        <v>67</v>
      </c>
      <c r="C69" s="83">
        <f t="shared" si="40"/>
        <v>475</v>
      </c>
      <c r="D69" s="485">
        <f t="shared" si="41"/>
        <v>1.9076305220883534</v>
      </c>
      <c r="E69" s="88"/>
      <c r="F69" s="251"/>
      <c r="G69" s="251"/>
      <c r="H69" s="251"/>
      <c r="I69" s="300">
        <v>724</v>
      </c>
      <c r="J69" s="251">
        <v>781</v>
      </c>
      <c r="K69" s="251">
        <v>356</v>
      </c>
      <c r="L69" s="251">
        <f>557-322</f>
        <v>235</v>
      </c>
      <c r="M69" s="300">
        <v>249</v>
      </c>
      <c r="N69" s="251">
        <v>30</v>
      </c>
      <c r="O69" s="251">
        <v>0</v>
      </c>
      <c r="P69" s="251">
        <v>3</v>
      </c>
      <c r="Q69" s="300">
        <v>3</v>
      </c>
      <c r="R69" s="251">
        <v>15</v>
      </c>
      <c r="S69" s="251">
        <v>3</v>
      </c>
      <c r="T69" s="251">
        <v>4</v>
      </c>
      <c r="U69" s="300">
        <v>3</v>
      </c>
      <c r="V69" s="251">
        <v>21</v>
      </c>
      <c r="W69" s="251">
        <v>12</v>
      </c>
      <c r="X69" s="251">
        <v>17</v>
      </c>
      <c r="Y69" s="300">
        <v>44</v>
      </c>
      <c r="Z69" s="251"/>
      <c r="AA69" s="251"/>
      <c r="AB69" s="300"/>
      <c r="AC69" s="300"/>
      <c r="AD69" s="368"/>
      <c r="AE69" s="146"/>
      <c r="AF69" s="146"/>
      <c r="AG69" s="7"/>
      <c r="AH69" s="146"/>
      <c r="AI69" s="7"/>
      <c r="AJ69" s="7"/>
      <c r="AK69" s="146"/>
      <c r="AL69" s="88"/>
      <c r="AM69" s="239">
        <f t="shared" si="42"/>
        <v>840</v>
      </c>
      <c r="AN69" s="251">
        <f t="shared" si="43"/>
        <v>6</v>
      </c>
      <c r="AO69" s="251">
        <f t="shared" si="44"/>
        <v>1585</v>
      </c>
      <c r="AP69" s="660" t="str">
        <f t="shared" si="45"/>
        <v>n.m.</v>
      </c>
      <c r="AQ69" s="146"/>
      <c r="AR69" s="561">
        <f t="shared" si="46"/>
        <v>1621</v>
      </c>
      <c r="AS69" s="561">
        <f t="shared" si="47"/>
        <v>36</v>
      </c>
      <c r="AT69" s="565">
        <f t="shared" si="48"/>
        <v>25</v>
      </c>
      <c r="AU69" s="43">
        <f t="shared" si="49"/>
        <v>94</v>
      </c>
      <c r="AV69" s="43">
        <v>2226</v>
      </c>
      <c r="AW69" s="43">
        <v>3339</v>
      </c>
      <c r="AX69" s="43">
        <v>3835</v>
      </c>
      <c r="AY69" s="43">
        <v>2491</v>
      </c>
      <c r="AZ69" s="31"/>
      <c r="BA69" s="31"/>
      <c r="BB69" s="25"/>
      <c r="BC69" s="3"/>
      <c r="BD69" s="3"/>
      <c r="BG69" s="3"/>
    </row>
    <row r="70" spans="1:59" ht="12.75" customHeight="1" x14ac:dyDescent="0.2">
      <c r="A70" s="190"/>
      <c r="B70" s="7" t="s">
        <v>68</v>
      </c>
      <c r="C70" s="83">
        <f t="shared" si="40"/>
        <v>707</v>
      </c>
      <c r="D70" s="485" t="str">
        <f t="shared" si="41"/>
        <v>n.m.</v>
      </c>
      <c r="E70" s="534"/>
      <c r="F70" s="332"/>
      <c r="G70" s="332"/>
      <c r="H70" s="332"/>
      <c r="I70" s="300">
        <v>493</v>
      </c>
      <c r="J70" s="332">
        <f>-3088+2686+268</f>
        <v>-134</v>
      </c>
      <c r="K70" s="332">
        <f>1987-2009-150</f>
        <v>-172</v>
      </c>
      <c r="L70" s="332">
        <f>456-380-86</f>
        <v>-10</v>
      </c>
      <c r="M70" s="300">
        <f>115-297-32</f>
        <v>-214</v>
      </c>
      <c r="N70" s="251">
        <v>33</v>
      </c>
      <c r="O70" s="332">
        <v>17</v>
      </c>
      <c r="P70" s="332">
        <v>-69</v>
      </c>
      <c r="Q70" s="300">
        <v>-54</v>
      </c>
      <c r="R70" s="251">
        <v>-38</v>
      </c>
      <c r="S70" s="332">
        <v>8</v>
      </c>
      <c r="T70" s="251">
        <v>-69</v>
      </c>
      <c r="U70" s="300">
        <v>10</v>
      </c>
      <c r="V70" s="251">
        <v>221</v>
      </c>
      <c r="W70" s="332">
        <v>-61</v>
      </c>
      <c r="X70" s="251">
        <v>19</v>
      </c>
      <c r="Y70" s="300">
        <v>-21</v>
      </c>
      <c r="Z70" s="251"/>
      <c r="AA70" s="332"/>
      <c r="AB70" s="300"/>
      <c r="AC70" s="300"/>
      <c r="AD70" s="370"/>
      <c r="AE70" s="15"/>
      <c r="AF70" s="15"/>
      <c r="AG70" s="15"/>
      <c r="AH70" s="15"/>
      <c r="AI70" s="15"/>
      <c r="AJ70" s="15"/>
      <c r="AK70" s="15"/>
      <c r="AL70" s="88"/>
      <c r="AM70" s="239">
        <f t="shared" si="42"/>
        <v>-396</v>
      </c>
      <c r="AN70" s="251">
        <f t="shared" si="43"/>
        <v>-106</v>
      </c>
      <c r="AO70" s="251">
        <f t="shared" si="44"/>
        <v>-457</v>
      </c>
      <c r="AP70" s="660" t="str">
        <f t="shared" si="45"/>
        <v>n.m.</v>
      </c>
      <c r="AQ70" s="82"/>
      <c r="AR70" s="561">
        <f t="shared" si="46"/>
        <v>-530</v>
      </c>
      <c r="AS70" s="561">
        <f t="shared" si="47"/>
        <v>-73</v>
      </c>
      <c r="AT70" s="566">
        <f t="shared" si="48"/>
        <v>-89</v>
      </c>
      <c r="AU70" s="43">
        <f t="shared" si="49"/>
        <v>158</v>
      </c>
      <c r="AV70" s="43">
        <v>2224</v>
      </c>
      <c r="AW70" s="43">
        <v>3314</v>
      </c>
      <c r="AX70" s="43">
        <v>-473</v>
      </c>
      <c r="AY70" s="43">
        <v>885</v>
      </c>
      <c r="AZ70" s="31"/>
      <c r="BA70" s="31"/>
      <c r="BB70" s="25"/>
      <c r="BC70" s="3"/>
      <c r="BD70" s="3"/>
      <c r="BG70" s="3"/>
    </row>
    <row r="71" spans="1:59" ht="12.75" customHeight="1" x14ac:dyDescent="0.2">
      <c r="A71" s="190"/>
      <c r="B71" s="7"/>
      <c r="C71" s="507">
        <f t="shared" si="40"/>
        <v>18660</v>
      </c>
      <c r="D71" s="688">
        <f t="shared" si="41"/>
        <v>0.3823222078800172</v>
      </c>
      <c r="E71" s="24"/>
      <c r="F71" s="330">
        <f>SUM(F65:F70)</f>
        <v>0</v>
      </c>
      <c r="G71" s="330">
        <f>SUM(G65:G70)</f>
        <v>0</v>
      </c>
      <c r="H71" s="330">
        <f>SUM(H65:H70)</f>
        <v>0</v>
      </c>
      <c r="I71" s="510">
        <f>SUM(I65:I70)</f>
        <v>67467</v>
      </c>
      <c r="J71" s="330">
        <f t="shared" ref="J71:Q71" si="50">SUM(J65:J70)</f>
        <v>72258</v>
      </c>
      <c r="K71" s="330">
        <f t="shared" si="50"/>
        <v>69040</v>
      </c>
      <c r="L71" s="330">
        <f t="shared" si="50"/>
        <v>59706</v>
      </c>
      <c r="M71" s="510">
        <f t="shared" si="50"/>
        <v>48807</v>
      </c>
      <c r="N71" s="330">
        <f t="shared" si="50"/>
        <v>21848</v>
      </c>
      <c r="O71" s="330">
        <f t="shared" si="50"/>
        <v>12748</v>
      </c>
      <c r="P71" s="330">
        <f t="shared" si="50"/>
        <v>9338</v>
      </c>
      <c r="Q71" s="510">
        <f t="shared" si="50"/>
        <v>9246</v>
      </c>
      <c r="R71" s="330">
        <f t="shared" ref="R71:AX71" si="51">SUM(R65:R70)</f>
        <v>34555</v>
      </c>
      <c r="S71" s="330">
        <f t="shared" si="51"/>
        <v>23339</v>
      </c>
      <c r="T71" s="330">
        <f t="shared" si="51"/>
        <v>18338</v>
      </c>
      <c r="U71" s="510">
        <f t="shared" si="51"/>
        <v>16445</v>
      </c>
      <c r="V71" s="330">
        <f t="shared" si="51"/>
        <v>21333</v>
      </c>
      <c r="W71" s="330">
        <f t="shared" si="51"/>
        <v>26421</v>
      </c>
      <c r="X71" s="330">
        <f t="shared" si="51"/>
        <v>13775</v>
      </c>
      <c r="Y71" s="510">
        <f t="shared" si="51"/>
        <v>20925</v>
      </c>
      <c r="Z71" s="329">
        <f t="shared" si="51"/>
        <v>0</v>
      </c>
      <c r="AA71" s="330">
        <f t="shared" si="51"/>
        <v>0</v>
      </c>
      <c r="AB71" s="510">
        <f t="shared" si="51"/>
        <v>0</v>
      </c>
      <c r="AC71" s="510">
        <f t="shared" si="51"/>
        <v>0</v>
      </c>
      <c r="AD71" s="510">
        <f t="shared" si="51"/>
        <v>0</v>
      </c>
      <c r="AE71" s="2">
        <f t="shared" si="51"/>
        <v>0</v>
      </c>
      <c r="AF71" s="2">
        <f t="shared" si="51"/>
        <v>0</v>
      </c>
      <c r="AG71" s="2">
        <f t="shared" si="51"/>
        <v>0</v>
      </c>
      <c r="AH71" s="2">
        <f t="shared" si="51"/>
        <v>0</v>
      </c>
      <c r="AI71" s="2">
        <f t="shared" si="51"/>
        <v>0</v>
      </c>
      <c r="AJ71" s="2">
        <f t="shared" si="51"/>
        <v>0</v>
      </c>
      <c r="AK71" s="2">
        <f t="shared" si="51"/>
        <v>0</v>
      </c>
      <c r="AL71" s="24"/>
      <c r="AM71" s="674">
        <f>SUM(AM65:AM70)</f>
        <v>177553</v>
      </c>
      <c r="AN71" s="512">
        <f>SUM(AN65:AN70)</f>
        <v>31332</v>
      </c>
      <c r="AO71" s="328">
        <f t="shared" si="44"/>
        <v>196631</v>
      </c>
      <c r="AP71" s="168" t="str">
        <f t="shared" si="45"/>
        <v>n.m.</v>
      </c>
      <c r="AR71" s="567">
        <f t="shared" si="51"/>
        <v>249811</v>
      </c>
      <c r="AS71" s="567">
        <f t="shared" si="51"/>
        <v>53180</v>
      </c>
      <c r="AT71" s="567">
        <f t="shared" si="51"/>
        <v>92677</v>
      </c>
      <c r="AU71" s="329">
        <f t="shared" si="51"/>
        <v>82454</v>
      </c>
      <c r="AV71" s="509">
        <f t="shared" si="51"/>
        <v>72926</v>
      </c>
      <c r="AW71" s="512">
        <f t="shared" si="51"/>
        <v>118332</v>
      </c>
      <c r="AX71" s="513">
        <f t="shared" si="51"/>
        <v>129852</v>
      </c>
      <c r="AY71" s="171">
        <f>SUM(AY65:AY70)</f>
        <v>125900</v>
      </c>
      <c r="AZ71" s="31"/>
      <c r="BA71" s="31"/>
      <c r="BB71" s="25"/>
      <c r="BC71" s="3"/>
      <c r="BD71" s="3"/>
      <c r="BG71" s="3"/>
    </row>
    <row r="72" spans="1:59" s="721" customFormat="1" ht="12.75" customHeight="1" x14ac:dyDescent="0.2">
      <c r="A72" s="190"/>
      <c r="B72" s="7"/>
      <c r="C72" s="397"/>
      <c r="D72" s="339"/>
      <c r="E72" s="24"/>
      <c r="F72" s="337"/>
      <c r="G72" s="337"/>
      <c r="H72" s="337"/>
      <c r="I72" s="638"/>
      <c r="J72" s="337"/>
      <c r="K72" s="337"/>
      <c r="L72" s="337"/>
      <c r="M72" s="638"/>
      <c r="N72" s="227"/>
      <c r="O72" s="337"/>
      <c r="P72" s="337"/>
      <c r="Q72" s="638"/>
      <c r="R72" s="227"/>
      <c r="S72" s="337"/>
      <c r="T72" s="337"/>
      <c r="U72" s="638"/>
      <c r="V72" s="227"/>
      <c r="W72" s="638"/>
      <c r="X72" s="638"/>
      <c r="Y72" s="638"/>
      <c r="Z72" s="738"/>
      <c r="AA72" s="738"/>
      <c r="AB72" s="738"/>
      <c r="AC72" s="738"/>
      <c r="AD72" s="738"/>
      <c r="AE72" s="2"/>
      <c r="AF72" s="2"/>
      <c r="AG72" s="2"/>
      <c r="AH72" s="2"/>
      <c r="AI72" s="2"/>
      <c r="AJ72" s="2"/>
      <c r="AK72" s="2"/>
      <c r="AL72" s="24"/>
      <c r="AM72" s="17"/>
      <c r="AN72" s="18"/>
      <c r="AO72" s="656"/>
      <c r="AP72" s="470"/>
      <c r="AR72" s="639"/>
      <c r="AS72" s="639"/>
      <c r="AT72" s="639"/>
      <c r="AU72" s="639"/>
      <c r="AV72" s="437"/>
      <c r="AW72" s="639"/>
      <c r="AX72" s="639"/>
      <c r="AY72" s="730"/>
      <c r="AZ72" s="727"/>
      <c r="BA72" s="727"/>
      <c r="BB72" s="25"/>
    </row>
    <row r="73" spans="1:59" s="721" customFormat="1" ht="13.5" customHeight="1" x14ac:dyDescent="0.2">
      <c r="A73" s="190"/>
      <c r="B73" s="7" t="s">
        <v>322</v>
      </c>
      <c r="C73" s="152">
        <f>I73-M73</f>
        <v>190</v>
      </c>
      <c r="D73" s="483" t="s">
        <v>42</v>
      </c>
      <c r="E73" s="24"/>
      <c r="F73" s="820"/>
      <c r="G73" s="820"/>
      <c r="H73" s="820"/>
      <c r="I73" s="926">
        <v>0</v>
      </c>
      <c r="J73" s="820">
        <v>-276</v>
      </c>
      <c r="K73" s="820">
        <v>-520</v>
      </c>
      <c r="L73" s="820">
        <v>0</v>
      </c>
      <c r="M73" s="370">
        <v>-190</v>
      </c>
      <c r="N73" s="417">
        <v>0</v>
      </c>
      <c r="O73" s="820">
        <v>0</v>
      </c>
      <c r="P73" s="820">
        <v>0</v>
      </c>
      <c r="Q73" s="821">
        <v>0</v>
      </c>
      <c r="R73" s="417">
        <v>0</v>
      </c>
      <c r="S73" s="820">
        <v>0</v>
      </c>
      <c r="T73" s="820">
        <v>0</v>
      </c>
      <c r="U73" s="821">
        <v>0</v>
      </c>
      <c r="V73" s="640" t="s">
        <v>186</v>
      </c>
      <c r="W73" s="641" t="s">
        <v>186</v>
      </c>
      <c r="X73" s="641" t="s">
        <v>186</v>
      </c>
      <c r="Y73" s="641" t="s">
        <v>186</v>
      </c>
      <c r="Z73" s="642"/>
      <c r="AA73" s="642"/>
      <c r="AB73" s="642"/>
      <c r="AC73" s="642"/>
      <c r="AD73" s="642"/>
      <c r="AE73" s="643"/>
      <c r="AF73" s="643"/>
      <c r="AG73" s="643"/>
      <c r="AH73" s="643"/>
      <c r="AI73" s="643"/>
      <c r="AJ73" s="643"/>
      <c r="AK73" s="643"/>
      <c r="AL73" s="776"/>
      <c r="AM73" s="226">
        <f>SUM(K73:M73)</f>
        <v>-710</v>
      </c>
      <c r="AN73" s="820">
        <f>SUM(O73:Q73)</f>
        <v>0</v>
      </c>
      <c r="AO73" s="820">
        <f>AR73-AS73</f>
        <v>-986</v>
      </c>
      <c r="AP73" s="483" t="s">
        <v>42</v>
      </c>
      <c r="AQ73" s="97"/>
      <c r="AR73" s="822">
        <f>SUM(J73:M73)</f>
        <v>-986</v>
      </c>
      <c r="AS73" s="822">
        <f>SUM(N73:Q73)</f>
        <v>0</v>
      </c>
      <c r="AT73" s="822">
        <f>SUM(R73:U73)</f>
        <v>0</v>
      </c>
      <c r="AU73" s="644" t="s">
        <v>186</v>
      </c>
      <c r="AV73" s="645" t="s">
        <v>186</v>
      </c>
      <c r="AW73" s="644" t="s">
        <v>186</v>
      </c>
      <c r="AX73" s="644" t="s">
        <v>186</v>
      </c>
      <c r="AY73" s="730"/>
      <c r="AZ73" s="727"/>
      <c r="BA73" s="727"/>
    </row>
    <row r="74" spans="1:59" ht="12.75" customHeight="1" x14ac:dyDescent="0.2">
      <c r="B74" s="13"/>
      <c r="C74" s="252"/>
      <c r="D74" s="252"/>
      <c r="E74" s="252"/>
      <c r="F74" s="252"/>
      <c r="G74" s="252"/>
      <c r="H74" s="252"/>
      <c r="I74" s="2"/>
      <c r="J74" s="252"/>
      <c r="K74" s="252"/>
      <c r="L74" s="252"/>
      <c r="M74" s="2"/>
      <c r="N74" s="252"/>
      <c r="O74" s="252"/>
      <c r="P74" s="252"/>
      <c r="Q74" s="2"/>
      <c r="R74" s="252"/>
      <c r="S74" s="252"/>
      <c r="T74" s="252"/>
      <c r="U74" s="2"/>
      <c r="V74" s="252"/>
      <c r="W74" s="252"/>
      <c r="X74" s="252"/>
      <c r="Y74" s="2"/>
      <c r="Z74" s="252"/>
      <c r="AA74" s="252"/>
      <c r="AB74" s="252"/>
      <c r="AC74" s="2"/>
      <c r="AG74" s="2"/>
      <c r="AI74" s="2"/>
      <c r="AJ74" s="2"/>
      <c r="AK74" s="253"/>
      <c r="AL74" s="240"/>
      <c r="AM74" s="240"/>
      <c r="AN74" s="240"/>
      <c r="AO74" s="240"/>
      <c r="AP74" s="240"/>
      <c r="AQ74" s="242"/>
      <c r="AR74" s="240"/>
      <c r="AS74" s="240"/>
      <c r="AT74" s="240"/>
      <c r="AU74" s="242"/>
      <c r="AV74" s="242"/>
      <c r="BB74" s="3"/>
      <c r="BC74" s="3"/>
      <c r="BD74" s="3"/>
    </row>
    <row r="75" spans="1:59" x14ac:dyDescent="0.2">
      <c r="A75" s="7" t="s">
        <v>28</v>
      </c>
    </row>
    <row r="76" spans="1:59" ht="4.5" customHeight="1" x14ac:dyDescent="0.2">
      <c r="C76" s="82"/>
      <c r="D76" s="82"/>
      <c r="E76" s="146"/>
      <c r="F76" s="730"/>
      <c r="G76" s="730"/>
      <c r="H76" s="730"/>
      <c r="I76" s="730"/>
      <c r="J76" s="730"/>
      <c r="K76" s="730"/>
      <c r="L76" s="730"/>
      <c r="M76" s="73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568"/>
      <c r="AP76" s="568"/>
      <c r="AQ76" s="210"/>
      <c r="AR76" s="568"/>
      <c r="AS76" s="568"/>
      <c r="AT76" s="568"/>
      <c r="AU76" s="210"/>
      <c r="AV76" s="210"/>
      <c r="AW76" s="210"/>
      <c r="AX76" s="210"/>
      <c r="AY76" s="210"/>
      <c r="BB76" s="3"/>
      <c r="BC76" s="3"/>
      <c r="BD76" s="3"/>
    </row>
    <row r="77" spans="1:59" x14ac:dyDescent="0.2">
      <c r="A77" s="7" t="s">
        <v>339</v>
      </c>
      <c r="B77" s="3"/>
      <c r="C77" s="240"/>
      <c r="D77" s="240"/>
      <c r="E77" s="240"/>
      <c r="F77" s="32"/>
      <c r="G77" s="32"/>
      <c r="H77" s="32"/>
      <c r="I77" s="32"/>
      <c r="J77" s="32"/>
      <c r="K77" s="32"/>
      <c r="L77" s="32"/>
      <c r="M77" s="32"/>
      <c r="N77" s="32"/>
      <c r="O77" s="32"/>
      <c r="P77" s="32"/>
      <c r="Q77" s="32"/>
      <c r="R77" s="32"/>
      <c r="S77" s="32"/>
      <c r="T77" s="32"/>
    </row>
    <row r="78" spans="1:59" x14ac:dyDescent="0.2">
      <c r="C78" s="82"/>
      <c r="D78" s="82"/>
      <c r="E78" s="146"/>
      <c r="F78" s="725"/>
      <c r="G78" s="725"/>
      <c r="H78" s="725"/>
      <c r="I78" s="721"/>
      <c r="J78" s="725"/>
      <c r="K78" s="725"/>
      <c r="L78" s="725"/>
      <c r="M78" s="721"/>
      <c r="N78" s="146"/>
      <c r="O78" s="146"/>
      <c r="P78" s="146"/>
      <c r="Q78" s="613"/>
      <c r="R78" s="146"/>
      <c r="S78" s="146"/>
      <c r="T78" s="146"/>
      <c r="U78" s="613"/>
      <c r="V78" s="146"/>
      <c r="W78" s="146"/>
      <c r="X78" s="146"/>
      <c r="Y78" s="613"/>
      <c r="Z78" s="146"/>
      <c r="AA78" s="146"/>
      <c r="AB78" s="146"/>
      <c r="AK78" s="31"/>
      <c r="AL78" s="146"/>
      <c r="AM78" s="146"/>
      <c r="AN78" s="146"/>
      <c r="AO78" s="251"/>
      <c r="AP78" s="755"/>
      <c r="AQ78" s="725"/>
      <c r="AR78" s="581"/>
      <c r="AS78" s="581"/>
      <c r="AT78" s="559"/>
      <c r="AU78" s="725"/>
      <c r="AV78" s="725"/>
      <c r="AW78" s="722"/>
      <c r="AX78" s="754"/>
      <c r="AY78" s="722"/>
      <c r="AZ78" s="722"/>
      <c r="BA78" s="722"/>
      <c r="BB78" s="722"/>
      <c r="BC78" s="722"/>
      <c r="BD78" s="722"/>
      <c r="BE78" s="722"/>
    </row>
    <row r="79" spans="1:59" x14ac:dyDescent="0.2">
      <c r="C79" s="82"/>
      <c r="D79" s="82"/>
      <c r="E79" s="146"/>
      <c r="F79" s="725"/>
      <c r="G79" s="725"/>
      <c r="H79" s="725"/>
      <c r="I79" s="721"/>
      <c r="J79" s="725"/>
      <c r="K79" s="725"/>
      <c r="L79" s="725"/>
      <c r="M79" s="721"/>
      <c r="N79" s="146"/>
      <c r="O79" s="146"/>
      <c r="P79" s="146"/>
      <c r="Q79" s="613"/>
      <c r="R79" s="146"/>
      <c r="S79" s="146"/>
      <c r="T79" s="146"/>
      <c r="U79" s="613"/>
      <c r="V79" s="146"/>
      <c r="W79" s="146"/>
      <c r="X79" s="146"/>
      <c r="Y79" s="613"/>
      <c r="Z79" s="146"/>
      <c r="AA79" s="146"/>
      <c r="AB79" s="146"/>
      <c r="AK79" s="31"/>
      <c r="AL79" s="146"/>
      <c r="AM79" s="146"/>
      <c r="AN79" s="146"/>
      <c r="AO79" s="559"/>
      <c r="AP79" s="559"/>
      <c r="AQ79" s="725"/>
      <c r="AR79" s="581"/>
      <c r="AS79" s="581"/>
      <c r="AT79" s="559"/>
      <c r="AU79" s="725"/>
      <c r="AV79" s="725"/>
      <c r="AW79" s="722"/>
      <c r="AX79" s="7"/>
      <c r="AY79" s="722"/>
      <c r="AZ79" s="722"/>
      <c r="BA79" s="722"/>
      <c r="BB79" s="722"/>
      <c r="BC79" s="722"/>
      <c r="BD79" s="722"/>
      <c r="BE79" s="722"/>
    </row>
    <row r="80" spans="1:59" x14ac:dyDescent="0.2">
      <c r="I80" s="721"/>
      <c r="M80" s="721"/>
      <c r="Q80" s="613"/>
      <c r="U80" s="613"/>
      <c r="Y80" s="613"/>
      <c r="AK80" s="11"/>
      <c r="AL80" s="3"/>
      <c r="AM80" s="3"/>
      <c r="AN80" s="3"/>
      <c r="AO80" s="386"/>
      <c r="AP80" s="755"/>
      <c r="AQ80" s="722"/>
      <c r="AR80" s="880"/>
      <c r="AS80" s="880"/>
      <c r="AT80" s="552"/>
      <c r="AU80" s="722"/>
      <c r="AV80" s="722"/>
      <c r="AW80" s="722"/>
      <c r="AX80" s="32"/>
      <c r="AY80" s="722"/>
      <c r="AZ80" s="754"/>
      <c r="BA80" s="722"/>
      <c r="BB80" s="722"/>
      <c r="BC80" s="722"/>
      <c r="BD80" s="722"/>
      <c r="BE80" s="722"/>
    </row>
    <row r="81" spans="9:57" x14ac:dyDescent="0.2">
      <c r="I81" s="721"/>
      <c r="M81" s="721"/>
      <c r="Q81" s="613"/>
      <c r="U81" s="613"/>
      <c r="Y81" s="613"/>
      <c r="AK81" s="33"/>
      <c r="AL81" s="3"/>
      <c r="AM81" s="3"/>
      <c r="AN81" s="3"/>
      <c r="AO81" s="552"/>
      <c r="AP81" s="552"/>
      <c r="AQ81" s="722"/>
      <c r="AR81" s="552"/>
      <c r="AS81" s="552"/>
      <c r="AT81" s="552"/>
      <c r="AU81" s="722"/>
      <c r="AV81" s="722"/>
      <c r="AW81" s="722"/>
      <c r="AX81" s="2"/>
      <c r="AY81" s="722"/>
      <c r="AZ81" s="32"/>
      <c r="BA81" s="722"/>
      <c r="BB81" s="722"/>
      <c r="BC81" s="722"/>
      <c r="BD81" s="722"/>
      <c r="BE81" s="722"/>
    </row>
    <row r="82" spans="9:57" x14ac:dyDescent="0.2">
      <c r="I82" s="721"/>
      <c r="M82" s="721"/>
      <c r="Q82" s="613"/>
      <c r="U82" s="32">
        <f t="shared" ref="U82:AK82" si="52">U71-U16</f>
        <v>0</v>
      </c>
      <c r="V82" s="32">
        <f t="shared" si="52"/>
        <v>0</v>
      </c>
      <c r="W82" s="32">
        <f t="shared" si="52"/>
        <v>0</v>
      </c>
      <c r="X82" s="32">
        <f t="shared" si="52"/>
        <v>0</v>
      </c>
      <c r="Y82" s="32">
        <f t="shared" si="52"/>
        <v>0</v>
      </c>
      <c r="Z82" s="32">
        <f t="shared" si="52"/>
        <v>0</v>
      </c>
      <c r="AA82" s="32">
        <f t="shared" si="52"/>
        <v>0</v>
      </c>
      <c r="AB82" s="32">
        <f t="shared" si="52"/>
        <v>0</v>
      </c>
      <c r="AC82" s="32">
        <f t="shared" si="52"/>
        <v>0</v>
      </c>
      <c r="AD82" s="32">
        <f t="shared" si="52"/>
        <v>0</v>
      </c>
      <c r="AE82" s="32">
        <f t="shared" si="52"/>
        <v>0</v>
      </c>
      <c r="AF82" s="32">
        <f t="shared" si="52"/>
        <v>0</v>
      </c>
      <c r="AG82" s="32">
        <f t="shared" si="52"/>
        <v>0</v>
      </c>
      <c r="AH82" s="32">
        <f t="shared" si="52"/>
        <v>0</v>
      </c>
      <c r="AI82" s="32">
        <f t="shared" si="52"/>
        <v>0</v>
      </c>
      <c r="AJ82" s="32">
        <f t="shared" si="52"/>
        <v>0</v>
      </c>
      <c r="AK82" s="32">
        <f t="shared" si="52"/>
        <v>0</v>
      </c>
      <c r="AL82" s="32"/>
      <c r="AM82" s="32"/>
      <c r="AN82" s="32"/>
      <c r="AO82" s="558"/>
      <c r="AP82" s="558"/>
      <c r="AQ82" s="32"/>
      <c r="AR82" s="558"/>
      <c r="AS82" s="558"/>
      <c r="AT82" s="558"/>
      <c r="AU82" s="32"/>
      <c r="AV82" s="32"/>
      <c r="AW82" s="32"/>
      <c r="AX82" s="32"/>
      <c r="AY82" s="32"/>
      <c r="AZ82" s="722"/>
      <c r="BA82" s="722"/>
      <c r="BB82" s="722"/>
      <c r="BC82" s="722"/>
      <c r="BD82" s="722"/>
      <c r="BE82" s="722"/>
    </row>
    <row r="83" spans="9:57" x14ac:dyDescent="0.2">
      <c r="I83" s="721"/>
      <c r="M83" s="721"/>
      <c r="Q83" s="613"/>
      <c r="U83" s="613"/>
      <c r="Y83" s="613"/>
      <c r="AK83" s="2"/>
      <c r="AL83" s="3"/>
      <c r="AM83" s="3"/>
      <c r="AN83" s="3"/>
      <c r="AO83" s="552"/>
      <c r="AP83" s="552"/>
      <c r="AQ83" s="722"/>
      <c r="AR83" s="552"/>
      <c r="AS83" s="552"/>
      <c r="AT83" s="552"/>
      <c r="AU83" s="722"/>
      <c r="AV83" s="722"/>
      <c r="AW83" s="722"/>
      <c r="AX83" s="32"/>
      <c r="AY83" s="722"/>
      <c r="AZ83" s="722"/>
      <c r="BA83" s="722"/>
      <c r="BB83" s="722"/>
      <c r="BC83" s="722"/>
      <c r="BD83" s="722"/>
      <c r="BE83" s="722"/>
    </row>
    <row r="84" spans="9:57" x14ac:dyDescent="0.2">
      <c r="AC84" s="3"/>
      <c r="AD84" s="3"/>
      <c r="AH84" s="3"/>
      <c r="AK84" s="7"/>
      <c r="AL84" s="3"/>
      <c r="AM84" s="3"/>
      <c r="AN84" s="3"/>
      <c r="AO84" s="552"/>
      <c r="AP84" s="552"/>
      <c r="AQ84" s="722"/>
      <c r="AR84" s="552"/>
      <c r="AS84" s="552"/>
      <c r="AT84" s="552"/>
      <c r="AU84" s="722"/>
      <c r="AV84" s="722"/>
      <c r="AW84" s="722"/>
      <c r="AX84" s="32"/>
      <c r="AY84" s="722"/>
      <c r="AZ84" s="722"/>
      <c r="BA84" s="722"/>
      <c r="BB84" s="722"/>
      <c r="BC84" s="722"/>
      <c r="BD84" s="722"/>
      <c r="BE84" s="722"/>
    </row>
    <row r="85" spans="9:57" x14ac:dyDescent="0.2">
      <c r="I85" s="721"/>
      <c r="M85" s="721"/>
      <c r="Q85" s="613"/>
      <c r="U85" s="613"/>
      <c r="Y85" s="613"/>
      <c r="AK85" s="32"/>
      <c r="AL85" s="3"/>
      <c r="AM85" s="3"/>
      <c r="AN85" s="3"/>
      <c r="AO85" s="552"/>
      <c r="AP85" s="552"/>
      <c r="AQ85" s="722"/>
      <c r="AR85" s="552"/>
      <c r="AS85" s="552"/>
      <c r="AT85" s="552"/>
      <c r="AU85" s="722"/>
      <c r="AV85" s="722"/>
      <c r="AW85" s="722"/>
      <c r="AX85" s="11"/>
      <c r="AY85" s="722"/>
      <c r="AZ85" s="722"/>
      <c r="BA85" s="722"/>
      <c r="BB85" s="722"/>
      <c r="BC85" s="722"/>
      <c r="BD85" s="722"/>
      <c r="BE85" s="722"/>
    </row>
    <row r="86" spans="9:57" x14ac:dyDescent="0.2">
      <c r="I86" s="721"/>
      <c r="M86" s="721"/>
      <c r="Q86" s="613"/>
      <c r="U86" s="613"/>
      <c r="Y86" s="613"/>
      <c r="AK86" s="41"/>
      <c r="AL86" s="3"/>
      <c r="AM86" s="3"/>
      <c r="AN86" s="3"/>
      <c r="AO86" s="552"/>
      <c r="AP86" s="552"/>
      <c r="AQ86" s="722"/>
      <c r="AR86" s="552"/>
      <c r="AS86" s="552"/>
      <c r="AT86" s="552"/>
      <c r="AU86" s="722"/>
      <c r="AV86" s="722"/>
      <c r="AW86" s="722"/>
      <c r="AX86" s="35"/>
      <c r="AY86" s="722"/>
      <c r="AZ86" s="722"/>
      <c r="BA86" s="722"/>
      <c r="BB86" s="722"/>
      <c r="BC86" s="722"/>
      <c r="BD86" s="722"/>
      <c r="BE86" s="722"/>
    </row>
    <row r="87" spans="9:57" x14ac:dyDescent="0.2">
      <c r="I87" s="721"/>
      <c r="M87" s="721"/>
      <c r="Q87" s="613"/>
      <c r="U87" s="613"/>
      <c r="Y87" s="613"/>
      <c r="AK87" s="41"/>
      <c r="AL87" s="3"/>
      <c r="AM87" s="3"/>
      <c r="AN87" s="3"/>
      <c r="AO87" s="552"/>
      <c r="AP87" s="552"/>
      <c r="AQ87" s="722"/>
      <c r="AR87" s="552"/>
      <c r="AS87" s="552"/>
      <c r="AT87" s="552"/>
      <c r="AU87" s="722"/>
      <c r="AV87" s="722"/>
      <c r="AW87" s="722"/>
      <c r="AX87" s="35"/>
      <c r="AY87" s="722"/>
      <c r="AZ87" s="722"/>
      <c r="BA87" s="722"/>
      <c r="BB87" s="722"/>
      <c r="BC87" s="722"/>
      <c r="BD87" s="722"/>
      <c r="BE87" s="722"/>
    </row>
    <row r="88" spans="9:57" x14ac:dyDescent="0.2">
      <c r="I88" s="721"/>
      <c r="M88" s="721"/>
      <c r="Q88" s="613"/>
      <c r="U88" s="613"/>
      <c r="Y88" s="613"/>
      <c r="AK88" s="41"/>
      <c r="AL88" s="3"/>
      <c r="AM88" s="3"/>
      <c r="AN88" s="3"/>
      <c r="AO88" s="552"/>
      <c r="AP88" s="552"/>
      <c r="AQ88" s="722"/>
      <c r="AR88" s="552"/>
      <c r="AS88" s="552"/>
      <c r="AT88" s="552"/>
      <c r="AU88" s="722"/>
      <c r="AV88" s="722"/>
      <c r="AW88" s="722"/>
      <c r="AX88" s="35"/>
      <c r="AY88" s="722"/>
      <c r="AZ88" s="722"/>
      <c r="BA88" s="722"/>
      <c r="BB88" s="722"/>
      <c r="BC88" s="722"/>
      <c r="BD88" s="722"/>
      <c r="BE88" s="722"/>
    </row>
    <row r="89" spans="9:57" x14ac:dyDescent="0.2">
      <c r="I89" s="721"/>
      <c r="M89" s="721"/>
      <c r="Q89" s="613"/>
      <c r="U89" s="613"/>
      <c r="Y89" s="613"/>
      <c r="AK89" s="35"/>
      <c r="AL89" s="3"/>
      <c r="AM89" s="3"/>
      <c r="AN89" s="3"/>
      <c r="AO89" s="552"/>
      <c r="AP89" s="552"/>
      <c r="AQ89" s="722"/>
      <c r="AR89" s="552"/>
      <c r="AS89" s="552"/>
      <c r="AT89" s="552"/>
      <c r="AU89" s="722"/>
      <c r="AV89" s="722"/>
      <c r="AW89" s="722"/>
      <c r="AX89" s="36"/>
      <c r="AY89" s="722"/>
      <c r="AZ89" s="722"/>
      <c r="BA89" s="722"/>
      <c r="BB89" s="722"/>
      <c r="BC89" s="722"/>
      <c r="BD89" s="722"/>
      <c r="BE89" s="722"/>
    </row>
    <row r="90" spans="9:57" x14ac:dyDescent="0.2">
      <c r="I90" s="721"/>
      <c r="M90" s="721"/>
      <c r="Q90" s="613"/>
      <c r="U90" s="613"/>
      <c r="Y90" s="613"/>
      <c r="AK90" s="36"/>
      <c r="AL90" s="3"/>
      <c r="AM90" s="3"/>
      <c r="AN90" s="3"/>
      <c r="AO90" s="552"/>
      <c r="AP90" s="552"/>
      <c r="AQ90" s="722"/>
      <c r="AR90" s="552"/>
      <c r="AS90" s="552"/>
      <c r="AT90" s="552"/>
      <c r="AU90" s="722"/>
      <c r="AV90" s="722"/>
      <c r="AW90" s="36"/>
      <c r="AX90" s="36"/>
      <c r="AY90" s="722"/>
      <c r="AZ90" s="722"/>
      <c r="BA90" s="722"/>
      <c r="BB90" s="722"/>
      <c r="BC90" s="722"/>
      <c r="BD90" s="722"/>
      <c r="BE90" s="722"/>
    </row>
    <row r="91" spans="9:57" x14ac:dyDescent="0.2">
      <c r="I91" s="721"/>
      <c r="M91" s="721"/>
      <c r="Q91" s="613"/>
      <c r="U91" s="613"/>
      <c r="Y91" s="613"/>
      <c r="AK91" s="36"/>
      <c r="AL91" s="3"/>
      <c r="AM91" s="3"/>
      <c r="AN91" s="3"/>
      <c r="AR91" s="552"/>
      <c r="AS91" s="552"/>
      <c r="AT91" s="552"/>
      <c r="AW91" s="3"/>
      <c r="AX91" s="3"/>
    </row>
    <row r="92" spans="9:57" x14ac:dyDescent="0.2">
      <c r="I92" s="721"/>
      <c r="M92" s="721"/>
      <c r="Q92" s="613"/>
      <c r="U92" s="613"/>
      <c r="Y92" s="613"/>
      <c r="AK92" s="3"/>
      <c r="AL92" s="3"/>
      <c r="AM92" s="3"/>
      <c r="AN92" s="3"/>
      <c r="AR92" s="552"/>
      <c r="AS92" s="552"/>
      <c r="AT92" s="552"/>
      <c r="AW92" s="3"/>
      <c r="AX92" s="3"/>
    </row>
    <row r="93" spans="9:57" x14ac:dyDescent="0.2">
      <c r="I93" s="721"/>
      <c r="M93" s="721"/>
      <c r="Q93" s="613"/>
      <c r="U93" s="613"/>
      <c r="Y93" s="613"/>
      <c r="AK93" s="3"/>
      <c r="AL93" s="3"/>
      <c r="AM93" s="3"/>
      <c r="AN93" s="3"/>
      <c r="AR93" s="552"/>
      <c r="AS93" s="552"/>
      <c r="AT93" s="552"/>
      <c r="AW93" s="3"/>
      <c r="AX93" s="3"/>
    </row>
    <row r="94" spans="9:57" x14ac:dyDescent="0.2">
      <c r="I94" s="721"/>
      <c r="M94" s="721"/>
      <c r="Q94" s="613"/>
      <c r="U94" s="613"/>
      <c r="Y94" s="613"/>
      <c r="AK94" s="3"/>
      <c r="AL94" s="3"/>
      <c r="AM94" s="3"/>
      <c r="AN94" s="3"/>
      <c r="AR94" s="552"/>
      <c r="AS94" s="552"/>
      <c r="AT94" s="552"/>
      <c r="AW94" s="3"/>
      <c r="AX94" s="3"/>
    </row>
    <row r="95" spans="9:57" x14ac:dyDescent="0.2">
      <c r="I95" s="721"/>
      <c r="M95" s="721"/>
      <c r="Q95" s="613"/>
      <c r="U95" s="613"/>
      <c r="Y95" s="613"/>
      <c r="AK95" s="3"/>
      <c r="AL95" s="3"/>
      <c r="AM95" s="3"/>
      <c r="AN95" s="3"/>
      <c r="AR95" s="552"/>
      <c r="AS95" s="552"/>
      <c r="AT95" s="552"/>
      <c r="AW95" s="3"/>
      <c r="AX95" s="3"/>
    </row>
    <row r="96" spans="9:57" x14ac:dyDescent="0.2">
      <c r="I96" s="721"/>
      <c r="M96" s="721"/>
      <c r="Q96" s="613"/>
      <c r="U96" s="613"/>
      <c r="Y96" s="613"/>
      <c r="AK96" s="3"/>
      <c r="AL96" s="3"/>
      <c r="AM96" s="3"/>
      <c r="AN96" s="3"/>
      <c r="AR96" s="552"/>
      <c r="AS96" s="552"/>
      <c r="AT96" s="552"/>
    </row>
    <row r="97" spans="9:25" x14ac:dyDescent="0.2">
      <c r="I97" s="721"/>
      <c r="M97" s="721"/>
      <c r="Q97" s="613"/>
      <c r="U97" s="613"/>
      <c r="Y97" s="613"/>
    </row>
  </sheetData>
  <mergeCells count="11">
    <mergeCell ref="C57:D57"/>
    <mergeCell ref="AO57:AP57"/>
    <mergeCell ref="C63:D63"/>
    <mergeCell ref="C64:D64"/>
    <mergeCell ref="AO64:AP64"/>
    <mergeCell ref="C56:D56"/>
    <mergeCell ref="C10:D10"/>
    <mergeCell ref="C11:D11"/>
    <mergeCell ref="AO11:AP11"/>
    <mergeCell ref="A36:B36"/>
    <mergeCell ref="A42:B42"/>
  </mergeCells>
  <conditionalFormatting sqref="AZ81 AQ46:AQ51 AU46:AX51 A46:A47 A54:A55 Z51:AB51 X51 A62 A70:A73 C51:E51 X46:AK50 AP46:AP50 D46:E50 AL46:AN51 AT48:AW48 J46:W51 AS46:AS51 AR46:AT50">
    <cfRule type="cellIs" dxfId="9" priority="5" stopIfTrue="1" operator="equal">
      <formula>0</formula>
    </cfRule>
  </conditionalFormatting>
  <conditionalFormatting sqref="A72:A73">
    <cfRule type="cellIs" dxfId="8" priority="4" stopIfTrue="1" operator="equal">
      <formula>0</formula>
    </cfRule>
  </conditionalFormatting>
  <conditionalFormatting sqref="AR51">
    <cfRule type="cellIs" dxfId="7" priority="2" stopIfTrue="1" operator="equal">
      <formula>0</formula>
    </cfRule>
  </conditionalFormatting>
  <conditionalFormatting sqref="F46:I51">
    <cfRule type="cellIs" dxfId="6" priority="1" stopIfTrue="1" operator="equal">
      <formula>0</formula>
    </cfRule>
  </conditionalFormatting>
  <printOptions horizontalCentered="1"/>
  <pageMargins left="0.3" right="0.3" top="0.4" bottom="0.6" header="0" footer="0.3"/>
  <pageSetup scale="59" orientation="landscape" r:id="rId1"/>
  <headerFooter alignWithMargins="0">
    <oddFooter>&amp;L&amp;F&amp;CPage 8</oddFooter>
  </headerFooter>
  <colBreaks count="1" manualBreakCount="1">
    <brk id="51" max="6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96"/>
  <sheetViews>
    <sheetView view="pageBreakPreview" topLeftCell="A24" zoomScale="90" zoomScaleNormal="100" zoomScaleSheetLayoutView="90" workbookViewId="0">
      <selection activeCell="B21" sqref="B21:L21"/>
    </sheetView>
  </sheetViews>
  <sheetFormatPr defaultRowHeight="12.75" outlineLevelRow="1" x14ac:dyDescent="0.2"/>
  <cols>
    <col min="1" max="1" width="2.7109375" customWidth="1"/>
    <col min="2" max="2" width="45" customWidth="1"/>
    <col min="3" max="3" width="9.5703125" customWidth="1"/>
    <col min="4" max="4" width="9.7109375" customWidth="1"/>
    <col min="5" max="5" width="1.5703125" style="3" customWidth="1"/>
    <col min="6" max="8" width="9" style="722" hidden="1" customWidth="1"/>
    <col min="9" max="13" width="9" style="722" customWidth="1"/>
    <col min="14" max="17" width="9" style="3" customWidth="1"/>
    <col min="18" max="27" width="9" style="3" hidden="1" customWidth="1"/>
    <col min="28" max="28" width="9.7109375" style="3" hidden="1" customWidth="1"/>
    <col min="29" max="37" width="9.7109375" hidden="1" customWidth="1"/>
    <col min="38" max="38" width="1.5703125" customWidth="1"/>
    <col min="39" max="40" width="9.42578125" style="613" hidden="1" customWidth="1"/>
    <col min="41" max="42" width="9.42578125" style="106" hidden="1" customWidth="1"/>
    <col min="43" max="43" width="1.5703125" hidden="1" customWidth="1"/>
    <col min="44" max="46" width="9.7109375" style="106" customWidth="1"/>
    <col min="47" max="48" width="9.7109375" customWidth="1"/>
    <col min="49" max="53" width="9.7109375" hidden="1" customWidth="1"/>
    <col min="54" max="54" width="1.5703125" customWidth="1"/>
  </cols>
  <sheetData>
    <row r="1" spans="1:61" x14ac:dyDescent="0.2">
      <c r="AB1" s="394"/>
    </row>
    <row r="2" spans="1:61" x14ac:dyDescent="0.2">
      <c r="AB2" s="394"/>
    </row>
    <row r="3" spans="1:61" x14ac:dyDescent="0.2">
      <c r="AB3" s="394"/>
    </row>
    <row r="4" spans="1:61" x14ac:dyDescent="0.2">
      <c r="Z4" s="2"/>
      <c r="AB4" s="394"/>
    </row>
    <row r="5" spans="1:61" x14ac:dyDescent="0.2">
      <c r="A5" s="3"/>
      <c r="B5" s="3"/>
      <c r="C5" s="3"/>
      <c r="D5" s="3"/>
      <c r="Z5" s="2"/>
      <c r="AB5" s="394"/>
      <c r="AC5" s="3"/>
      <c r="AD5" s="3"/>
      <c r="AE5" s="3"/>
      <c r="AR5" s="878"/>
    </row>
    <row r="6" spans="1:61" ht="18" customHeight="1" x14ac:dyDescent="0.2">
      <c r="A6" s="132" t="s">
        <v>100</v>
      </c>
      <c r="B6" s="3"/>
      <c r="C6" s="3"/>
      <c r="D6" s="3"/>
      <c r="Z6" s="2"/>
      <c r="AB6" s="394"/>
      <c r="AC6" s="3"/>
      <c r="AD6" s="3"/>
      <c r="AE6" s="3"/>
    </row>
    <row r="7" spans="1:61" ht="18" customHeight="1" x14ac:dyDescent="0.2">
      <c r="A7" s="132" t="s">
        <v>225</v>
      </c>
      <c r="B7" s="3"/>
      <c r="C7" s="3"/>
      <c r="D7" s="3"/>
      <c r="Z7" s="2"/>
      <c r="AB7" s="394"/>
      <c r="AC7" s="3"/>
      <c r="AD7" s="3"/>
      <c r="AE7" s="3"/>
    </row>
    <row r="8" spans="1:61" s="721" customFormat="1" x14ac:dyDescent="0.2">
      <c r="A8" s="760" t="s">
        <v>281</v>
      </c>
      <c r="B8" s="722"/>
      <c r="C8" s="722"/>
      <c r="D8" s="722"/>
      <c r="E8" s="722"/>
      <c r="F8" s="722"/>
      <c r="G8" s="722"/>
      <c r="H8" s="722"/>
      <c r="I8" s="722"/>
      <c r="J8" s="722"/>
      <c r="K8" s="722"/>
      <c r="L8" s="722"/>
      <c r="M8" s="722"/>
      <c r="N8" s="879"/>
      <c r="O8" s="879"/>
      <c r="P8" s="879"/>
      <c r="Q8" s="879"/>
      <c r="R8" s="722"/>
      <c r="S8" s="722"/>
      <c r="T8" s="722"/>
      <c r="U8" s="722"/>
      <c r="V8" s="722"/>
      <c r="W8" s="722"/>
      <c r="X8" s="722"/>
      <c r="Y8" s="722"/>
      <c r="Z8" s="2"/>
      <c r="AA8" s="722"/>
      <c r="AB8" s="394"/>
      <c r="AC8" s="722"/>
      <c r="AD8" s="722"/>
      <c r="AE8" s="722"/>
      <c r="AO8" s="106"/>
      <c r="AP8" s="106"/>
      <c r="AR8" s="878"/>
      <c r="AS8" s="106"/>
      <c r="AT8" s="106"/>
    </row>
    <row r="9" spans="1:61" ht="9.75" customHeight="1" x14ac:dyDescent="0.2">
      <c r="A9" s="2"/>
      <c r="B9" s="2"/>
      <c r="C9" s="2"/>
      <c r="D9" s="2"/>
      <c r="E9" s="2"/>
      <c r="F9" s="2"/>
      <c r="G9" s="2"/>
      <c r="H9" s="2"/>
      <c r="I9" s="2"/>
      <c r="J9" s="2"/>
      <c r="K9" s="2"/>
      <c r="L9" s="2"/>
      <c r="M9" s="2"/>
      <c r="N9" s="424"/>
      <c r="O9" s="2"/>
      <c r="P9" s="2"/>
      <c r="Q9" s="2"/>
      <c r="R9" s="424"/>
      <c r="S9" s="2"/>
      <c r="T9" s="424"/>
      <c r="U9" s="2"/>
      <c r="V9" s="424"/>
      <c r="W9" s="2"/>
      <c r="X9" s="424"/>
      <c r="Y9" s="2"/>
      <c r="Z9" s="424"/>
      <c r="AA9" s="2"/>
      <c r="AB9" s="2"/>
      <c r="AC9" s="3"/>
      <c r="AD9" s="3"/>
      <c r="AE9" s="3"/>
      <c r="AO9" s="552"/>
      <c r="AP9" s="552"/>
      <c r="AR9" s="552"/>
      <c r="AS9" s="552"/>
      <c r="AT9" s="552"/>
      <c r="AY9" s="3"/>
      <c r="AZ9" s="3"/>
      <c r="BA9" s="3"/>
    </row>
    <row r="10" spans="1:61" x14ac:dyDescent="0.2">
      <c r="A10" s="6" t="s">
        <v>1</v>
      </c>
      <c r="B10" s="7"/>
      <c r="C10" s="1479" t="s">
        <v>360</v>
      </c>
      <c r="D10" s="1480"/>
      <c r="E10" s="256"/>
      <c r="F10" s="410"/>
      <c r="G10" s="410"/>
      <c r="H10" s="410"/>
      <c r="I10" s="19"/>
      <c r="J10" s="410"/>
      <c r="K10" s="410"/>
      <c r="L10" s="410"/>
      <c r="M10" s="19"/>
      <c r="N10" s="17"/>
      <c r="O10" s="18"/>
      <c r="P10" s="410"/>
      <c r="Q10" s="19"/>
      <c r="R10" s="17"/>
      <c r="S10" s="18"/>
      <c r="T10" s="410"/>
      <c r="U10" s="19"/>
      <c r="V10" s="722"/>
      <c r="W10" s="18"/>
      <c r="X10" s="2"/>
      <c r="Y10" s="19"/>
      <c r="Z10" s="18"/>
      <c r="AA10" s="722"/>
      <c r="AB10" s="410"/>
      <c r="AC10" s="19"/>
      <c r="AD10" s="18"/>
      <c r="AE10" s="18"/>
      <c r="AF10" s="18"/>
      <c r="AG10" s="18"/>
      <c r="AH10" s="22"/>
      <c r="AI10" s="19"/>
      <c r="AJ10" s="19"/>
      <c r="AK10" s="19"/>
      <c r="AL10" s="24"/>
      <c r="AM10" s="661" t="s">
        <v>340</v>
      </c>
      <c r="AN10" s="647"/>
      <c r="AO10" s="647" t="s">
        <v>320</v>
      </c>
      <c r="AP10" s="648"/>
      <c r="AQ10" s="15"/>
      <c r="AR10" s="875"/>
      <c r="AS10" s="694"/>
      <c r="AT10" s="599"/>
      <c r="AU10" s="87"/>
      <c r="AV10" s="87"/>
      <c r="AW10" s="17"/>
      <c r="AX10" s="22"/>
      <c r="AY10" s="87"/>
      <c r="AZ10" s="297"/>
      <c r="BA10" s="697"/>
      <c r="BB10" s="25"/>
    </row>
    <row r="11" spans="1:61" ht="13.5" x14ac:dyDescent="0.2">
      <c r="A11" s="6" t="s">
        <v>2</v>
      </c>
      <c r="B11" s="7"/>
      <c r="C11" s="1481" t="s">
        <v>39</v>
      </c>
      <c r="D11" s="1482"/>
      <c r="E11" s="530"/>
      <c r="F11" s="21" t="s">
        <v>363</v>
      </c>
      <c r="G11" s="21" t="s">
        <v>362</v>
      </c>
      <c r="H11" s="21" t="s">
        <v>361</v>
      </c>
      <c r="I11" s="14" t="s">
        <v>359</v>
      </c>
      <c r="J11" s="21" t="s">
        <v>302</v>
      </c>
      <c r="K11" s="21" t="s">
        <v>303</v>
      </c>
      <c r="L11" s="21" t="s">
        <v>304</v>
      </c>
      <c r="M11" s="14" t="s">
        <v>305</v>
      </c>
      <c r="N11" s="20" t="s">
        <v>231</v>
      </c>
      <c r="O11" s="21" t="s">
        <v>232</v>
      </c>
      <c r="P11" s="21" t="s">
        <v>233</v>
      </c>
      <c r="Q11" s="14" t="s">
        <v>230</v>
      </c>
      <c r="R11" s="20" t="s">
        <v>194</v>
      </c>
      <c r="S11" s="21" t="s">
        <v>195</v>
      </c>
      <c r="T11" s="21" t="s">
        <v>196</v>
      </c>
      <c r="U11" s="14" t="s">
        <v>197</v>
      </c>
      <c r="V11" s="21" t="s">
        <v>126</v>
      </c>
      <c r="W11" s="21" t="s">
        <v>125</v>
      </c>
      <c r="X11" s="21" t="s">
        <v>124</v>
      </c>
      <c r="Y11" s="14" t="s">
        <v>123</v>
      </c>
      <c r="Z11" s="21" t="s">
        <v>86</v>
      </c>
      <c r="AA11" s="21" t="s">
        <v>87</v>
      </c>
      <c r="AB11" s="21" t="s">
        <v>88</v>
      </c>
      <c r="AC11" s="14" t="s">
        <v>30</v>
      </c>
      <c r="AD11" s="21" t="s">
        <v>31</v>
      </c>
      <c r="AE11" s="21" t="s">
        <v>32</v>
      </c>
      <c r="AF11" s="21" t="s">
        <v>33</v>
      </c>
      <c r="AG11" s="21" t="s">
        <v>34</v>
      </c>
      <c r="AH11" s="23" t="s">
        <v>35</v>
      </c>
      <c r="AI11" s="14" t="s">
        <v>36</v>
      </c>
      <c r="AJ11" s="14" t="s">
        <v>37</v>
      </c>
      <c r="AK11" s="14" t="s">
        <v>38</v>
      </c>
      <c r="AL11" s="256"/>
      <c r="AM11" s="21" t="s">
        <v>303</v>
      </c>
      <c r="AN11" s="21" t="s">
        <v>232</v>
      </c>
      <c r="AO11" s="1503" t="s">
        <v>39</v>
      </c>
      <c r="AP11" s="1478"/>
      <c r="AQ11" s="598"/>
      <c r="AR11" s="20" t="s">
        <v>307</v>
      </c>
      <c r="AS11" s="20" t="s">
        <v>235</v>
      </c>
      <c r="AT11" s="20" t="s">
        <v>128</v>
      </c>
      <c r="AU11" s="20" t="s">
        <v>127</v>
      </c>
      <c r="AV11" s="20" t="s">
        <v>43</v>
      </c>
      <c r="AW11" s="20" t="s">
        <v>40</v>
      </c>
      <c r="AX11" s="23" t="s">
        <v>41</v>
      </c>
      <c r="AY11" s="23" t="s">
        <v>146</v>
      </c>
      <c r="AZ11" s="23" t="s">
        <v>147</v>
      </c>
      <c r="BA11" s="229" t="s">
        <v>148</v>
      </c>
      <c r="BB11" s="25"/>
      <c r="BC11" s="3"/>
      <c r="BD11" s="3"/>
      <c r="BG11" s="3"/>
      <c r="BH11" s="3"/>
      <c r="BI11" s="3"/>
    </row>
    <row r="12" spans="1:61" s="613" customFormat="1" x14ac:dyDescent="0.2">
      <c r="A12" s="6"/>
      <c r="B12" s="7"/>
      <c r="C12" s="629"/>
      <c r="D12" s="628"/>
      <c r="E12" s="530"/>
      <c r="F12" s="633" t="s">
        <v>254</v>
      </c>
      <c r="G12" s="633" t="s">
        <v>254</v>
      </c>
      <c r="H12" s="633" t="s">
        <v>254</v>
      </c>
      <c r="I12" s="634" t="s">
        <v>254</v>
      </c>
      <c r="J12" s="633" t="s">
        <v>254</v>
      </c>
      <c r="K12" s="633" t="s">
        <v>254</v>
      </c>
      <c r="L12" s="633" t="s">
        <v>254</v>
      </c>
      <c r="M12" s="634" t="s">
        <v>254</v>
      </c>
      <c r="N12" s="632" t="s">
        <v>254</v>
      </c>
      <c r="O12" s="633" t="s">
        <v>254</v>
      </c>
      <c r="P12" s="633" t="s">
        <v>254</v>
      </c>
      <c r="Q12" s="634" t="s">
        <v>254</v>
      </c>
      <c r="R12" s="632" t="s">
        <v>254</v>
      </c>
      <c r="S12" s="633" t="s">
        <v>254</v>
      </c>
      <c r="T12" s="633" t="s">
        <v>254</v>
      </c>
      <c r="U12" s="634" t="s">
        <v>254</v>
      </c>
      <c r="V12" s="632" t="s">
        <v>255</v>
      </c>
      <c r="W12" s="633" t="s">
        <v>255</v>
      </c>
      <c r="X12" s="633" t="s">
        <v>255</v>
      </c>
      <c r="Y12" s="634" t="s">
        <v>255</v>
      </c>
      <c r="Z12" s="15"/>
      <c r="AA12" s="15"/>
      <c r="AB12" s="15"/>
      <c r="AC12" s="230"/>
      <c r="AD12" s="15"/>
      <c r="AE12" s="15"/>
      <c r="AF12" s="15"/>
      <c r="AG12" s="15"/>
      <c r="AH12" s="256"/>
      <c r="AI12" s="230"/>
      <c r="AJ12" s="230"/>
      <c r="AK12" s="230"/>
      <c r="AL12" s="256"/>
      <c r="AM12" s="633" t="s">
        <v>254</v>
      </c>
      <c r="AN12" s="633" t="s">
        <v>254</v>
      </c>
      <c r="AO12" s="649"/>
      <c r="AP12" s="650"/>
      <c r="AQ12" s="627"/>
      <c r="AR12" s="632" t="s">
        <v>254</v>
      </c>
      <c r="AS12" s="632" t="s">
        <v>254</v>
      </c>
      <c r="AT12" s="632" t="s">
        <v>254</v>
      </c>
      <c r="AU12" s="632" t="s">
        <v>255</v>
      </c>
      <c r="AV12" s="632" t="s">
        <v>255</v>
      </c>
      <c r="AW12" s="632" t="s">
        <v>255</v>
      </c>
      <c r="AX12" s="635" t="s">
        <v>255</v>
      </c>
      <c r="AY12" s="256"/>
      <c r="AZ12" s="256"/>
      <c r="BA12" s="229"/>
      <c r="BB12" s="25"/>
      <c r="BC12" s="3"/>
      <c r="BD12" s="3"/>
      <c r="BG12" s="3"/>
      <c r="BH12" s="3"/>
      <c r="BI12" s="3"/>
    </row>
    <row r="13" spans="1:61" ht="12.75" customHeight="1" x14ac:dyDescent="0.2">
      <c r="A13" s="140" t="s">
        <v>64</v>
      </c>
      <c r="B13" s="8"/>
      <c r="C13" s="162"/>
      <c r="D13" s="164"/>
      <c r="E13" s="88"/>
      <c r="F13" s="725"/>
      <c r="G13" s="725"/>
      <c r="H13" s="725"/>
      <c r="I13" s="164"/>
      <c r="J13" s="725"/>
      <c r="K13" s="725"/>
      <c r="L13" s="725"/>
      <c r="M13" s="164"/>
      <c r="N13" s="146"/>
      <c r="O13" s="146"/>
      <c r="P13" s="146"/>
      <c r="Q13" s="164"/>
      <c r="R13" s="146"/>
      <c r="S13" s="146"/>
      <c r="T13" s="146"/>
      <c r="U13" s="164"/>
      <c r="V13" s="146"/>
      <c r="W13" s="146"/>
      <c r="X13" s="146"/>
      <c r="Y13" s="164"/>
      <c r="Z13" s="146"/>
      <c r="AA13" s="146"/>
      <c r="AB13" s="146"/>
      <c r="AC13" s="164"/>
      <c r="AD13" s="192"/>
      <c r="AE13" s="192"/>
      <c r="AF13" s="192"/>
      <c r="AG13" s="163"/>
      <c r="AH13" s="191"/>
      <c r="AI13" s="163"/>
      <c r="AJ13" s="163"/>
      <c r="AK13" s="163"/>
      <c r="AL13" s="88"/>
      <c r="AM13" s="146"/>
      <c r="AN13" s="146"/>
      <c r="AO13" s="559"/>
      <c r="AP13" s="573"/>
      <c r="AQ13" s="82"/>
      <c r="AR13" s="572"/>
      <c r="AS13" s="572"/>
      <c r="AT13" s="572"/>
      <c r="AU13" s="88"/>
      <c r="AV13" s="191"/>
      <c r="AW13" s="725"/>
      <c r="AX13" s="88"/>
      <c r="AY13" s="307"/>
      <c r="AZ13" s="307"/>
      <c r="BA13" s="469"/>
      <c r="BB13" s="25"/>
      <c r="BC13" s="3"/>
      <c r="BD13" s="3"/>
      <c r="BG13" s="3"/>
    </row>
    <row r="14" spans="1:61" ht="12.75" customHeight="1" x14ac:dyDescent="0.2">
      <c r="A14" s="140"/>
      <c r="B14" s="82" t="s">
        <v>191</v>
      </c>
      <c r="C14" s="239" t="e">
        <f>I14-M14</f>
        <v>#REF!</v>
      </c>
      <c r="D14" s="742" t="e">
        <f>IF(OR((C14/M14)&gt;3,(C14/M14)&lt;-3),"n.m.",(C14/M14))</f>
        <v>#REF!</v>
      </c>
      <c r="E14" s="88"/>
      <c r="F14" s="745" t="e">
        <f>+#REF!</f>
        <v>#REF!</v>
      </c>
      <c r="G14" s="745" t="e">
        <f>+#REF!</f>
        <v>#REF!</v>
      </c>
      <c r="H14" s="745" t="e">
        <f>+#REF!</f>
        <v>#REF!</v>
      </c>
      <c r="I14" s="746" t="e">
        <f>+#REF!</f>
        <v>#REF!</v>
      </c>
      <c r="J14" s="745" t="e">
        <f>+#REF!</f>
        <v>#REF!</v>
      </c>
      <c r="K14" s="745" t="e">
        <f>+#REF!</f>
        <v>#REF!</v>
      </c>
      <c r="L14" s="745" t="e">
        <f>+#REF!</f>
        <v>#REF!</v>
      </c>
      <c r="M14" s="746" t="e">
        <f>+#REF!</f>
        <v>#REF!</v>
      </c>
      <c r="N14" s="687">
        <v>18487</v>
      </c>
      <c r="O14" s="687" t="e">
        <f>#REF!</f>
        <v>#REF!</v>
      </c>
      <c r="P14" s="231" t="e">
        <f>#REF!</f>
        <v>#REF!</v>
      </c>
      <c r="Q14" s="235" t="e">
        <f>#REF!</f>
        <v>#REF!</v>
      </c>
      <c r="R14" s="231">
        <v>27712</v>
      </c>
      <c r="S14" s="231">
        <v>32618</v>
      </c>
      <c r="T14" s="231">
        <v>20083</v>
      </c>
      <c r="U14" s="235">
        <v>25806</v>
      </c>
      <c r="V14" s="231">
        <v>19380</v>
      </c>
      <c r="W14" s="231">
        <v>21984</v>
      </c>
      <c r="X14" s="231">
        <v>29595</v>
      </c>
      <c r="Y14" s="235">
        <v>26670</v>
      </c>
      <c r="Z14" s="231">
        <v>16696</v>
      </c>
      <c r="AA14" s="231">
        <v>16073</v>
      </c>
      <c r="AB14" s="231">
        <v>17456</v>
      </c>
      <c r="AC14" s="235">
        <v>24569</v>
      </c>
      <c r="AD14" s="231">
        <v>23292</v>
      </c>
      <c r="AE14" s="231">
        <v>22388</v>
      </c>
      <c r="AF14" s="231">
        <v>19827</v>
      </c>
      <c r="AG14" s="235">
        <v>25281</v>
      </c>
      <c r="AH14" s="198">
        <v>18686</v>
      </c>
      <c r="AI14" s="235">
        <v>17651</v>
      </c>
      <c r="AJ14" s="235">
        <v>17682</v>
      </c>
      <c r="AK14" s="235">
        <v>22625</v>
      </c>
      <c r="AL14" s="88"/>
      <c r="AM14" s="327" t="e">
        <f>SUM(K14:M14)</f>
        <v>#REF!</v>
      </c>
      <c r="AN14" s="327" t="e">
        <f>SUM(O14:Q14)</f>
        <v>#REF!</v>
      </c>
      <c r="AO14" s="251" t="e">
        <f>AR14-AS14</f>
        <v>#REF!</v>
      </c>
      <c r="AP14" s="742" t="e">
        <f>IF(OR((AO14/AS14)&gt;3,(AO14/AS14)&lt;-3),"n.m.",(AO14/AS14))</f>
        <v>#REF!</v>
      </c>
      <c r="AQ14" s="82"/>
      <c r="AR14" s="561" t="e">
        <f>SUM(J14:M14)</f>
        <v>#REF!</v>
      </c>
      <c r="AS14" s="561" t="e">
        <f>SUM(N14:Q14)</f>
        <v>#REF!</v>
      </c>
      <c r="AT14" s="561">
        <v>106219</v>
      </c>
      <c r="AU14" s="234">
        <v>97629</v>
      </c>
      <c r="AV14" s="744">
        <v>74794</v>
      </c>
      <c r="AW14" s="746">
        <v>90788</v>
      </c>
      <c r="AX14" s="235">
        <v>76644</v>
      </c>
      <c r="AY14" s="43">
        <v>18692</v>
      </c>
      <c r="AZ14" s="43">
        <v>0</v>
      </c>
      <c r="BA14" s="43">
        <v>0</v>
      </c>
      <c r="BB14" s="3"/>
      <c r="BC14" s="3"/>
      <c r="BD14" s="3"/>
      <c r="BG14" s="3"/>
    </row>
    <row r="15" spans="1:61" ht="12.75" customHeight="1" x14ac:dyDescent="0.2">
      <c r="A15" s="140"/>
      <c r="B15" s="724" t="s">
        <v>346</v>
      </c>
      <c r="C15" s="239" t="e">
        <f>I15-M15</f>
        <v>#REF!</v>
      </c>
      <c r="D15" s="30" t="e">
        <f>IF(OR((C15/M15)&gt;3,(C15/M15)&lt;-3),"n.m.",(C15/M15))</f>
        <v>#REF!</v>
      </c>
      <c r="E15" s="88"/>
      <c r="F15" s="745" t="e">
        <f>+#REF!</f>
        <v>#REF!</v>
      </c>
      <c r="G15" s="745" t="e">
        <f>+#REF!</f>
        <v>#REF!</v>
      </c>
      <c r="H15" s="745" t="e">
        <f>+#REF!</f>
        <v>#REF!</v>
      </c>
      <c r="I15" s="746" t="e">
        <f>+#REF!</f>
        <v>#REF!</v>
      </c>
      <c r="J15" s="745" t="e">
        <f>+#REF!</f>
        <v>#REF!</v>
      </c>
      <c r="K15" s="745" t="e">
        <f>+#REF!</f>
        <v>#REF!</v>
      </c>
      <c r="L15" s="745" t="e">
        <f>+#REF!</f>
        <v>#REF!</v>
      </c>
      <c r="M15" s="746" t="e">
        <f>+#REF!</f>
        <v>#REF!</v>
      </c>
      <c r="N15" s="687" t="e">
        <f>#REF!</f>
        <v>#REF!</v>
      </c>
      <c r="O15" s="687" t="e">
        <f>#REF!</f>
        <v>#REF!</v>
      </c>
      <c r="P15" s="231" t="e">
        <f>#REF!</f>
        <v>#REF!</v>
      </c>
      <c r="Q15" s="235" t="e">
        <f>#REF!</f>
        <v>#REF!</v>
      </c>
      <c r="R15" s="231">
        <v>1486</v>
      </c>
      <c r="S15" s="231">
        <v>1555</v>
      </c>
      <c r="T15" s="231">
        <v>1010</v>
      </c>
      <c r="U15" s="235">
        <v>900</v>
      </c>
      <c r="V15" s="231">
        <v>904</v>
      </c>
      <c r="W15" s="231">
        <v>833</v>
      </c>
      <c r="X15" s="231">
        <v>542</v>
      </c>
      <c r="Y15" s="235">
        <v>509</v>
      </c>
      <c r="Z15" s="231">
        <v>516</v>
      </c>
      <c r="AA15" s="231">
        <v>460</v>
      </c>
      <c r="AB15" s="231">
        <v>828</v>
      </c>
      <c r="AC15" s="235">
        <v>1052</v>
      </c>
      <c r="AD15" s="231">
        <v>777</v>
      </c>
      <c r="AE15" s="231">
        <v>719</v>
      </c>
      <c r="AF15" s="231">
        <v>827</v>
      </c>
      <c r="AG15" s="235">
        <v>1093</v>
      </c>
      <c r="AH15" s="198">
        <v>1149</v>
      </c>
      <c r="AI15" s="235">
        <v>924</v>
      </c>
      <c r="AJ15" s="235">
        <v>666</v>
      </c>
      <c r="AK15" s="235">
        <v>1290</v>
      </c>
      <c r="AL15" s="88"/>
      <c r="AM15" s="327" t="e">
        <f>SUM(K15:M15)</f>
        <v>#REF!</v>
      </c>
      <c r="AN15" s="327" t="e">
        <f>SUM(O15:Q15)</f>
        <v>#REF!</v>
      </c>
      <c r="AO15" s="251" t="e">
        <f>AR15-AS15</f>
        <v>#REF!</v>
      </c>
      <c r="AP15" s="30" t="e">
        <f>AO15/AS15</f>
        <v>#REF!</v>
      </c>
      <c r="AQ15" s="82"/>
      <c r="AR15" s="561" t="e">
        <f>SUM(J15:M15)</f>
        <v>#REF!</v>
      </c>
      <c r="AS15" s="561" t="e">
        <f>SUM(N15:Q15)</f>
        <v>#REF!</v>
      </c>
      <c r="AT15" s="561">
        <v>4951</v>
      </c>
      <c r="AU15" s="234">
        <v>2788</v>
      </c>
      <c r="AV15" s="744">
        <v>2856</v>
      </c>
      <c r="AW15" s="746">
        <v>3416</v>
      </c>
      <c r="AX15" s="235">
        <v>4029</v>
      </c>
      <c r="AY15" s="43">
        <v>1269</v>
      </c>
      <c r="AZ15" s="43">
        <v>0</v>
      </c>
      <c r="BA15" s="43">
        <v>0</v>
      </c>
      <c r="BB15" s="3"/>
      <c r="BC15" s="3"/>
      <c r="BD15" s="3"/>
      <c r="BG15" s="3"/>
    </row>
    <row r="16" spans="1:61" ht="12.75" hidden="1" customHeight="1" x14ac:dyDescent="0.2">
      <c r="A16" s="7"/>
      <c r="B16" s="82" t="s">
        <v>97</v>
      </c>
      <c r="C16" s="239">
        <f>I16-M16</f>
        <v>0</v>
      </c>
      <c r="D16" s="30" t="e">
        <f>IF(OR((C16/M16)&gt;3,(C16/M16)&lt;-3),"n.m.",(C16/M16))</f>
        <v>#DIV/0!</v>
      </c>
      <c r="E16" s="520"/>
      <c r="F16" s="745"/>
      <c r="G16" s="745"/>
      <c r="H16" s="745"/>
      <c r="I16" s="746"/>
      <c r="J16" s="745"/>
      <c r="K16" s="745"/>
      <c r="L16" s="745"/>
      <c r="M16" s="746"/>
      <c r="N16" s="687"/>
      <c r="O16" s="687"/>
      <c r="P16" s="231"/>
      <c r="Q16" s="235"/>
      <c r="R16" s="231"/>
      <c r="S16" s="231"/>
      <c r="T16" s="231"/>
      <c r="U16" s="235"/>
      <c r="V16" s="231"/>
      <c r="W16" s="231"/>
      <c r="X16" s="231"/>
      <c r="Y16" s="235"/>
      <c r="Z16" s="231">
        <v>10</v>
      </c>
      <c r="AA16" s="231">
        <v>53</v>
      </c>
      <c r="AB16" s="231">
        <v>25</v>
      </c>
      <c r="AC16" s="235">
        <v>20</v>
      </c>
      <c r="AD16" s="231">
        <v>27</v>
      </c>
      <c r="AE16" s="231">
        <v>28</v>
      </c>
      <c r="AF16" s="231">
        <v>83</v>
      </c>
      <c r="AG16" s="235">
        <v>48</v>
      </c>
      <c r="AH16" s="198">
        <v>81</v>
      </c>
      <c r="AI16" s="235">
        <v>38</v>
      </c>
      <c r="AJ16" s="235">
        <v>397</v>
      </c>
      <c r="AK16" s="235">
        <v>70</v>
      </c>
      <c r="AL16" s="200"/>
      <c r="AM16" s="240"/>
      <c r="AN16" s="240"/>
      <c r="AO16" s="251">
        <f>AR16-AS16</f>
        <v>0</v>
      </c>
      <c r="AP16" s="30" t="e">
        <f>AO16/AS16</f>
        <v>#DIV/0!</v>
      </c>
      <c r="AQ16" s="242"/>
      <c r="AR16" s="561"/>
      <c r="AS16" s="561"/>
      <c r="AT16" s="561">
        <v>0</v>
      </c>
      <c r="AU16" s="234">
        <v>0</v>
      </c>
      <c r="AV16" s="744">
        <v>108</v>
      </c>
      <c r="AW16" s="746">
        <v>186</v>
      </c>
      <c r="AX16" s="235">
        <v>586</v>
      </c>
      <c r="AY16" s="43">
        <v>75</v>
      </c>
      <c r="AZ16" s="43">
        <v>0</v>
      </c>
      <c r="BA16" s="43">
        <v>0</v>
      </c>
      <c r="BB16" s="3"/>
      <c r="BC16" s="3"/>
      <c r="BD16" s="3"/>
      <c r="BG16" s="3"/>
    </row>
    <row r="17" spans="1:59" ht="12.75" customHeight="1" x14ac:dyDescent="0.2">
      <c r="A17" s="8"/>
      <c r="B17" s="7"/>
      <c r="C17" s="243" t="e">
        <f>I17-M17</f>
        <v>#REF!</v>
      </c>
      <c r="D17" s="168" t="e">
        <f>IF(OR((C17/M17)&gt;3,(C17/M17)&lt;-3),"n.m.",(C17/M17))</f>
        <v>#REF!</v>
      </c>
      <c r="E17" s="520"/>
      <c r="F17" s="245" t="e">
        <f t="shared" ref="F17:M17" si="0">SUM(F14:F16)</f>
        <v>#REF!</v>
      </c>
      <c r="G17" s="245" t="e">
        <f t="shared" si="0"/>
        <v>#REF!</v>
      </c>
      <c r="H17" s="245" t="e">
        <f t="shared" si="0"/>
        <v>#REF!</v>
      </c>
      <c r="I17" s="246" t="e">
        <f t="shared" si="0"/>
        <v>#REF!</v>
      </c>
      <c r="J17" s="245" t="e">
        <f t="shared" si="0"/>
        <v>#REF!</v>
      </c>
      <c r="K17" s="245" t="e">
        <f t="shared" si="0"/>
        <v>#REF!</v>
      </c>
      <c r="L17" s="245" t="e">
        <f t="shared" si="0"/>
        <v>#REF!</v>
      </c>
      <c r="M17" s="246" t="e">
        <f t="shared" si="0"/>
        <v>#REF!</v>
      </c>
      <c r="N17" s="245" t="e">
        <f>SUM(N14:N15)</f>
        <v>#REF!</v>
      </c>
      <c r="O17" s="245" t="e">
        <f t="shared" ref="O17:U17" si="1">SUM(O14:O16)</f>
        <v>#REF!</v>
      </c>
      <c r="P17" s="245" t="e">
        <f t="shared" si="1"/>
        <v>#REF!</v>
      </c>
      <c r="Q17" s="246" t="e">
        <f t="shared" si="1"/>
        <v>#REF!</v>
      </c>
      <c r="R17" s="245">
        <f t="shared" si="1"/>
        <v>29198</v>
      </c>
      <c r="S17" s="245">
        <f t="shared" si="1"/>
        <v>34173</v>
      </c>
      <c r="T17" s="245">
        <f t="shared" si="1"/>
        <v>21093</v>
      </c>
      <c r="U17" s="246">
        <f t="shared" si="1"/>
        <v>26706</v>
      </c>
      <c r="V17" s="245">
        <v>20284</v>
      </c>
      <c r="W17" s="245">
        <v>22817</v>
      </c>
      <c r="X17" s="245">
        <v>30137</v>
      </c>
      <c r="Y17" s="246">
        <v>27179</v>
      </c>
      <c r="Z17" s="245">
        <v>17212</v>
      </c>
      <c r="AA17" s="245">
        <v>16533</v>
      </c>
      <c r="AB17" s="245">
        <v>18284</v>
      </c>
      <c r="AC17" s="245">
        <v>25621</v>
      </c>
      <c r="AD17" s="244">
        <v>24069</v>
      </c>
      <c r="AE17" s="245">
        <v>23107</v>
      </c>
      <c r="AF17" s="245">
        <v>20654</v>
      </c>
      <c r="AG17" s="245">
        <v>26374</v>
      </c>
      <c r="AH17" s="244">
        <v>19835</v>
      </c>
      <c r="AI17" s="246">
        <v>18613</v>
      </c>
      <c r="AJ17" s="246">
        <v>18745</v>
      </c>
      <c r="AK17" s="246">
        <v>23985</v>
      </c>
      <c r="AL17" s="200"/>
      <c r="AM17" s="245" t="e">
        <f>SUM(AM14:AM16)</f>
        <v>#REF!</v>
      </c>
      <c r="AN17" s="245" t="e">
        <f>SUM(AN14:AN16)</f>
        <v>#REF!</v>
      </c>
      <c r="AO17" s="245" t="e">
        <f>AR17-AS17</f>
        <v>#REF!</v>
      </c>
      <c r="AP17" s="168" t="e">
        <f>AO17/AS17</f>
        <v>#REF!</v>
      </c>
      <c r="AQ17" s="242"/>
      <c r="AR17" s="563" t="e">
        <f>SUM(AR14:AR15)</f>
        <v>#REF!</v>
      </c>
      <c r="AS17" s="563" t="e">
        <f>SUM(AS14:AS15)</f>
        <v>#REF!</v>
      </c>
      <c r="AT17" s="563">
        <v>111170</v>
      </c>
      <c r="AU17" s="244">
        <v>100417</v>
      </c>
      <c r="AV17" s="199">
        <v>77650</v>
      </c>
      <c r="AW17" s="245">
        <v>94204</v>
      </c>
      <c r="AX17" s="244">
        <v>80673</v>
      </c>
      <c r="AY17" s="199">
        <f>SUM(AY14:AY15)</f>
        <v>19961</v>
      </c>
      <c r="AZ17" s="302">
        <v>0</v>
      </c>
      <c r="BA17" s="302">
        <v>0</v>
      </c>
      <c r="BB17" s="25"/>
      <c r="BC17" s="3"/>
      <c r="BD17" s="3"/>
      <c r="BG17" s="3"/>
    </row>
    <row r="18" spans="1:59" ht="12.75" customHeight="1" x14ac:dyDescent="0.2">
      <c r="A18" s="140" t="s">
        <v>5</v>
      </c>
      <c r="B18" s="7"/>
      <c r="C18" s="239"/>
      <c r="D18" s="30"/>
      <c r="E18" s="520"/>
      <c r="F18" s="745"/>
      <c r="G18" s="745"/>
      <c r="H18" s="745"/>
      <c r="I18" s="746"/>
      <c r="J18" s="745"/>
      <c r="K18" s="745"/>
      <c r="L18" s="745"/>
      <c r="M18" s="746"/>
      <c r="N18" s="687"/>
      <c r="O18" s="687"/>
      <c r="P18" s="231"/>
      <c r="Q18" s="235"/>
      <c r="R18" s="231"/>
      <c r="S18" s="231"/>
      <c r="T18" s="231"/>
      <c r="U18" s="235"/>
      <c r="V18" s="231"/>
      <c r="W18" s="231"/>
      <c r="X18" s="231"/>
      <c r="Y18" s="235"/>
      <c r="Z18" s="231"/>
      <c r="AA18" s="231"/>
      <c r="AB18" s="231"/>
      <c r="AC18" s="235"/>
      <c r="AD18" s="231"/>
      <c r="AE18" s="231"/>
      <c r="AF18" s="231"/>
      <c r="AG18" s="235"/>
      <c r="AH18" s="198"/>
      <c r="AI18" s="235"/>
      <c r="AJ18" s="235"/>
      <c r="AK18" s="235"/>
      <c r="AL18" s="200"/>
      <c r="AM18" s="240"/>
      <c r="AN18" s="240"/>
      <c r="AO18" s="251"/>
      <c r="AP18" s="30"/>
      <c r="AQ18" s="242"/>
      <c r="AR18" s="561"/>
      <c r="AS18" s="561"/>
      <c r="AT18" s="561"/>
      <c r="AU18" s="234"/>
      <c r="AV18" s="744"/>
      <c r="AW18" s="746"/>
      <c r="AX18" s="235"/>
      <c r="AY18" s="43"/>
      <c r="AZ18" s="43"/>
      <c r="BA18" s="43"/>
      <c r="BB18" s="3"/>
      <c r="BC18" s="3"/>
      <c r="BD18" s="3"/>
      <c r="BG18" s="3"/>
    </row>
    <row r="19" spans="1:59" s="721" customFormat="1" ht="12.75" customHeight="1" x14ac:dyDescent="0.2">
      <c r="A19" s="615"/>
      <c r="B19" s="7" t="s">
        <v>333</v>
      </c>
      <c r="C19" s="239">
        <f t="shared" ref="C19:C39" si="2">I19-M19</f>
        <v>7177</v>
      </c>
      <c r="D19" s="742">
        <f t="shared" ref="D19:D30" si="3">IF(OR((C19/M19)&gt;3,(C19/M19)&lt;-3),"n.m.",(C19/M19))</f>
        <v>0.39081899368329343</v>
      </c>
      <c r="E19" s="741"/>
      <c r="F19" s="745"/>
      <c r="G19" s="745"/>
      <c r="H19" s="745"/>
      <c r="I19" s="746">
        <v>25541</v>
      </c>
      <c r="J19" s="745">
        <v>23698</v>
      </c>
      <c r="K19" s="745">
        <v>18976</v>
      </c>
      <c r="L19" s="745">
        <v>19839</v>
      </c>
      <c r="M19" s="746">
        <v>18364</v>
      </c>
      <c r="N19" s="745">
        <v>12319</v>
      </c>
      <c r="O19" s="745">
        <v>8587</v>
      </c>
      <c r="P19" s="745">
        <v>9084</v>
      </c>
      <c r="Q19" s="746">
        <v>13578</v>
      </c>
      <c r="R19" s="745">
        <v>15037</v>
      </c>
      <c r="S19" s="745">
        <v>18002</v>
      </c>
      <c r="T19" s="745">
        <v>10237</v>
      </c>
      <c r="U19" s="746"/>
      <c r="V19" s="745"/>
      <c r="W19" s="745"/>
      <c r="X19" s="745"/>
      <c r="Y19" s="746"/>
      <c r="Z19" s="745"/>
      <c r="AA19" s="745"/>
      <c r="AB19" s="745"/>
      <c r="AC19" s="746"/>
      <c r="AD19" s="745"/>
      <c r="AE19" s="745"/>
      <c r="AF19" s="745"/>
      <c r="AG19" s="746"/>
      <c r="AH19" s="744"/>
      <c r="AI19" s="746"/>
      <c r="AJ19" s="746"/>
      <c r="AK19" s="746"/>
      <c r="AL19" s="200"/>
      <c r="AM19" s="738">
        <f t="shared" ref="AM19:AM33" si="4">SUM(K19:M19)</f>
        <v>57179</v>
      </c>
      <c r="AN19" s="738">
        <f t="shared" ref="AN19:AN33" si="5">SUM(O19:Q19)</f>
        <v>31249</v>
      </c>
      <c r="AO19" s="251">
        <f t="shared" ref="AO19:AO35" si="6">AR19-AS19</f>
        <v>37309</v>
      </c>
      <c r="AP19" s="742">
        <f t="shared" ref="AP19:AP26" si="7">AO19/AS19</f>
        <v>0.85633951524054353</v>
      </c>
      <c r="AQ19" s="242"/>
      <c r="AR19" s="561">
        <f>SUM(J19:M19)</f>
        <v>80877</v>
      </c>
      <c r="AS19" s="561">
        <v>43568</v>
      </c>
      <c r="AT19" s="561">
        <v>56785</v>
      </c>
      <c r="AU19" s="732">
        <v>54488</v>
      </c>
      <c r="AV19" s="744">
        <v>35876</v>
      </c>
      <c r="AW19" s="746">
        <v>49543</v>
      </c>
      <c r="AX19" s="746"/>
      <c r="AY19" s="43"/>
      <c r="AZ19" s="43"/>
      <c r="BA19" s="43"/>
      <c r="BB19" s="722"/>
      <c r="BC19" s="722"/>
      <c r="BD19" s="722"/>
      <c r="BG19" s="722"/>
    </row>
    <row r="20" spans="1:59" s="721" customFormat="1" ht="12.75" customHeight="1" x14ac:dyDescent="0.2">
      <c r="A20" s="615"/>
      <c r="B20" s="7" t="s">
        <v>334</v>
      </c>
      <c r="C20" s="247">
        <f t="shared" si="2"/>
        <v>-79</v>
      </c>
      <c r="D20" s="147">
        <f t="shared" si="3"/>
        <v>-8.5405405405405407E-2</v>
      </c>
      <c r="E20" s="741"/>
      <c r="F20" s="237"/>
      <c r="G20" s="237"/>
      <c r="H20" s="237"/>
      <c r="I20" s="238">
        <v>846</v>
      </c>
      <c r="J20" s="237">
        <v>803</v>
      </c>
      <c r="K20" s="237">
        <v>207</v>
      </c>
      <c r="L20" s="237">
        <v>506</v>
      </c>
      <c r="M20" s="238">
        <v>925</v>
      </c>
      <c r="N20" s="237">
        <v>1237</v>
      </c>
      <c r="O20" s="237">
        <v>1164</v>
      </c>
      <c r="P20" s="237">
        <v>942</v>
      </c>
      <c r="Q20" s="238">
        <v>1100</v>
      </c>
      <c r="R20" s="237">
        <v>327</v>
      </c>
      <c r="S20" s="237">
        <v>390</v>
      </c>
      <c r="T20" s="237">
        <v>1291</v>
      </c>
      <c r="U20" s="746"/>
      <c r="V20" s="745"/>
      <c r="W20" s="745"/>
      <c r="X20" s="745"/>
      <c r="Y20" s="746"/>
      <c r="Z20" s="745"/>
      <c r="AA20" s="745"/>
      <c r="AB20" s="745"/>
      <c r="AC20" s="746"/>
      <c r="AD20" s="745"/>
      <c r="AE20" s="745"/>
      <c r="AF20" s="745"/>
      <c r="AG20" s="746"/>
      <c r="AH20" s="744"/>
      <c r="AI20" s="746"/>
      <c r="AJ20" s="746"/>
      <c r="AK20" s="746"/>
      <c r="AL20" s="200"/>
      <c r="AM20" s="335">
        <f t="shared" si="4"/>
        <v>1638</v>
      </c>
      <c r="AN20" s="335">
        <f t="shared" si="5"/>
        <v>3206</v>
      </c>
      <c r="AO20" s="332">
        <f t="shared" si="6"/>
        <v>-2002</v>
      </c>
      <c r="AP20" s="147">
        <f t="shared" si="7"/>
        <v>-0.45059644384424941</v>
      </c>
      <c r="AQ20" s="242"/>
      <c r="AR20" s="562">
        <f>SUM(J20:M20)</f>
        <v>2441</v>
      </c>
      <c r="AS20" s="562">
        <v>4443</v>
      </c>
      <c r="AT20" s="562">
        <v>2859</v>
      </c>
      <c r="AU20" s="236">
        <v>585</v>
      </c>
      <c r="AV20" s="204">
        <v>151</v>
      </c>
      <c r="AW20" s="238">
        <v>-803</v>
      </c>
      <c r="AX20" s="746"/>
      <c r="AY20" s="43"/>
      <c r="AZ20" s="43"/>
      <c r="BA20" s="43"/>
      <c r="BB20" s="722"/>
      <c r="BC20" s="722"/>
      <c r="BD20" s="722"/>
      <c r="BG20" s="722"/>
    </row>
    <row r="21" spans="1:59" ht="12.75" customHeight="1" x14ac:dyDescent="0.2">
      <c r="A21" s="8"/>
      <c r="B21" s="724" t="s">
        <v>218</v>
      </c>
      <c r="C21" s="239">
        <f t="shared" si="2"/>
        <v>7098</v>
      </c>
      <c r="D21" s="30">
        <f t="shared" si="3"/>
        <v>0.36798175125719323</v>
      </c>
      <c r="E21" s="520"/>
      <c r="F21" s="745">
        <f t="shared" ref="F21:K21" si="8">SUM(F19:F20)</f>
        <v>0</v>
      </c>
      <c r="G21" s="745">
        <f t="shared" si="8"/>
        <v>0</v>
      </c>
      <c r="H21" s="745">
        <f t="shared" si="8"/>
        <v>0</v>
      </c>
      <c r="I21" s="746">
        <f t="shared" si="8"/>
        <v>26387</v>
      </c>
      <c r="J21" s="745">
        <f t="shared" si="8"/>
        <v>24501</v>
      </c>
      <c r="K21" s="745">
        <f t="shared" si="8"/>
        <v>19183</v>
      </c>
      <c r="L21" s="745">
        <v>20345</v>
      </c>
      <c r="M21" s="746">
        <v>19289</v>
      </c>
      <c r="N21" s="687">
        <v>13556</v>
      </c>
      <c r="O21" s="687">
        <v>9751</v>
      </c>
      <c r="P21" s="231">
        <v>10026</v>
      </c>
      <c r="Q21" s="235">
        <v>14678</v>
      </c>
      <c r="R21" s="231">
        <v>15364</v>
      </c>
      <c r="S21" s="231">
        <v>18392</v>
      </c>
      <c r="T21" s="231">
        <v>11528</v>
      </c>
      <c r="U21" s="235">
        <v>14360</v>
      </c>
      <c r="V21" s="231">
        <v>11389</v>
      </c>
      <c r="W21" s="231">
        <v>13270</v>
      </c>
      <c r="X21" s="231">
        <v>16681</v>
      </c>
      <c r="Y21" s="235">
        <v>13733</v>
      </c>
      <c r="Z21" s="231">
        <v>8513</v>
      </c>
      <c r="AA21" s="231">
        <v>8108</v>
      </c>
      <c r="AB21" s="231">
        <v>8420</v>
      </c>
      <c r="AC21" s="235">
        <v>10986</v>
      </c>
      <c r="AD21" s="231">
        <v>14475</v>
      </c>
      <c r="AE21" s="231">
        <v>12378</v>
      </c>
      <c r="AF21" s="231">
        <v>9511</v>
      </c>
      <c r="AG21" s="235">
        <v>12376</v>
      </c>
      <c r="AH21" s="198">
        <v>10496</v>
      </c>
      <c r="AI21" s="235">
        <v>9820</v>
      </c>
      <c r="AJ21" s="235">
        <v>9342</v>
      </c>
      <c r="AK21" s="235">
        <v>12902</v>
      </c>
      <c r="AL21" s="200"/>
      <c r="AM21" s="327">
        <f t="shared" si="4"/>
        <v>58817</v>
      </c>
      <c r="AN21" s="327">
        <f t="shared" si="5"/>
        <v>34455</v>
      </c>
      <c r="AO21" s="251">
        <f t="shared" si="6"/>
        <v>35307</v>
      </c>
      <c r="AP21" s="30">
        <f t="shared" si="7"/>
        <v>0.73539397221470082</v>
      </c>
      <c r="AQ21" s="242"/>
      <c r="AR21" s="561">
        <f>SUM(AR19:AR20)</f>
        <v>83318</v>
      </c>
      <c r="AS21" s="561">
        <f t="shared" ref="AS21:AS33" si="9">SUM(N21:Q21)</f>
        <v>48011</v>
      </c>
      <c r="AT21" s="561">
        <f>SUM(R21:U21)</f>
        <v>59644</v>
      </c>
      <c r="AU21" s="234">
        <v>55073</v>
      </c>
      <c r="AV21" s="744">
        <v>36027</v>
      </c>
      <c r="AW21" s="746">
        <v>48740</v>
      </c>
      <c r="AX21" s="235">
        <v>42560</v>
      </c>
      <c r="AY21" s="43">
        <v>9134</v>
      </c>
      <c r="AZ21" s="43">
        <v>0</v>
      </c>
      <c r="BA21" s="43">
        <v>0</v>
      </c>
      <c r="BB21" s="3"/>
      <c r="BC21" s="3"/>
      <c r="BD21" s="3"/>
      <c r="BG21" s="3"/>
    </row>
    <row r="22" spans="1:59" ht="12.75" customHeight="1" x14ac:dyDescent="0.2">
      <c r="A22" s="8"/>
      <c r="B22" s="82" t="s">
        <v>69</v>
      </c>
      <c r="C22" s="239">
        <f t="shared" si="2"/>
        <v>-186</v>
      </c>
      <c r="D22" s="30">
        <f t="shared" si="3"/>
        <v>-7.2542901716068642E-2</v>
      </c>
      <c r="E22" s="520"/>
      <c r="F22" s="745"/>
      <c r="G22" s="745"/>
      <c r="H22" s="745"/>
      <c r="I22" s="746">
        <v>2378</v>
      </c>
      <c r="J22" s="745">
        <v>3061</v>
      </c>
      <c r="K22" s="745">
        <v>2093</v>
      </c>
      <c r="L22" s="745">
        <v>2346</v>
      </c>
      <c r="M22" s="746">
        <v>2564</v>
      </c>
      <c r="N22" s="687">
        <v>1303</v>
      </c>
      <c r="O22" s="687">
        <f>1457-408</f>
        <v>1049</v>
      </c>
      <c r="P22" s="231">
        <v>1128</v>
      </c>
      <c r="Q22" s="235">
        <v>1092</v>
      </c>
      <c r="R22" s="231">
        <v>1169</v>
      </c>
      <c r="S22" s="231">
        <v>1250</v>
      </c>
      <c r="T22" s="231">
        <v>1315</v>
      </c>
      <c r="U22" s="235">
        <v>1187</v>
      </c>
      <c r="V22" s="231">
        <v>952</v>
      </c>
      <c r="W22" s="231">
        <v>1190</v>
      </c>
      <c r="X22" s="231">
        <v>1119</v>
      </c>
      <c r="Y22" s="235">
        <v>1085</v>
      </c>
      <c r="Z22" s="231">
        <v>1198</v>
      </c>
      <c r="AA22" s="231">
        <v>1224</v>
      </c>
      <c r="AB22" s="231">
        <v>1226</v>
      </c>
      <c r="AC22" s="235">
        <v>1513</v>
      </c>
      <c r="AD22" s="231">
        <v>980</v>
      </c>
      <c r="AE22" s="231">
        <v>1018</v>
      </c>
      <c r="AF22" s="231">
        <v>1257</v>
      </c>
      <c r="AG22" s="235">
        <v>1228</v>
      </c>
      <c r="AH22" s="198">
        <v>1329</v>
      </c>
      <c r="AI22" s="235">
        <v>1212</v>
      </c>
      <c r="AJ22" s="235">
        <v>815</v>
      </c>
      <c r="AK22" s="235">
        <v>1754</v>
      </c>
      <c r="AL22" s="200"/>
      <c r="AM22" s="327">
        <f t="shared" si="4"/>
        <v>7003</v>
      </c>
      <c r="AN22" s="327">
        <f t="shared" si="5"/>
        <v>3269</v>
      </c>
      <c r="AO22" s="251">
        <f t="shared" si="6"/>
        <v>5492</v>
      </c>
      <c r="AP22" s="30">
        <f t="shared" si="7"/>
        <v>1.2012248468941382</v>
      </c>
      <c r="AQ22" s="240"/>
      <c r="AR22" s="561">
        <f t="shared" ref="AR22:AR33" si="10">SUM(J22:M22)</f>
        <v>10064</v>
      </c>
      <c r="AS22" s="561">
        <f t="shared" si="9"/>
        <v>4572</v>
      </c>
      <c r="AT22" s="561">
        <f t="shared" ref="AT22:AT30" si="11">SUM(R22:U22)</f>
        <v>4921</v>
      </c>
      <c r="AU22" s="234">
        <v>4346</v>
      </c>
      <c r="AV22" s="744">
        <v>5161</v>
      </c>
      <c r="AW22" s="746">
        <v>4483</v>
      </c>
      <c r="AX22" s="235">
        <v>5110</v>
      </c>
      <c r="AY22" s="43">
        <v>1613</v>
      </c>
      <c r="AZ22" s="43">
        <v>0</v>
      </c>
      <c r="BA22" s="43">
        <v>0</v>
      </c>
      <c r="BB22" s="3"/>
      <c r="BC22" s="3"/>
      <c r="BD22" s="3"/>
      <c r="BG22" s="3"/>
    </row>
    <row r="23" spans="1:59" ht="12.75" hidden="1" customHeight="1" x14ac:dyDescent="0.2">
      <c r="A23" s="8"/>
      <c r="B23" s="7" t="s">
        <v>200</v>
      </c>
      <c r="C23" s="239">
        <f t="shared" si="2"/>
        <v>0</v>
      </c>
      <c r="D23" s="30" t="e">
        <f t="shared" si="3"/>
        <v>#DIV/0!</v>
      </c>
      <c r="E23" s="520"/>
      <c r="F23" s="754"/>
      <c r="G23" s="754"/>
      <c r="H23" s="754"/>
      <c r="I23" s="28"/>
      <c r="J23" s="754"/>
      <c r="K23" s="754"/>
      <c r="L23" s="754"/>
      <c r="M23" s="28"/>
      <c r="N23" s="31"/>
      <c r="O23" s="31"/>
      <c r="P23" s="31"/>
      <c r="Q23" s="28"/>
      <c r="R23" s="31"/>
      <c r="S23" s="31"/>
      <c r="T23" s="31"/>
      <c r="U23" s="28"/>
      <c r="V23" s="31">
        <v>0</v>
      </c>
      <c r="W23" s="31">
        <v>0</v>
      </c>
      <c r="X23" s="31">
        <v>0</v>
      </c>
      <c r="Y23" s="28">
        <v>0</v>
      </c>
      <c r="Z23" s="31">
        <v>0</v>
      </c>
      <c r="AA23" s="31">
        <v>0</v>
      </c>
      <c r="AB23" s="31">
        <v>0</v>
      </c>
      <c r="AC23" s="28">
        <v>0</v>
      </c>
      <c r="AD23" s="231"/>
      <c r="AE23" s="231"/>
      <c r="AF23" s="231"/>
      <c r="AG23" s="235"/>
      <c r="AH23" s="198"/>
      <c r="AI23" s="235"/>
      <c r="AJ23" s="235"/>
      <c r="AK23" s="235"/>
      <c r="AL23" s="200"/>
      <c r="AM23" s="327">
        <f t="shared" si="4"/>
        <v>0</v>
      </c>
      <c r="AN23" s="327">
        <f t="shared" si="5"/>
        <v>0</v>
      </c>
      <c r="AO23" s="251">
        <f t="shared" si="6"/>
        <v>0</v>
      </c>
      <c r="AP23" s="30" t="e">
        <f t="shared" si="7"/>
        <v>#DIV/0!</v>
      </c>
      <c r="AQ23" s="240"/>
      <c r="AR23" s="561">
        <f t="shared" si="10"/>
        <v>0</v>
      </c>
      <c r="AS23" s="561">
        <f t="shared" si="9"/>
        <v>0</v>
      </c>
      <c r="AT23" s="561">
        <f t="shared" si="11"/>
        <v>0</v>
      </c>
      <c r="AU23" s="43">
        <v>0</v>
      </c>
      <c r="AV23" s="43">
        <v>0</v>
      </c>
      <c r="AW23" s="28">
        <v>0</v>
      </c>
      <c r="AX23" s="43">
        <v>0</v>
      </c>
      <c r="AY23" s="43">
        <v>0</v>
      </c>
      <c r="AZ23" s="43"/>
      <c r="BA23" s="43"/>
      <c r="BB23" s="3"/>
      <c r="BC23" s="3"/>
      <c r="BD23" s="3"/>
      <c r="BG23" s="3"/>
    </row>
    <row r="24" spans="1:59" ht="12.75" customHeight="1" x14ac:dyDescent="0.2">
      <c r="A24" s="8"/>
      <c r="B24" s="82" t="s">
        <v>98</v>
      </c>
      <c r="C24" s="239">
        <f t="shared" si="2"/>
        <v>159</v>
      </c>
      <c r="D24" s="742">
        <f t="shared" si="3"/>
        <v>2.7642559109874825E-2</v>
      </c>
      <c r="E24" s="520"/>
      <c r="F24" s="745"/>
      <c r="G24" s="745"/>
      <c r="H24" s="745"/>
      <c r="I24" s="746">
        <v>5911</v>
      </c>
      <c r="J24" s="745">
        <v>4004</v>
      </c>
      <c r="K24" s="745">
        <v>3742</v>
      </c>
      <c r="L24" s="745">
        <v>4472</v>
      </c>
      <c r="M24" s="746">
        <v>5752</v>
      </c>
      <c r="N24" s="687">
        <v>583</v>
      </c>
      <c r="O24" s="687">
        <v>1133</v>
      </c>
      <c r="P24" s="231">
        <v>1609</v>
      </c>
      <c r="Q24" s="235">
        <v>1135</v>
      </c>
      <c r="R24" s="231">
        <v>1024</v>
      </c>
      <c r="S24" s="231">
        <v>963</v>
      </c>
      <c r="T24" s="231">
        <v>1025</v>
      </c>
      <c r="U24" s="235">
        <v>1102</v>
      </c>
      <c r="V24" s="231">
        <v>1490</v>
      </c>
      <c r="W24" s="231">
        <v>1581</v>
      </c>
      <c r="X24" s="231">
        <v>1493</v>
      </c>
      <c r="Y24" s="235">
        <v>2002</v>
      </c>
      <c r="Z24" s="231">
        <v>1887</v>
      </c>
      <c r="AA24" s="231">
        <v>1909</v>
      </c>
      <c r="AB24" s="231">
        <v>2613</v>
      </c>
      <c r="AC24" s="235">
        <v>2363</v>
      </c>
      <c r="AD24" s="231">
        <v>1899</v>
      </c>
      <c r="AE24" s="231">
        <v>2030</v>
      </c>
      <c r="AF24" s="231">
        <v>2443</v>
      </c>
      <c r="AG24" s="235">
        <v>2277</v>
      </c>
      <c r="AH24" s="198">
        <v>2198</v>
      </c>
      <c r="AI24" s="235">
        <v>2557</v>
      </c>
      <c r="AJ24" s="235">
        <v>1957</v>
      </c>
      <c r="AK24" s="235">
        <v>2280</v>
      </c>
      <c r="AL24" s="200"/>
      <c r="AM24" s="327">
        <f t="shared" si="4"/>
        <v>13966</v>
      </c>
      <c r="AN24" s="327">
        <f t="shared" si="5"/>
        <v>3877</v>
      </c>
      <c r="AO24" s="251">
        <f t="shared" si="6"/>
        <v>13510</v>
      </c>
      <c r="AP24" s="30">
        <f t="shared" si="7"/>
        <v>3.0291479820627805</v>
      </c>
      <c r="AQ24" s="242"/>
      <c r="AR24" s="561">
        <f t="shared" si="10"/>
        <v>17970</v>
      </c>
      <c r="AS24" s="561">
        <f t="shared" si="9"/>
        <v>4460</v>
      </c>
      <c r="AT24" s="561">
        <f t="shared" si="11"/>
        <v>4114</v>
      </c>
      <c r="AU24" s="234">
        <v>6566</v>
      </c>
      <c r="AV24" s="744">
        <v>8772</v>
      </c>
      <c r="AW24" s="746">
        <v>8649</v>
      </c>
      <c r="AX24" s="235">
        <v>8992</v>
      </c>
      <c r="AY24" s="43">
        <v>2026</v>
      </c>
      <c r="AZ24" s="43">
        <v>0</v>
      </c>
      <c r="BA24" s="43">
        <v>0</v>
      </c>
      <c r="BB24" s="3"/>
      <c r="BC24" s="3"/>
      <c r="BD24" s="3"/>
      <c r="BG24" s="3"/>
    </row>
    <row r="25" spans="1:59" ht="12.75" customHeight="1" x14ac:dyDescent="0.2">
      <c r="A25" s="8"/>
      <c r="B25" s="82" t="s">
        <v>71</v>
      </c>
      <c r="C25" s="239">
        <f t="shared" si="2"/>
        <v>-294</v>
      </c>
      <c r="D25" s="30">
        <f t="shared" si="3"/>
        <v>-0.12991604065399912</v>
      </c>
      <c r="E25" s="520"/>
      <c r="F25" s="745"/>
      <c r="G25" s="745"/>
      <c r="H25" s="745"/>
      <c r="I25" s="746">
        <v>1969</v>
      </c>
      <c r="J25" s="745">
        <v>1846</v>
      </c>
      <c r="K25" s="745">
        <v>1927</v>
      </c>
      <c r="L25" s="745">
        <v>2385</v>
      </c>
      <c r="M25" s="746">
        <v>2263</v>
      </c>
      <c r="N25" s="687">
        <v>1345</v>
      </c>
      <c r="O25" s="687">
        <v>1204</v>
      </c>
      <c r="P25" s="231">
        <v>1323</v>
      </c>
      <c r="Q25" s="235">
        <v>1159</v>
      </c>
      <c r="R25" s="231">
        <v>1182</v>
      </c>
      <c r="S25" s="231">
        <v>1109</v>
      </c>
      <c r="T25" s="231">
        <v>1096</v>
      </c>
      <c r="U25" s="235">
        <v>1064</v>
      </c>
      <c r="V25" s="231">
        <v>1151</v>
      </c>
      <c r="W25" s="231">
        <v>1134</v>
      </c>
      <c r="X25" s="231">
        <v>1299</v>
      </c>
      <c r="Y25" s="235">
        <v>1228</v>
      </c>
      <c r="Z25" s="231">
        <v>1402</v>
      </c>
      <c r="AA25" s="231">
        <v>1383</v>
      </c>
      <c r="AB25" s="231">
        <v>1259</v>
      </c>
      <c r="AC25" s="235">
        <v>1097</v>
      </c>
      <c r="AD25" s="231">
        <v>1274</v>
      </c>
      <c r="AE25" s="231">
        <v>1255</v>
      </c>
      <c r="AF25" s="231">
        <v>1169</v>
      </c>
      <c r="AG25" s="235">
        <v>1269</v>
      </c>
      <c r="AH25" s="198">
        <v>1500</v>
      </c>
      <c r="AI25" s="235">
        <v>907</v>
      </c>
      <c r="AJ25" s="235">
        <v>929</v>
      </c>
      <c r="AK25" s="235">
        <v>908</v>
      </c>
      <c r="AL25" s="200"/>
      <c r="AM25" s="327">
        <f t="shared" si="4"/>
        <v>6575</v>
      </c>
      <c r="AN25" s="327">
        <f t="shared" si="5"/>
        <v>3686</v>
      </c>
      <c r="AO25" s="251">
        <f t="shared" si="6"/>
        <v>3390</v>
      </c>
      <c r="AP25" s="30">
        <f t="shared" si="7"/>
        <v>0.67382230172927848</v>
      </c>
      <c r="AQ25" s="242"/>
      <c r="AR25" s="561">
        <f t="shared" si="10"/>
        <v>8421</v>
      </c>
      <c r="AS25" s="561">
        <f t="shared" si="9"/>
        <v>5031</v>
      </c>
      <c r="AT25" s="561">
        <f t="shared" si="11"/>
        <v>4451</v>
      </c>
      <c r="AU25" s="234">
        <v>4812</v>
      </c>
      <c r="AV25" s="744">
        <v>5141</v>
      </c>
      <c r="AW25" s="746">
        <v>4967</v>
      </c>
      <c r="AX25" s="235">
        <v>4244</v>
      </c>
      <c r="AY25" s="43">
        <v>1003</v>
      </c>
      <c r="AZ25" s="43">
        <v>0</v>
      </c>
      <c r="BA25" s="43">
        <v>0</v>
      </c>
      <c r="BB25" s="3"/>
      <c r="BC25" s="3"/>
      <c r="BD25" s="3"/>
      <c r="BG25" s="3"/>
    </row>
    <row r="26" spans="1:59" ht="12.75" customHeight="1" x14ac:dyDescent="0.2">
      <c r="A26" s="8"/>
      <c r="B26" s="82" t="s">
        <v>72</v>
      </c>
      <c r="C26" s="239">
        <f t="shared" si="2"/>
        <v>-852</v>
      </c>
      <c r="D26" s="30">
        <f t="shared" si="3"/>
        <v>-0.25014679976512039</v>
      </c>
      <c r="E26" s="520"/>
      <c r="F26" s="745"/>
      <c r="G26" s="745"/>
      <c r="H26" s="745"/>
      <c r="I26" s="746">
        <v>2554</v>
      </c>
      <c r="J26" s="745">
        <v>2531</v>
      </c>
      <c r="K26" s="745">
        <v>3293</v>
      </c>
      <c r="L26" s="745">
        <v>3084</v>
      </c>
      <c r="M26" s="746">
        <v>3406</v>
      </c>
      <c r="N26" s="687">
        <v>1588</v>
      </c>
      <c r="O26" s="687">
        <v>1370</v>
      </c>
      <c r="P26" s="231">
        <v>1346</v>
      </c>
      <c r="Q26" s="235">
        <v>1266</v>
      </c>
      <c r="R26" s="231">
        <v>1248</v>
      </c>
      <c r="S26" s="231">
        <v>1372</v>
      </c>
      <c r="T26" s="231">
        <v>1428</v>
      </c>
      <c r="U26" s="235">
        <v>1425</v>
      </c>
      <c r="V26" s="231">
        <v>1242</v>
      </c>
      <c r="W26" s="231">
        <v>1344</v>
      </c>
      <c r="X26" s="231">
        <v>1220</v>
      </c>
      <c r="Y26" s="235">
        <v>1202</v>
      </c>
      <c r="Z26" s="231">
        <v>1431</v>
      </c>
      <c r="AA26" s="231">
        <v>1735</v>
      </c>
      <c r="AB26" s="231">
        <v>1172</v>
      </c>
      <c r="AC26" s="235">
        <v>723</v>
      </c>
      <c r="AD26" s="231">
        <v>771</v>
      </c>
      <c r="AE26" s="231">
        <v>615</v>
      </c>
      <c r="AF26" s="231">
        <v>571</v>
      </c>
      <c r="AG26" s="235">
        <v>619</v>
      </c>
      <c r="AH26" s="198">
        <v>605</v>
      </c>
      <c r="AI26" s="235">
        <v>585</v>
      </c>
      <c r="AJ26" s="235">
        <v>494</v>
      </c>
      <c r="AK26" s="235">
        <v>600</v>
      </c>
      <c r="AL26" s="200"/>
      <c r="AM26" s="327">
        <f t="shared" si="4"/>
        <v>9783</v>
      </c>
      <c r="AN26" s="327">
        <f t="shared" si="5"/>
        <v>3982</v>
      </c>
      <c r="AO26" s="251">
        <f t="shared" si="6"/>
        <v>6744</v>
      </c>
      <c r="AP26" s="30">
        <f t="shared" si="7"/>
        <v>1.2107719928186715</v>
      </c>
      <c r="AQ26" s="242"/>
      <c r="AR26" s="561">
        <f>SUM(J26:M26)</f>
        <v>12314</v>
      </c>
      <c r="AS26" s="561">
        <f t="shared" si="9"/>
        <v>5570</v>
      </c>
      <c r="AT26" s="561">
        <f t="shared" si="11"/>
        <v>5473</v>
      </c>
      <c r="AU26" s="234">
        <v>5008</v>
      </c>
      <c r="AV26" s="744">
        <v>5061</v>
      </c>
      <c r="AW26" s="746">
        <v>2576</v>
      </c>
      <c r="AX26" s="235">
        <v>2284</v>
      </c>
      <c r="AY26" s="43">
        <v>496</v>
      </c>
      <c r="AZ26" s="43">
        <v>0</v>
      </c>
      <c r="BA26" s="43">
        <v>0</v>
      </c>
      <c r="BB26" s="3"/>
      <c r="BC26" s="3"/>
      <c r="BD26" s="3"/>
      <c r="BG26" s="3"/>
    </row>
    <row r="27" spans="1:59" ht="12.75" customHeight="1" x14ac:dyDescent="0.2">
      <c r="A27" s="8"/>
      <c r="B27" s="82" t="s">
        <v>67</v>
      </c>
      <c r="C27" s="239">
        <f t="shared" si="2"/>
        <v>675</v>
      </c>
      <c r="D27" s="742">
        <f t="shared" si="3"/>
        <v>1.1925795053003534</v>
      </c>
      <c r="E27" s="520"/>
      <c r="F27" s="745"/>
      <c r="G27" s="745"/>
      <c r="H27" s="745"/>
      <c r="I27" s="746">
        <v>1241</v>
      </c>
      <c r="J27" s="745">
        <v>397</v>
      </c>
      <c r="K27" s="745">
        <f>448-2</f>
        <v>446</v>
      </c>
      <c r="L27" s="745">
        <v>505</v>
      </c>
      <c r="M27" s="746">
        <v>566</v>
      </c>
      <c r="N27" s="687">
        <v>98</v>
      </c>
      <c r="O27" s="687">
        <v>66</v>
      </c>
      <c r="P27" s="231">
        <v>56</v>
      </c>
      <c r="Q27" s="235">
        <v>38</v>
      </c>
      <c r="R27" s="231">
        <v>40</v>
      </c>
      <c r="S27" s="231">
        <v>51</v>
      </c>
      <c r="T27" s="231">
        <v>31</v>
      </c>
      <c r="U27" s="235">
        <v>59</v>
      </c>
      <c r="V27" s="231">
        <v>429</v>
      </c>
      <c r="W27" s="231">
        <v>179</v>
      </c>
      <c r="X27" s="231">
        <v>200</v>
      </c>
      <c r="Y27" s="235">
        <v>1080</v>
      </c>
      <c r="Z27" s="231">
        <v>1120</v>
      </c>
      <c r="AA27" s="231">
        <v>884</v>
      </c>
      <c r="AB27" s="231">
        <v>584</v>
      </c>
      <c r="AC27" s="235">
        <v>486</v>
      </c>
      <c r="AD27" s="231">
        <v>474</v>
      </c>
      <c r="AE27" s="231">
        <v>456</v>
      </c>
      <c r="AF27" s="231">
        <v>479</v>
      </c>
      <c r="AG27" s="235">
        <v>321</v>
      </c>
      <c r="AH27" s="198">
        <v>139</v>
      </c>
      <c r="AI27" s="235">
        <v>102</v>
      </c>
      <c r="AJ27" s="235">
        <v>80</v>
      </c>
      <c r="AK27" s="235">
        <v>94</v>
      </c>
      <c r="AL27" s="200"/>
      <c r="AM27" s="327">
        <f t="shared" si="4"/>
        <v>1517</v>
      </c>
      <c r="AN27" s="327">
        <f t="shared" si="5"/>
        <v>160</v>
      </c>
      <c r="AO27" s="251">
        <f t="shared" si="6"/>
        <v>1656</v>
      </c>
      <c r="AP27" s="742" t="str">
        <f>IF(OR((AO27/AS27)&gt;3,(AO27/AS27)&lt;-3),"n.m.",(AO27/AS27))</f>
        <v>n.m.</v>
      </c>
      <c r="AQ27" s="242"/>
      <c r="AR27" s="561">
        <f t="shared" si="10"/>
        <v>1914</v>
      </c>
      <c r="AS27" s="561">
        <f t="shared" si="9"/>
        <v>258</v>
      </c>
      <c r="AT27" s="561">
        <f t="shared" si="11"/>
        <v>181</v>
      </c>
      <c r="AU27" s="234">
        <v>1888</v>
      </c>
      <c r="AV27" s="744">
        <v>3074</v>
      </c>
      <c r="AW27" s="746">
        <v>1730</v>
      </c>
      <c r="AX27" s="235">
        <v>415</v>
      </c>
      <c r="AY27" s="43">
        <v>89</v>
      </c>
      <c r="AZ27" s="43">
        <v>0</v>
      </c>
      <c r="BA27" s="43">
        <v>0</v>
      </c>
      <c r="BB27" s="3"/>
      <c r="BC27" s="3"/>
      <c r="BD27" s="3"/>
      <c r="BG27" s="3"/>
    </row>
    <row r="28" spans="1:59" ht="12.75" customHeight="1" x14ac:dyDescent="0.2">
      <c r="A28" s="8"/>
      <c r="B28" s="82" t="s">
        <v>95</v>
      </c>
      <c r="C28" s="239">
        <f t="shared" si="2"/>
        <v>-369</v>
      </c>
      <c r="D28" s="30">
        <f t="shared" si="3"/>
        <v>-7.5383043922369761E-2</v>
      </c>
      <c r="E28" s="520"/>
      <c r="F28" s="745"/>
      <c r="G28" s="745"/>
      <c r="H28" s="745"/>
      <c r="I28" s="746">
        <v>4526</v>
      </c>
      <c r="J28" s="745">
        <v>4140</v>
      </c>
      <c r="K28" s="745">
        <v>4280</v>
      </c>
      <c r="L28" s="745">
        <v>4005</v>
      </c>
      <c r="M28" s="746">
        <v>4895</v>
      </c>
      <c r="N28" s="687">
        <v>3536</v>
      </c>
      <c r="O28" s="687">
        <v>3132</v>
      </c>
      <c r="P28" s="231">
        <v>3311</v>
      </c>
      <c r="Q28" s="235">
        <v>3098</v>
      </c>
      <c r="R28" s="231">
        <v>2771</v>
      </c>
      <c r="S28" s="231">
        <v>3144</v>
      </c>
      <c r="T28" s="231">
        <v>2704</v>
      </c>
      <c r="U28" s="235">
        <v>2959</v>
      </c>
      <c r="V28" s="231">
        <v>1586</v>
      </c>
      <c r="W28" s="231">
        <v>2341</v>
      </c>
      <c r="X28" s="231">
        <v>2368</v>
      </c>
      <c r="Y28" s="235">
        <v>2597</v>
      </c>
      <c r="Z28" s="231">
        <v>2329</v>
      </c>
      <c r="AA28" s="231">
        <v>2527</v>
      </c>
      <c r="AB28" s="231">
        <v>3913</v>
      </c>
      <c r="AC28" s="235">
        <v>3848</v>
      </c>
      <c r="AD28" s="231">
        <v>3196</v>
      </c>
      <c r="AE28" s="231">
        <v>2461</v>
      </c>
      <c r="AF28" s="231">
        <v>3688</v>
      </c>
      <c r="AG28" s="235">
        <v>3089</v>
      </c>
      <c r="AH28" s="198">
        <v>3359</v>
      </c>
      <c r="AI28" s="235">
        <v>2751</v>
      </c>
      <c r="AJ28" s="235">
        <v>2734</v>
      </c>
      <c r="AK28" s="235">
        <v>2277</v>
      </c>
      <c r="AL28" s="200"/>
      <c r="AM28" s="327">
        <f t="shared" si="4"/>
        <v>13180</v>
      </c>
      <c r="AN28" s="327">
        <f t="shared" si="5"/>
        <v>9541</v>
      </c>
      <c r="AO28" s="251">
        <f t="shared" si="6"/>
        <v>4243</v>
      </c>
      <c r="AP28" s="742">
        <f>IF(OR((AO28/AS28)&gt;3,(AO28/AS28)&lt;-3),"n.m.",(AO28/AS28))</f>
        <v>0.32446279727766308</v>
      </c>
      <c r="AQ28" s="242"/>
      <c r="AR28" s="561">
        <f t="shared" si="10"/>
        <v>17320</v>
      </c>
      <c r="AS28" s="561">
        <f t="shared" si="9"/>
        <v>13077</v>
      </c>
      <c r="AT28" s="561">
        <f t="shared" si="11"/>
        <v>11578</v>
      </c>
      <c r="AU28" s="234">
        <v>8892</v>
      </c>
      <c r="AV28" s="744">
        <v>12617</v>
      </c>
      <c r="AW28" s="746">
        <v>12434</v>
      </c>
      <c r="AX28" s="235">
        <v>11121</v>
      </c>
      <c r="AY28" s="43">
        <v>1787</v>
      </c>
      <c r="AZ28" s="43">
        <v>0</v>
      </c>
      <c r="BA28" s="43">
        <v>0</v>
      </c>
      <c r="BB28" s="3"/>
      <c r="BC28" s="3"/>
      <c r="BD28" s="3"/>
      <c r="BG28" s="3"/>
    </row>
    <row r="29" spans="1:59" ht="12.75" customHeight="1" x14ac:dyDescent="0.2">
      <c r="A29" s="8"/>
      <c r="B29" s="82" t="s">
        <v>74</v>
      </c>
      <c r="C29" s="239">
        <f t="shared" si="2"/>
        <v>-180</v>
      </c>
      <c r="D29" s="30">
        <f t="shared" si="3"/>
        <v>-0.40723981900452488</v>
      </c>
      <c r="E29" s="520"/>
      <c r="F29" s="745"/>
      <c r="G29" s="745"/>
      <c r="H29" s="745"/>
      <c r="I29" s="746">
        <v>262</v>
      </c>
      <c r="J29" s="745">
        <v>201</v>
      </c>
      <c r="K29" s="745">
        <v>213</v>
      </c>
      <c r="L29" s="745">
        <v>406</v>
      </c>
      <c r="M29" s="746">
        <v>442</v>
      </c>
      <c r="N29" s="687">
        <v>552</v>
      </c>
      <c r="O29" s="687">
        <v>320</v>
      </c>
      <c r="P29" s="231">
        <v>313</v>
      </c>
      <c r="Q29" s="235">
        <v>243</v>
      </c>
      <c r="R29" s="231">
        <v>201</v>
      </c>
      <c r="S29" s="231">
        <v>258</v>
      </c>
      <c r="T29" s="231">
        <v>276</v>
      </c>
      <c r="U29" s="235">
        <v>262</v>
      </c>
      <c r="V29" s="231">
        <v>279</v>
      </c>
      <c r="W29" s="231">
        <v>287</v>
      </c>
      <c r="X29" s="231">
        <v>277</v>
      </c>
      <c r="Y29" s="235">
        <v>281</v>
      </c>
      <c r="Z29" s="231">
        <v>298</v>
      </c>
      <c r="AA29" s="231">
        <v>295</v>
      </c>
      <c r="AB29" s="231">
        <v>259</v>
      </c>
      <c r="AC29" s="235">
        <v>246</v>
      </c>
      <c r="AD29" s="231">
        <v>298</v>
      </c>
      <c r="AE29" s="231">
        <v>296</v>
      </c>
      <c r="AF29" s="231">
        <v>280</v>
      </c>
      <c r="AG29" s="235">
        <v>232</v>
      </c>
      <c r="AH29" s="198">
        <v>180</v>
      </c>
      <c r="AI29" s="235">
        <v>199</v>
      </c>
      <c r="AJ29" s="235">
        <v>155</v>
      </c>
      <c r="AK29" s="235">
        <v>173</v>
      </c>
      <c r="AL29" s="200"/>
      <c r="AM29" s="327">
        <f t="shared" si="4"/>
        <v>1061</v>
      </c>
      <c r="AN29" s="327">
        <f t="shared" si="5"/>
        <v>876</v>
      </c>
      <c r="AO29" s="251">
        <f t="shared" si="6"/>
        <v>-166</v>
      </c>
      <c r="AP29" s="742">
        <f>IF(OR((AO29/AS29)&gt;3,(AO29/AS29)&lt;-3),"n.m.",(AO29/AS29))</f>
        <v>-0.11624649859943978</v>
      </c>
      <c r="AQ29" s="242"/>
      <c r="AR29" s="561">
        <f t="shared" si="10"/>
        <v>1262</v>
      </c>
      <c r="AS29" s="561">
        <f t="shared" si="9"/>
        <v>1428</v>
      </c>
      <c r="AT29" s="561">
        <f t="shared" si="11"/>
        <v>997</v>
      </c>
      <c r="AU29" s="234">
        <v>1124</v>
      </c>
      <c r="AV29" s="744">
        <v>1098</v>
      </c>
      <c r="AW29" s="746">
        <v>1106</v>
      </c>
      <c r="AX29" s="235">
        <v>707</v>
      </c>
      <c r="AY29" s="43">
        <v>178</v>
      </c>
      <c r="AZ29" s="43">
        <v>0</v>
      </c>
      <c r="BA29" s="43">
        <v>0</v>
      </c>
      <c r="BB29" s="3"/>
      <c r="BC29" s="3"/>
      <c r="BD29" s="3"/>
      <c r="BG29" s="3"/>
    </row>
    <row r="30" spans="1:59" ht="12.75" customHeight="1" x14ac:dyDescent="0.2">
      <c r="A30" s="8"/>
      <c r="B30" s="82" t="s">
        <v>75</v>
      </c>
      <c r="C30" s="239">
        <f t="shared" si="2"/>
        <v>-975</v>
      </c>
      <c r="D30" s="30">
        <f t="shared" si="3"/>
        <v>-0.5855855855855856</v>
      </c>
      <c r="E30" s="520"/>
      <c r="F30" s="745"/>
      <c r="G30" s="745"/>
      <c r="H30" s="745"/>
      <c r="I30" s="746">
        <v>690</v>
      </c>
      <c r="J30" s="745">
        <v>762</v>
      </c>
      <c r="K30" s="745">
        <v>1031</v>
      </c>
      <c r="L30" s="745">
        <v>1301</v>
      </c>
      <c r="M30" s="746">
        <v>1665</v>
      </c>
      <c r="N30" s="687">
        <v>1123</v>
      </c>
      <c r="O30" s="687">
        <v>1040</v>
      </c>
      <c r="P30" s="231">
        <v>1228</v>
      </c>
      <c r="Q30" s="235">
        <v>1193</v>
      </c>
      <c r="R30" s="231">
        <v>516</v>
      </c>
      <c r="S30" s="231">
        <v>1213</v>
      </c>
      <c r="T30" s="231">
        <v>1026</v>
      </c>
      <c r="U30" s="235">
        <v>301</v>
      </c>
      <c r="V30" s="231">
        <v>418</v>
      </c>
      <c r="W30" s="231">
        <v>899</v>
      </c>
      <c r="X30" s="231">
        <v>1030</v>
      </c>
      <c r="Y30" s="235">
        <v>1730</v>
      </c>
      <c r="Z30" s="231">
        <v>2204</v>
      </c>
      <c r="AA30" s="231">
        <v>3246</v>
      </c>
      <c r="AB30" s="231">
        <v>2719</v>
      </c>
      <c r="AC30" s="235">
        <v>3341</v>
      </c>
      <c r="AD30" s="231">
        <v>5333</v>
      </c>
      <c r="AE30" s="231">
        <v>3240</v>
      </c>
      <c r="AF30" s="231">
        <v>4438</v>
      </c>
      <c r="AG30" s="235">
        <v>3867</v>
      </c>
      <c r="AH30" s="198">
        <v>3233</v>
      </c>
      <c r="AI30" s="235">
        <v>2112</v>
      </c>
      <c r="AJ30" s="235">
        <v>2716</v>
      </c>
      <c r="AK30" s="235">
        <v>809</v>
      </c>
      <c r="AL30" s="200"/>
      <c r="AM30" s="327">
        <f t="shared" si="4"/>
        <v>3997</v>
      </c>
      <c r="AN30" s="327">
        <f t="shared" si="5"/>
        <v>3461</v>
      </c>
      <c r="AO30" s="251">
        <f t="shared" si="6"/>
        <v>175</v>
      </c>
      <c r="AP30" s="742">
        <f>IF(OR((AO30/AS30)&gt;3,(AO30/AS30)&lt;-3),"n.m.",(AO30/AS30))</f>
        <v>3.8176265270506111E-2</v>
      </c>
      <c r="AQ30" s="242"/>
      <c r="AR30" s="561">
        <f t="shared" si="10"/>
        <v>4759</v>
      </c>
      <c r="AS30" s="561">
        <f t="shared" si="9"/>
        <v>4584</v>
      </c>
      <c r="AT30" s="561">
        <f t="shared" si="11"/>
        <v>3056</v>
      </c>
      <c r="AU30" s="234">
        <v>4077</v>
      </c>
      <c r="AV30" s="744">
        <v>11510</v>
      </c>
      <c r="AW30" s="746">
        <v>16878</v>
      </c>
      <c r="AX30" s="235">
        <v>8870</v>
      </c>
      <c r="AY30" s="43">
        <v>554</v>
      </c>
      <c r="AZ30" s="43">
        <v>0</v>
      </c>
      <c r="BA30" s="43">
        <v>0</v>
      </c>
      <c r="BB30" s="3"/>
      <c r="BC30" s="3"/>
      <c r="BD30" s="3"/>
      <c r="BG30" s="3"/>
    </row>
    <row r="31" spans="1:59" ht="12.75" customHeight="1" x14ac:dyDescent="0.2">
      <c r="A31" s="8"/>
      <c r="B31" s="7" t="s">
        <v>169</v>
      </c>
      <c r="C31" s="239">
        <f t="shared" si="2"/>
        <v>0</v>
      </c>
      <c r="D31" s="28">
        <v>0</v>
      </c>
      <c r="E31" s="520"/>
      <c r="F31" s="754"/>
      <c r="G31" s="754"/>
      <c r="H31" s="754"/>
      <c r="I31" s="28">
        <v>0</v>
      </c>
      <c r="J31" s="754">
        <v>0</v>
      </c>
      <c r="K31" s="754">
        <v>2985</v>
      </c>
      <c r="L31" s="754">
        <v>3820</v>
      </c>
      <c r="M31" s="28">
        <v>0</v>
      </c>
      <c r="N31" s="31">
        <v>2758</v>
      </c>
      <c r="O31" s="31">
        <v>408</v>
      </c>
      <c r="P31" s="31">
        <v>0</v>
      </c>
      <c r="Q31" s="28">
        <v>0</v>
      </c>
      <c r="R31" s="31">
        <v>0</v>
      </c>
      <c r="S31" s="31">
        <v>0</v>
      </c>
      <c r="T31" s="31">
        <v>0</v>
      </c>
      <c r="U31" s="28">
        <v>0</v>
      </c>
      <c r="V31" s="31">
        <v>0</v>
      </c>
      <c r="W31" s="31">
        <v>0</v>
      </c>
      <c r="X31" s="31">
        <v>0</v>
      </c>
      <c r="Y31" s="28">
        <v>0</v>
      </c>
      <c r="Z31" s="156">
        <v>0</v>
      </c>
      <c r="AA31" s="231">
        <v>3623</v>
      </c>
      <c r="AB31" s="156">
        <v>0</v>
      </c>
      <c r="AC31" s="157">
        <v>0</v>
      </c>
      <c r="AD31" s="156">
        <v>0</v>
      </c>
      <c r="AE31" s="156">
        <v>0</v>
      </c>
      <c r="AF31" s="156">
        <v>0</v>
      </c>
      <c r="AG31" s="157">
        <v>0</v>
      </c>
      <c r="AH31" s="158">
        <v>0</v>
      </c>
      <c r="AI31" s="157">
        <v>0</v>
      </c>
      <c r="AJ31" s="235"/>
      <c r="AK31" s="235"/>
      <c r="AL31" s="200"/>
      <c r="AM31" s="31">
        <f t="shared" si="4"/>
        <v>6805</v>
      </c>
      <c r="AN31" s="31">
        <f t="shared" si="5"/>
        <v>408</v>
      </c>
      <c r="AO31" s="251">
        <f t="shared" si="6"/>
        <v>3639</v>
      </c>
      <c r="AP31" s="742" t="s">
        <v>42</v>
      </c>
      <c r="AQ31" s="242"/>
      <c r="AR31" s="561">
        <f t="shared" si="10"/>
        <v>6805</v>
      </c>
      <c r="AS31" s="561">
        <f t="shared" si="9"/>
        <v>3166</v>
      </c>
      <c r="AT31" s="585">
        <v>0</v>
      </c>
      <c r="AU31" s="43">
        <v>0</v>
      </c>
      <c r="AV31" s="744">
        <v>3623</v>
      </c>
      <c r="AW31" s="28">
        <v>0</v>
      </c>
      <c r="AX31" s="43">
        <v>0</v>
      </c>
      <c r="AY31" s="43">
        <v>0</v>
      </c>
      <c r="AZ31" s="43">
        <v>0</v>
      </c>
      <c r="BA31" s="43">
        <v>0</v>
      </c>
      <c r="BB31" s="3"/>
      <c r="BC31" s="3"/>
      <c r="BD31" s="3"/>
      <c r="BG31" s="3"/>
    </row>
    <row r="32" spans="1:59" s="721" customFormat="1" ht="12.75" customHeight="1" x14ac:dyDescent="0.2">
      <c r="A32" s="8"/>
      <c r="B32" s="7" t="s">
        <v>190</v>
      </c>
      <c r="C32" s="239">
        <f t="shared" si="2"/>
        <v>0</v>
      </c>
      <c r="D32" s="28">
        <v>0</v>
      </c>
      <c r="E32" s="741"/>
      <c r="F32" s="754"/>
      <c r="G32" s="754"/>
      <c r="H32" s="754"/>
      <c r="I32" s="28">
        <v>0</v>
      </c>
      <c r="J32" s="754">
        <v>0</v>
      </c>
      <c r="K32" s="754">
        <v>0</v>
      </c>
      <c r="L32" s="754">
        <v>0</v>
      </c>
      <c r="M32" s="28">
        <v>0</v>
      </c>
      <c r="N32" s="754">
        <v>437</v>
      </c>
      <c r="O32" s="754">
        <v>0</v>
      </c>
      <c r="P32" s="754">
        <v>0</v>
      </c>
      <c r="Q32" s="28">
        <v>0</v>
      </c>
      <c r="R32" s="754">
        <v>0</v>
      </c>
      <c r="S32" s="754">
        <v>0</v>
      </c>
      <c r="T32" s="754">
        <v>0</v>
      </c>
      <c r="U32" s="28">
        <v>0</v>
      </c>
      <c r="V32" s="754">
        <v>0</v>
      </c>
      <c r="W32" s="754"/>
      <c r="X32" s="754"/>
      <c r="Y32" s="28"/>
      <c r="Z32" s="754"/>
      <c r="AA32" s="745"/>
      <c r="AB32" s="754"/>
      <c r="AC32" s="28"/>
      <c r="AD32" s="754"/>
      <c r="AE32" s="754"/>
      <c r="AF32" s="754"/>
      <c r="AG32" s="754"/>
      <c r="AH32" s="43"/>
      <c r="AI32" s="28"/>
      <c r="AJ32" s="746"/>
      <c r="AK32" s="746"/>
      <c r="AL32" s="200"/>
      <c r="AM32" s="754">
        <f t="shared" si="4"/>
        <v>0</v>
      </c>
      <c r="AN32" s="754">
        <f t="shared" si="5"/>
        <v>0</v>
      </c>
      <c r="AO32" s="251">
        <f t="shared" si="6"/>
        <v>-437</v>
      </c>
      <c r="AP32" s="742">
        <v>0</v>
      </c>
      <c r="AQ32" s="242"/>
      <c r="AR32" s="585">
        <f t="shared" si="10"/>
        <v>0</v>
      </c>
      <c r="AS32" s="561">
        <f t="shared" si="9"/>
        <v>437</v>
      </c>
      <c r="AT32" s="585">
        <v>0</v>
      </c>
      <c r="AU32" s="43">
        <v>0</v>
      </c>
      <c r="AV32" s="43">
        <v>0</v>
      </c>
      <c r="AW32" s="28">
        <v>0</v>
      </c>
      <c r="AX32" s="43"/>
      <c r="AY32" s="43"/>
      <c r="AZ32" s="43"/>
      <c r="BA32" s="43"/>
      <c r="BB32" s="722"/>
      <c r="BC32" s="722"/>
      <c r="BD32" s="722"/>
      <c r="BG32" s="722"/>
    </row>
    <row r="33" spans="1:59" ht="12.75" customHeight="1" x14ac:dyDescent="0.2">
      <c r="A33" s="8"/>
      <c r="B33" s="7" t="s">
        <v>167</v>
      </c>
      <c r="C33" s="239">
        <f t="shared" si="2"/>
        <v>0</v>
      </c>
      <c r="D33" s="28">
        <v>0</v>
      </c>
      <c r="E33" s="520"/>
      <c r="F33" s="156"/>
      <c r="G33" s="156"/>
      <c r="H33" s="156"/>
      <c r="I33" s="28">
        <v>0</v>
      </c>
      <c r="J33" s="156">
        <v>0</v>
      </c>
      <c r="K33" s="156">
        <v>0</v>
      </c>
      <c r="L33" s="156">
        <v>0</v>
      </c>
      <c r="M33" s="28">
        <v>0</v>
      </c>
      <c r="N33" s="31">
        <v>0</v>
      </c>
      <c r="O33" s="156">
        <v>0</v>
      </c>
      <c r="P33" s="156">
        <v>0</v>
      </c>
      <c r="Q33" s="28">
        <v>0</v>
      </c>
      <c r="R33" s="31">
        <v>0</v>
      </c>
      <c r="S33" s="156">
        <v>0</v>
      </c>
      <c r="T33" s="31">
        <v>0</v>
      </c>
      <c r="U33" s="28">
        <v>0</v>
      </c>
      <c r="V33" s="31">
        <v>0</v>
      </c>
      <c r="W33" s="31">
        <v>0</v>
      </c>
      <c r="X33" s="31">
        <v>0</v>
      </c>
      <c r="Y33" s="28">
        <v>0</v>
      </c>
      <c r="Z33" s="31">
        <v>0</v>
      </c>
      <c r="AA33" s="231">
        <v>27566</v>
      </c>
      <c r="AB33" s="31">
        <v>0</v>
      </c>
      <c r="AC33" s="28">
        <v>0</v>
      </c>
      <c r="AD33" s="31">
        <v>0</v>
      </c>
      <c r="AE33" s="31">
        <v>0</v>
      </c>
      <c r="AF33" s="31">
        <v>0</v>
      </c>
      <c r="AG33" s="31">
        <v>0</v>
      </c>
      <c r="AH33" s="43">
        <v>0</v>
      </c>
      <c r="AI33" s="28">
        <v>0</v>
      </c>
      <c r="AJ33" s="235"/>
      <c r="AK33" s="235"/>
      <c r="AL33" s="200"/>
      <c r="AM33" s="31">
        <f t="shared" si="4"/>
        <v>0</v>
      </c>
      <c r="AN33" s="156">
        <f t="shared" si="5"/>
        <v>0</v>
      </c>
      <c r="AO33" s="251">
        <f t="shared" si="6"/>
        <v>0</v>
      </c>
      <c r="AP33" s="517" t="s">
        <v>203</v>
      </c>
      <c r="AQ33" s="242"/>
      <c r="AR33" s="585">
        <f t="shared" si="10"/>
        <v>0</v>
      </c>
      <c r="AS33" s="585">
        <f t="shared" si="9"/>
        <v>0</v>
      </c>
      <c r="AT33" s="585">
        <v>0</v>
      </c>
      <c r="AU33" s="43">
        <v>0</v>
      </c>
      <c r="AV33" s="744">
        <v>27566</v>
      </c>
      <c r="AW33" s="28">
        <v>0</v>
      </c>
      <c r="AX33" s="43">
        <v>0</v>
      </c>
      <c r="AY33" s="43">
        <v>0</v>
      </c>
      <c r="AZ33" s="43">
        <v>0</v>
      </c>
      <c r="BA33" s="43">
        <v>0</v>
      </c>
      <c r="BB33" s="3"/>
      <c r="BC33" s="3"/>
      <c r="BD33" s="3"/>
      <c r="BG33" s="3"/>
    </row>
    <row r="34" spans="1:59" ht="12.75" customHeight="1" x14ac:dyDescent="0.2">
      <c r="A34" s="8"/>
      <c r="B34" s="7"/>
      <c r="C34" s="244">
        <f t="shared" si="2"/>
        <v>5076</v>
      </c>
      <c r="D34" s="168">
        <f>IF(OR((C34/M34)&gt;3,(C34/M34)&lt;-3),"n.m.",(C34/M34))</f>
        <v>0.12428382547377699</v>
      </c>
      <c r="E34" s="520"/>
      <c r="F34" s="232">
        <f t="shared" ref="F34:N34" si="12">SUM(F21:F33)</f>
        <v>0</v>
      </c>
      <c r="G34" s="232">
        <f t="shared" si="12"/>
        <v>0</v>
      </c>
      <c r="H34" s="232">
        <f t="shared" si="12"/>
        <v>0</v>
      </c>
      <c r="I34" s="246">
        <f t="shared" si="12"/>
        <v>45918</v>
      </c>
      <c r="J34" s="232">
        <f t="shared" si="12"/>
        <v>41443</v>
      </c>
      <c r="K34" s="232">
        <f t="shared" si="12"/>
        <v>39193</v>
      </c>
      <c r="L34" s="232">
        <f t="shared" si="12"/>
        <v>42669</v>
      </c>
      <c r="M34" s="246">
        <f t="shared" si="12"/>
        <v>40842</v>
      </c>
      <c r="N34" s="232">
        <f t="shared" si="12"/>
        <v>26879</v>
      </c>
      <c r="O34" s="232">
        <f>SUM(O24:O33,O21:O22)</f>
        <v>19473</v>
      </c>
      <c r="P34" s="232">
        <f t="shared" ref="P34:U34" si="13">SUM(P21:P33)</f>
        <v>20340</v>
      </c>
      <c r="Q34" s="246">
        <f t="shared" si="13"/>
        <v>23902</v>
      </c>
      <c r="R34" s="232">
        <f t="shared" si="13"/>
        <v>23515</v>
      </c>
      <c r="S34" s="232">
        <f t="shared" si="13"/>
        <v>27752</v>
      </c>
      <c r="T34" s="245">
        <f t="shared" si="13"/>
        <v>20429</v>
      </c>
      <c r="U34" s="246">
        <f t="shared" si="13"/>
        <v>22719</v>
      </c>
      <c r="V34" s="245">
        <v>18936</v>
      </c>
      <c r="W34" s="232">
        <v>22225</v>
      </c>
      <c r="X34" s="245">
        <v>25687</v>
      </c>
      <c r="Y34" s="246">
        <v>24938</v>
      </c>
      <c r="Z34" s="245">
        <v>20382</v>
      </c>
      <c r="AA34" s="232">
        <v>52500</v>
      </c>
      <c r="AB34" s="245">
        <v>22165</v>
      </c>
      <c r="AC34" s="246">
        <v>24603</v>
      </c>
      <c r="AD34" s="245">
        <v>28700</v>
      </c>
      <c r="AE34" s="232">
        <v>23749</v>
      </c>
      <c r="AF34" s="232">
        <v>23836</v>
      </c>
      <c r="AG34" s="246">
        <v>25278</v>
      </c>
      <c r="AH34" s="199">
        <v>23039</v>
      </c>
      <c r="AI34" s="246">
        <v>20245</v>
      </c>
      <c r="AJ34" s="246">
        <v>19222</v>
      </c>
      <c r="AK34" s="246">
        <v>21797</v>
      </c>
      <c r="AL34" s="200"/>
      <c r="AM34" s="245">
        <f>SUM(AM21:AM33)</f>
        <v>122704</v>
      </c>
      <c r="AN34" s="245">
        <f>SUM(AN21:AN33)</f>
        <v>63715</v>
      </c>
      <c r="AO34" s="245">
        <f t="shared" si="6"/>
        <v>73553</v>
      </c>
      <c r="AP34" s="168">
        <f>AO34/AS34</f>
        <v>0.8118970351237389</v>
      </c>
      <c r="AQ34" s="242"/>
      <c r="AR34" s="199">
        <f>SUM(AR21:AR33)</f>
        <v>164147</v>
      </c>
      <c r="AS34" s="199">
        <f>SUM(AS21:AS33)</f>
        <v>90594</v>
      </c>
      <c r="AT34" s="199">
        <f>SUM(AT21:AT33)</f>
        <v>94415</v>
      </c>
      <c r="AU34" s="199">
        <v>91786</v>
      </c>
      <c r="AV34" s="246">
        <v>119650</v>
      </c>
      <c r="AW34" s="246">
        <v>101563</v>
      </c>
      <c r="AX34" s="246">
        <v>84303</v>
      </c>
      <c r="AY34" s="302">
        <v>16880</v>
      </c>
      <c r="AZ34" s="302">
        <v>0</v>
      </c>
      <c r="BA34" s="302">
        <v>0</v>
      </c>
      <c r="BB34" s="3"/>
      <c r="BC34" s="3"/>
      <c r="BD34" s="3"/>
      <c r="BG34" s="3"/>
    </row>
    <row r="35" spans="1:59" s="721" customFormat="1" ht="12.75" customHeight="1" thickBot="1" x14ac:dyDescent="0.25">
      <c r="A35" s="1485" t="s">
        <v>374</v>
      </c>
      <c r="B35" s="1486"/>
      <c r="C35" s="248" t="e">
        <f t="shared" si="2"/>
        <v>#REF!</v>
      </c>
      <c r="D35" s="179" t="e">
        <f>-IF(OR((C35/M35)&gt;3,(C35/M35)&lt;-3),"n.m.",(C35/M35))</f>
        <v>#REF!</v>
      </c>
      <c r="E35" s="741"/>
      <c r="F35" s="249" t="e">
        <f t="shared" ref="F35:M35" si="14">+F17-F34</f>
        <v>#REF!</v>
      </c>
      <c r="G35" s="249" t="e">
        <f t="shared" si="14"/>
        <v>#REF!</v>
      </c>
      <c r="H35" s="249" t="e">
        <f t="shared" si="14"/>
        <v>#REF!</v>
      </c>
      <c r="I35" s="250" t="e">
        <f t="shared" si="14"/>
        <v>#REF!</v>
      </c>
      <c r="J35" s="249" t="e">
        <f t="shared" si="14"/>
        <v>#REF!</v>
      </c>
      <c r="K35" s="249" t="e">
        <f t="shared" si="14"/>
        <v>#REF!</v>
      </c>
      <c r="L35" s="249" t="e">
        <f t="shared" si="14"/>
        <v>#REF!</v>
      </c>
      <c r="M35" s="250" t="e">
        <f t="shared" si="14"/>
        <v>#REF!</v>
      </c>
      <c r="N35" s="249" t="e">
        <f>N17-N34</f>
        <v>#REF!</v>
      </c>
      <c r="O35" s="249" t="e">
        <f t="shared" ref="O35:U35" si="15">O17-O34</f>
        <v>#REF!</v>
      </c>
      <c r="P35" s="249" t="e">
        <f t="shared" si="15"/>
        <v>#REF!</v>
      </c>
      <c r="Q35" s="250" t="e">
        <f t="shared" si="15"/>
        <v>#REF!</v>
      </c>
      <c r="R35" s="249">
        <f t="shared" si="15"/>
        <v>5683</v>
      </c>
      <c r="S35" s="249">
        <f t="shared" si="15"/>
        <v>6421</v>
      </c>
      <c r="T35" s="249">
        <f t="shared" si="15"/>
        <v>664</v>
      </c>
      <c r="U35" s="250">
        <f t="shared" si="15"/>
        <v>3987</v>
      </c>
      <c r="V35" s="249">
        <v>1348</v>
      </c>
      <c r="W35" s="249">
        <v>592</v>
      </c>
      <c r="X35" s="249">
        <v>4450</v>
      </c>
      <c r="Y35" s="250">
        <v>2241</v>
      </c>
      <c r="Z35" s="249">
        <v>-3170</v>
      </c>
      <c r="AA35" s="249">
        <v>-35967</v>
      </c>
      <c r="AB35" s="249">
        <v>-3881</v>
      </c>
      <c r="AC35" s="250">
        <v>1018</v>
      </c>
      <c r="AD35" s="249">
        <v>-4631</v>
      </c>
      <c r="AE35" s="232"/>
      <c r="AF35" s="232"/>
      <c r="AG35" s="233"/>
      <c r="AH35" s="744"/>
      <c r="AI35" s="233"/>
      <c r="AJ35" s="233"/>
      <c r="AK35" s="233"/>
      <c r="AL35" s="200"/>
      <c r="AM35" s="671" t="e">
        <f>AM17-AM34</f>
        <v>#REF!</v>
      </c>
      <c r="AN35" s="331" t="e">
        <f>AN17-AN34</f>
        <v>#REF!</v>
      </c>
      <c r="AO35" s="331" t="e">
        <f t="shared" si="6"/>
        <v>#REF!</v>
      </c>
      <c r="AP35" s="179" t="e">
        <f>-IF(OR((AO35/AS35)&gt;3,(AO35/AS35)&lt;-3),"n.m.",(AO35/AS35))</f>
        <v>#REF!</v>
      </c>
      <c r="AQ35" s="242"/>
      <c r="AR35" s="334" t="e">
        <f>AR17-AR34</f>
        <v>#REF!</v>
      </c>
      <c r="AS35" s="334" t="e">
        <f>AS17-AS34</f>
        <v>#REF!</v>
      </c>
      <c r="AT35" s="334">
        <f>AT17-AT34</f>
        <v>16755</v>
      </c>
      <c r="AU35" s="206">
        <v>8631</v>
      </c>
      <c r="AV35" s="206">
        <v>-42000</v>
      </c>
      <c r="AW35" s="206">
        <v>-7359</v>
      </c>
      <c r="AX35" s="206">
        <v>-3630</v>
      </c>
      <c r="AY35" s="303">
        <f>AY17-AY34</f>
        <v>3081</v>
      </c>
      <c r="AZ35" s="303">
        <f>AZ17-AZ34</f>
        <v>0</v>
      </c>
      <c r="BA35" s="469"/>
      <c r="BB35" s="25"/>
      <c r="BC35" s="722"/>
      <c r="BD35" s="722"/>
      <c r="BG35" s="722"/>
    </row>
    <row r="36" spans="1:59" s="721" customFormat="1" ht="12.75" customHeight="1" thickTop="1" x14ac:dyDescent="0.2">
      <c r="A36" s="8"/>
      <c r="B36" s="412"/>
      <c r="C36" s="745"/>
      <c r="D36" s="742"/>
      <c r="E36" s="742"/>
      <c r="F36" s="745"/>
      <c r="G36" s="745"/>
      <c r="H36" s="745"/>
      <c r="I36" s="746"/>
      <c r="J36" s="745"/>
      <c r="K36" s="745"/>
      <c r="L36" s="745"/>
      <c r="M36" s="746"/>
      <c r="N36" s="745"/>
      <c r="O36" s="745"/>
      <c r="P36" s="745"/>
      <c r="Q36" s="746"/>
      <c r="R36" s="745"/>
      <c r="S36" s="745"/>
      <c r="T36" s="745"/>
      <c r="U36" s="746"/>
      <c r="V36" s="745"/>
      <c r="W36" s="745"/>
      <c r="X36" s="745"/>
      <c r="Y36" s="746"/>
      <c r="Z36" s="745"/>
      <c r="AA36" s="745"/>
      <c r="AB36" s="745"/>
      <c r="AC36" s="746"/>
      <c r="AD36" s="746"/>
      <c r="AE36" s="745"/>
      <c r="AF36" s="745"/>
      <c r="AG36" s="745"/>
      <c r="AH36" s="745"/>
      <c r="AI36" s="745"/>
      <c r="AJ36" s="745"/>
      <c r="AK36" s="745"/>
      <c r="AL36" s="494"/>
      <c r="AM36" s="240"/>
      <c r="AN36" s="240"/>
      <c r="AO36" s="251"/>
      <c r="AP36" s="742"/>
      <c r="AQ36" s="494"/>
      <c r="AR36" s="925"/>
      <c r="AS36" s="925"/>
      <c r="AT36" s="925"/>
      <c r="AU36" s="906"/>
      <c r="AV36" s="906"/>
      <c r="AW36" s="746"/>
      <c r="AX36" s="746"/>
      <c r="AY36" s="28"/>
      <c r="AZ36" s="28"/>
      <c r="BA36" s="155"/>
      <c r="BB36" s="722"/>
      <c r="BC36" s="722"/>
      <c r="BD36" s="722"/>
      <c r="BG36" s="722"/>
    </row>
    <row r="37" spans="1:59" s="721" customFormat="1" ht="12.75" hidden="1" customHeight="1" outlineLevel="1" x14ac:dyDescent="0.2">
      <c r="A37" s="8"/>
      <c r="B37" s="412" t="s">
        <v>377</v>
      </c>
      <c r="C37" s="239">
        <f t="shared" si="2"/>
        <v>831</v>
      </c>
      <c r="D37" s="742" t="s">
        <v>42</v>
      </c>
      <c r="E37" s="742"/>
      <c r="F37" s="745"/>
      <c r="G37" s="745"/>
      <c r="H37" s="745"/>
      <c r="I37" s="746">
        <f>+-'7 Canada'!I39</f>
        <v>831</v>
      </c>
      <c r="J37" s="830">
        <v>0</v>
      </c>
      <c r="K37" s="830">
        <v>0</v>
      </c>
      <c r="L37" s="830">
        <v>0</v>
      </c>
      <c r="M37" s="889">
        <v>0</v>
      </c>
      <c r="N37" s="830">
        <v>0</v>
      </c>
      <c r="O37" s="830">
        <v>0</v>
      </c>
      <c r="P37" s="830">
        <v>0</v>
      </c>
      <c r="Q37" s="889">
        <v>0</v>
      </c>
      <c r="R37" s="209"/>
      <c r="S37" s="209"/>
      <c r="T37" s="209"/>
      <c r="U37" s="213"/>
      <c r="V37" s="209"/>
      <c r="W37" s="209"/>
      <c r="X37" s="209"/>
      <c r="Y37" s="213"/>
      <c r="Z37" s="209"/>
      <c r="AA37" s="209"/>
      <c r="AB37" s="209"/>
      <c r="AC37" s="213"/>
      <c r="AD37" s="213"/>
      <c r="AE37" s="341"/>
      <c r="AF37" s="341"/>
      <c r="AG37" s="217"/>
      <c r="AH37" s="217"/>
      <c r="AI37" s="217"/>
      <c r="AJ37" s="217"/>
      <c r="AK37" s="217"/>
      <c r="AL37" s="164"/>
      <c r="AM37" s="725"/>
      <c r="AN37" s="725"/>
      <c r="AO37" s="754"/>
      <c r="AP37" s="742"/>
      <c r="AQ37" s="164"/>
      <c r="AR37" s="897">
        <v>0</v>
      </c>
      <c r="AS37" s="897">
        <v>0</v>
      </c>
      <c r="AT37" s="897">
        <v>0</v>
      </c>
      <c r="AU37" s="897">
        <v>0</v>
      </c>
      <c r="AV37" s="897">
        <v>0</v>
      </c>
      <c r="AW37" s="746">
        <v>960</v>
      </c>
      <c r="AX37" s="746">
        <v>-1614</v>
      </c>
      <c r="AY37" s="28">
        <v>1728</v>
      </c>
      <c r="AZ37" s="28">
        <v>0</v>
      </c>
      <c r="BA37" s="155"/>
      <c r="BB37" s="722"/>
      <c r="BC37" s="722"/>
      <c r="BD37" s="722"/>
      <c r="BG37" s="722"/>
    </row>
    <row r="38" spans="1:59" s="721" customFormat="1" ht="12.75" hidden="1" customHeight="1" outlineLevel="1" x14ac:dyDescent="0.2">
      <c r="A38" s="8"/>
      <c r="B38" s="412" t="s">
        <v>375</v>
      </c>
      <c r="C38" s="247">
        <f t="shared" si="2"/>
        <v>-98</v>
      </c>
      <c r="D38" s="147" t="s">
        <v>42</v>
      </c>
      <c r="E38" s="742"/>
      <c r="F38" s="745"/>
      <c r="G38" s="745"/>
      <c r="H38" s="745"/>
      <c r="I38" s="238">
        <v>-98</v>
      </c>
      <c r="J38" s="927">
        <v>0</v>
      </c>
      <c r="K38" s="927">
        <v>0</v>
      </c>
      <c r="L38" s="927">
        <v>0</v>
      </c>
      <c r="M38" s="928">
        <v>0</v>
      </c>
      <c r="N38" s="927">
        <v>0</v>
      </c>
      <c r="O38" s="927">
        <v>0</v>
      </c>
      <c r="P38" s="927">
        <v>0</v>
      </c>
      <c r="Q38" s="928">
        <v>0</v>
      </c>
      <c r="R38" s="209"/>
      <c r="S38" s="209"/>
      <c r="T38" s="209"/>
      <c r="U38" s="213"/>
      <c r="V38" s="209"/>
      <c r="W38" s="209"/>
      <c r="X38" s="209"/>
      <c r="Y38" s="213"/>
      <c r="Z38" s="209"/>
      <c r="AA38" s="209"/>
      <c r="AB38" s="209"/>
      <c r="AC38" s="213"/>
      <c r="AD38" s="209"/>
      <c r="AE38" s="209"/>
      <c r="AF38" s="209"/>
      <c r="AG38" s="209"/>
      <c r="AH38" s="209"/>
      <c r="AI38" s="209"/>
      <c r="AJ38" s="209"/>
      <c r="AK38" s="209"/>
      <c r="AL38" s="164"/>
      <c r="AM38" s="725"/>
      <c r="AN38" s="725"/>
      <c r="AO38" s="754"/>
      <c r="AP38" s="742"/>
      <c r="AQ38" s="725"/>
      <c r="AR38" s="929">
        <v>0</v>
      </c>
      <c r="AS38" s="929">
        <v>0</v>
      </c>
      <c r="AT38" s="929">
        <v>0</v>
      </c>
      <c r="AU38" s="929">
        <v>0</v>
      </c>
      <c r="AV38" s="929">
        <v>0</v>
      </c>
      <c r="AW38" s="746"/>
      <c r="AX38" s="746"/>
      <c r="AY38" s="28"/>
      <c r="AZ38" s="28"/>
      <c r="BA38" s="155"/>
      <c r="BB38" s="722"/>
      <c r="BC38" s="722"/>
      <c r="BD38" s="722"/>
      <c r="BG38" s="722"/>
    </row>
    <row r="39" spans="1:59" s="721" customFormat="1" ht="12.75" customHeight="1" collapsed="1" x14ac:dyDescent="0.2">
      <c r="A39" s="8"/>
      <c r="B39" s="7" t="s">
        <v>380</v>
      </c>
      <c r="C39" s="239">
        <f t="shared" si="2"/>
        <v>733</v>
      </c>
      <c r="D39" s="742" t="s">
        <v>42</v>
      </c>
      <c r="E39" s="742"/>
      <c r="F39" s="209"/>
      <c r="G39" s="209"/>
      <c r="H39" s="209"/>
      <c r="I39" s="213">
        <f>+I37+I38</f>
        <v>733</v>
      </c>
      <c r="J39" s="830">
        <v>0</v>
      </c>
      <c r="K39" s="830">
        <v>0</v>
      </c>
      <c r="L39" s="830">
        <v>0</v>
      </c>
      <c r="M39" s="889">
        <v>0</v>
      </c>
      <c r="N39" s="830">
        <v>0</v>
      </c>
      <c r="O39" s="830">
        <v>0</v>
      </c>
      <c r="P39" s="830">
        <v>0</v>
      </c>
      <c r="Q39" s="889">
        <v>0</v>
      </c>
      <c r="R39" s="209"/>
      <c r="S39" s="209"/>
      <c r="T39" s="209"/>
      <c r="U39" s="213"/>
      <c r="V39" s="209"/>
      <c r="W39" s="209"/>
      <c r="X39" s="209"/>
      <c r="Y39" s="213"/>
      <c r="Z39" s="209"/>
      <c r="AA39" s="209"/>
      <c r="AB39" s="209"/>
      <c r="AC39" s="213"/>
      <c r="AD39" s="213"/>
      <c r="AE39" s="341"/>
      <c r="AF39" s="341"/>
      <c r="AG39" s="217"/>
      <c r="AH39" s="217"/>
      <c r="AI39" s="217"/>
      <c r="AJ39" s="217"/>
      <c r="AK39" s="217"/>
      <c r="AL39" s="164"/>
      <c r="AM39" s="725"/>
      <c r="AN39" s="725"/>
      <c r="AO39" s="754"/>
      <c r="AP39" s="742"/>
      <c r="AQ39" s="164"/>
      <c r="AR39" s="897">
        <v>0</v>
      </c>
      <c r="AS39" s="897">
        <v>0</v>
      </c>
      <c r="AT39" s="897">
        <v>0</v>
      </c>
      <c r="AU39" s="897">
        <v>0</v>
      </c>
      <c r="AV39" s="897">
        <v>0</v>
      </c>
      <c r="AW39" s="746"/>
      <c r="AX39" s="746"/>
      <c r="AY39" s="754"/>
      <c r="AZ39" s="28"/>
      <c r="BA39" s="155"/>
      <c r="BB39" s="725"/>
      <c r="BC39" s="725"/>
      <c r="BG39" s="722"/>
    </row>
    <row r="40" spans="1:59" s="721" customFormat="1" ht="12.75" customHeight="1" x14ac:dyDescent="0.2">
      <c r="A40" s="8"/>
      <c r="B40" s="7"/>
      <c r="C40" s="732"/>
      <c r="D40" s="742"/>
      <c r="E40" s="741"/>
      <c r="F40" s="745"/>
      <c r="G40" s="745"/>
      <c r="H40" s="745"/>
      <c r="I40" s="746"/>
      <c r="J40" s="745"/>
      <c r="K40" s="745"/>
      <c r="L40" s="745"/>
      <c r="M40" s="746"/>
      <c r="N40" s="745"/>
      <c r="O40" s="745"/>
      <c r="P40" s="745"/>
      <c r="Q40" s="746"/>
      <c r="R40" s="745"/>
      <c r="S40" s="745"/>
      <c r="T40" s="745"/>
      <c r="U40" s="746"/>
      <c r="V40" s="745"/>
      <c r="W40" s="745"/>
      <c r="X40" s="745"/>
      <c r="Y40" s="746"/>
      <c r="Z40" s="745"/>
      <c r="AA40" s="237"/>
      <c r="AB40" s="237"/>
      <c r="AC40" s="238"/>
      <c r="AD40" s="745"/>
      <c r="AE40" s="745"/>
      <c r="AF40" s="745"/>
      <c r="AG40" s="746"/>
      <c r="AH40" s="744"/>
      <c r="AI40" s="746"/>
      <c r="AJ40" s="746"/>
      <c r="AK40" s="746"/>
      <c r="AL40" s="200"/>
      <c r="AM40" s="240"/>
      <c r="AN40" s="240"/>
      <c r="AO40" s="251"/>
      <c r="AP40" s="742"/>
      <c r="AQ40" s="242"/>
      <c r="AR40" s="272"/>
      <c r="AS40" s="272"/>
      <c r="AT40" s="272"/>
      <c r="AU40" s="204"/>
      <c r="AV40" s="204"/>
      <c r="AW40" s="744"/>
      <c r="AX40" s="744"/>
      <c r="AY40" s="43"/>
      <c r="AZ40" s="43"/>
      <c r="BA40" s="307"/>
      <c r="BB40" s="722"/>
      <c r="BC40" s="722"/>
      <c r="BD40" s="722"/>
      <c r="BG40" s="722"/>
    </row>
    <row r="41" spans="1:59" s="95" customFormat="1" ht="12.75" customHeight="1" thickBot="1" x14ac:dyDescent="0.25">
      <c r="A41" s="1485" t="s">
        <v>77</v>
      </c>
      <c r="B41" s="1486"/>
      <c r="C41" s="405" t="e">
        <f>I41-M41</f>
        <v>#REF!</v>
      </c>
      <c r="D41" s="179" t="e">
        <f>IF(OR((C41/M41)&gt;3,(C41/M41)&lt;-3),"n.m.",(C41/M41))</f>
        <v>#REF!</v>
      </c>
      <c r="E41" s="741"/>
      <c r="F41" s="249"/>
      <c r="G41" s="249"/>
      <c r="H41" s="249"/>
      <c r="I41" s="250" t="e">
        <f>+I35-I37-I38</f>
        <v>#REF!</v>
      </c>
      <c r="J41" s="249" t="e">
        <f t="shared" ref="J41:Q41" si="16">+J35-J37-J38</f>
        <v>#REF!</v>
      </c>
      <c r="K41" s="249" t="e">
        <f t="shared" si="16"/>
        <v>#REF!</v>
      </c>
      <c r="L41" s="249" t="e">
        <f t="shared" si="16"/>
        <v>#REF!</v>
      </c>
      <c r="M41" s="250" t="e">
        <f t="shared" si="16"/>
        <v>#REF!</v>
      </c>
      <c r="N41" s="249" t="e">
        <f t="shared" si="16"/>
        <v>#REF!</v>
      </c>
      <c r="O41" s="249" t="e">
        <f t="shared" si="16"/>
        <v>#REF!</v>
      </c>
      <c r="P41" s="249" t="e">
        <f t="shared" si="16"/>
        <v>#REF!</v>
      </c>
      <c r="Q41" s="250" t="e">
        <f t="shared" si="16"/>
        <v>#REF!</v>
      </c>
      <c r="R41" s="249"/>
      <c r="S41" s="249"/>
      <c r="T41" s="249"/>
      <c r="U41" s="250"/>
      <c r="V41" s="249">
        <v>1348</v>
      </c>
      <c r="W41" s="249">
        <v>592</v>
      </c>
      <c r="X41" s="249">
        <v>4517</v>
      </c>
      <c r="Y41" s="250">
        <v>2142</v>
      </c>
      <c r="Z41" s="249">
        <v>-3222</v>
      </c>
      <c r="AA41" s="411">
        <v>-35967</v>
      </c>
      <c r="AB41" s="411">
        <v>-3881</v>
      </c>
      <c r="AC41" s="413">
        <v>756</v>
      </c>
      <c r="AD41" s="249">
        <v>-4551</v>
      </c>
      <c r="AE41" s="249">
        <v>-642</v>
      </c>
      <c r="AF41" s="249">
        <v>-3182</v>
      </c>
      <c r="AG41" s="250">
        <v>1096</v>
      </c>
      <c r="AH41" s="206">
        <v>-3204</v>
      </c>
      <c r="AI41" s="250">
        <v>-1632</v>
      </c>
      <c r="AJ41" s="250">
        <v>-477</v>
      </c>
      <c r="AK41" s="250">
        <v>2188</v>
      </c>
      <c r="AL41" s="200"/>
      <c r="AM41" s="240"/>
      <c r="AN41" s="240"/>
      <c r="AO41" s="331">
        <v>8599</v>
      </c>
      <c r="AP41" s="179" t="e">
        <v>#DIV/0!</v>
      </c>
      <c r="AQ41" s="242"/>
      <c r="AR41" s="334" t="e">
        <f>+AR35-AR37-AR38</f>
        <v>#REF!</v>
      </c>
      <c r="AS41" s="334" t="e">
        <f>+AS35-AS37-AS38</f>
        <v>#REF!</v>
      </c>
      <c r="AT41" s="334">
        <f>+AT35-AT37-AT38</f>
        <v>16755</v>
      </c>
      <c r="AU41" s="206">
        <f>+AU35-AU37-AU38</f>
        <v>8631</v>
      </c>
      <c r="AV41" s="206">
        <f>+AV35-AV37-AV38</f>
        <v>-42000</v>
      </c>
      <c r="AW41" s="206">
        <v>-8319</v>
      </c>
      <c r="AX41" s="206">
        <v>-2016</v>
      </c>
      <c r="AY41" s="303">
        <f>AY35-AY37</f>
        <v>1353</v>
      </c>
      <c r="AZ41" s="303">
        <f>AZ35-AZ37</f>
        <v>0</v>
      </c>
      <c r="BA41" s="303">
        <v>0</v>
      </c>
      <c r="BB41" s="722"/>
      <c r="BC41" s="207"/>
      <c r="BD41" s="207"/>
      <c r="BG41" s="207"/>
    </row>
    <row r="42" spans="1:59" s="95" customFormat="1" ht="12.75" customHeight="1" thickTop="1" x14ac:dyDescent="0.2">
      <c r="A42" s="141"/>
      <c r="B42" s="140"/>
      <c r="C42" s="231"/>
      <c r="D42" s="41"/>
      <c r="E42" s="41"/>
      <c r="F42" s="745"/>
      <c r="G42" s="745"/>
      <c r="H42" s="745"/>
      <c r="I42" s="745"/>
      <c r="J42" s="745"/>
      <c r="K42" s="745"/>
      <c r="L42" s="745"/>
      <c r="M42" s="745"/>
      <c r="N42" s="687"/>
      <c r="O42" s="687"/>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42"/>
      <c r="AM42" s="242"/>
      <c r="AN42" s="242"/>
      <c r="AO42" s="231"/>
      <c r="AP42" s="41"/>
      <c r="AQ42" s="242"/>
      <c r="AR42" s="240"/>
      <c r="AS42" s="240"/>
      <c r="AT42" s="240"/>
      <c r="AU42" s="231"/>
      <c r="AV42" s="877"/>
      <c r="AW42" s="876"/>
      <c r="AX42" s="231"/>
      <c r="AY42" s="31"/>
      <c r="AZ42" s="31"/>
      <c r="BA42" s="31"/>
      <c r="BB42" s="722"/>
      <c r="BC42" s="207"/>
      <c r="BD42" s="207"/>
      <c r="BG42" s="207"/>
    </row>
    <row r="43" spans="1:59" s="95" customFormat="1" ht="12.75" customHeight="1" x14ac:dyDescent="0.2">
      <c r="A43" s="7" t="s">
        <v>335</v>
      </c>
      <c r="B43" s="615"/>
      <c r="C43" s="225" t="e">
        <f t="shared" ref="C43:C49" si="17">((I43-M43)*100)</f>
        <v>#REF!</v>
      </c>
      <c r="D43" s="755"/>
      <c r="E43" s="755"/>
      <c r="F43" s="386" t="e">
        <f t="shared" ref="F43:I44" si="18">+F19/F$17</f>
        <v>#REF!</v>
      </c>
      <c r="G43" s="386" t="e">
        <f t="shared" si="18"/>
        <v>#REF!</v>
      </c>
      <c r="H43" s="386" t="e">
        <f t="shared" si="18"/>
        <v>#REF!</v>
      </c>
      <c r="I43" s="386" t="e">
        <f t="shared" si="18"/>
        <v>#REF!</v>
      </c>
      <c r="J43" s="386" t="e">
        <f t="shared" ref="J43:L44" si="19">+J19/J$17</f>
        <v>#REF!</v>
      </c>
      <c r="K43" s="386" t="e">
        <f t="shared" si="19"/>
        <v>#REF!</v>
      </c>
      <c r="L43" s="386" t="e">
        <f t="shared" si="19"/>
        <v>#REF!</v>
      </c>
      <c r="M43" s="386" t="e">
        <f t="shared" ref="M43:T43" si="20">+M19/M$17</f>
        <v>#REF!</v>
      </c>
      <c r="N43" s="386" t="e">
        <f t="shared" si="20"/>
        <v>#REF!</v>
      </c>
      <c r="O43" s="386" t="e">
        <f t="shared" si="20"/>
        <v>#REF!</v>
      </c>
      <c r="P43" s="386" t="e">
        <f t="shared" si="20"/>
        <v>#REF!</v>
      </c>
      <c r="Q43" s="386" t="e">
        <f t="shared" si="20"/>
        <v>#REF!</v>
      </c>
      <c r="R43" s="386">
        <f t="shared" si="20"/>
        <v>0.51500102746763476</v>
      </c>
      <c r="S43" s="386">
        <f t="shared" si="20"/>
        <v>0.52679015597108825</v>
      </c>
      <c r="T43" s="386">
        <f t="shared" si="20"/>
        <v>0.48532688569667665</v>
      </c>
      <c r="U43" s="745"/>
      <c r="V43" s="745"/>
      <c r="W43" s="745"/>
      <c r="X43" s="745"/>
      <c r="Y43" s="745"/>
      <c r="Z43" s="745"/>
      <c r="AA43" s="745"/>
      <c r="AB43" s="745"/>
      <c r="AC43" s="745"/>
      <c r="AD43" s="745"/>
      <c r="AE43" s="745"/>
      <c r="AF43" s="745"/>
      <c r="AG43" s="745"/>
      <c r="AH43" s="745"/>
      <c r="AI43" s="745"/>
      <c r="AJ43" s="745"/>
      <c r="AK43" s="745"/>
      <c r="AL43" s="242"/>
      <c r="AM43" s="386" t="e">
        <f>+AM19/AM$17</f>
        <v>#REF!</v>
      </c>
      <c r="AN43" s="386" t="e">
        <f>+AN19/AN$17</f>
        <v>#REF!</v>
      </c>
      <c r="AO43" s="574" t="e">
        <f t="shared" ref="AO43:AO49" si="21">(AR43-AS43)*100</f>
        <v>#REF!</v>
      </c>
      <c r="AP43" s="755"/>
      <c r="AQ43" s="242"/>
      <c r="AR43" s="386" t="e">
        <f t="shared" ref="AR43:AW44" si="22">+AR19/AR$17</f>
        <v>#REF!</v>
      </c>
      <c r="AS43" s="386" t="e">
        <f t="shared" si="22"/>
        <v>#REF!</v>
      </c>
      <c r="AT43" s="386">
        <f t="shared" si="22"/>
        <v>0.51079427903211294</v>
      </c>
      <c r="AU43" s="386">
        <f t="shared" si="22"/>
        <v>0.54261728591772307</v>
      </c>
      <c r="AV43" s="386">
        <f t="shared" si="22"/>
        <v>0.46202189311010944</v>
      </c>
      <c r="AW43" s="386">
        <f t="shared" si="22"/>
        <v>0.52591185087682046</v>
      </c>
      <c r="AX43" s="745"/>
      <c r="AY43" s="754"/>
      <c r="AZ43" s="754"/>
      <c r="BA43" s="754"/>
      <c r="BB43" s="722"/>
      <c r="BC43" s="207"/>
      <c r="BD43" s="207"/>
      <c r="BG43" s="207"/>
    </row>
    <row r="44" spans="1:59" s="95" customFormat="1" ht="12.75" customHeight="1" x14ac:dyDescent="0.2">
      <c r="A44" s="7" t="s">
        <v>336</v>
      </c>
      <c r="B44" s="615"/>
      <c r="C44" s="225" t="e">
        <f t="shared" si="17"/>
        <v>#REF!</v>
      </c>
      <c r="D44" s="755"/>
      <c r="E44" s="755"/>
      <c r="F44" s="386" t="e">
        <f t="shared" si="18"/>
        <v>#REF!</v>
      </c>
      <c r="G44" s="386" t="e">
        <f t="shared" si="18"/>
        <v>#REF!</v>
      </c>
      <c r="H44" s="386" t="e">
        <f t="shared" si="18"/>
        <v>#REF!</v>
      </c>
      <c r="I44" s="386" t="e">
        <f t="shared" si="18"/>
        <v>#REF!</v>
      </c>
      <c r="J44" s="386" t="e">
        <f t="shared" si="19"/>
        <v>#REF!</v>
      </c>
      <c r="K44" s="386" t="e">
        <f t="shared" si="19"/>
        <v>#REF!</v>
      </c>
      <c r="L44" s="386" t="e">
        <f t="shared" si="19"/>
        <v>#REF!</v>
      </c>
      <c r="M44" s="386" t="e">
        <f t="shared" ref="M44:T44" si="23">+M20/M$17</f>
        <v>#REF!</v>
      </c>
      <c r="N44" s="386" t="e">
        <f t="shared" si="23"/>
        <v>#REF!</v>
      </c>
      <c r="O44" s="386" t="e">
        <f t="shared" si="23"/>
        <v>#REF!</v>
      </c>
      <c r="P44" s="386" t="e">
        <f t="shared" si="23"/>
        <v>#REF!</v>
      </c>
      <c r="Q44" s="386" t="e">
        <f t="shared" si="23"/>
        <v>#REF!</v>
      </c>
      <c r="R44" s="386">
        <f t="shared" si="23"/>
        <v>1.1199397218987602E-2</v>
      </c>
      <c r="S44" s="386">
        <f t="shared" si="23"/>
        <v>1.1412518655078571E-2</v>
      </c>
      <c r="T44" s="386">
        <f t="shared" si="23"/>
        <v>6.1205139145688141E-2</v>
      </c>
      <c r="U44" s="745"/>
      <c r="V44" s="745"/>
      <c r="W44" s="745"/>
      <c r="X44" s="745"/>
      <c r="Y44" s="745"/>
      <c r="Z44" s="745"/>
      <c r="AA44" s="745"/>
      <c r="AB44" s="745"/>
      <c r="AC44" s="745"/>
      <c r="AD44" s="745"/>
      <c r="AE44" s="745"/>
      <c r="AF44" s="745"/>
      <c r="AG44" s="745"/>
      <c r="AH44" s="745"/>
      <c r="AI44" s="745"/>
      <c r="AJ44" s="745"/>
      <c r="AK44" s="745"/>
      <c r="AL44" s="242"/>
      <c r="AM44" s="386" t="e">
        <f>+AM20/AM$17</f>
        <v>#REF!</v>
      </c>
      <c r="AN44" s="386" t="e">
        <f>+AN20/AN$17</f>
        <v>#REF!</v>
      </c>
      <c r="AO44" s="574" t="e">
        <f t="shared" si="21"/>
        <v>#REF!</v>
      </c>
      <c r="AP44" s="755"/>
      <c r="AQ44" s="242"/>
      <c r="AR44" s="386" t="e">
        <f t="shared" si="22"/>
        <v>#REF!</v>
      </c>
      <c r="AS44" s="386" t="e">
        <f t="shared" si="22"/>
        <v>#REF!</v>
      </c>
      <c r="AT44" s="386">
        <f t="shared" si="22"/>
        <v>2.5717369794009175E-2</v>
      </c>
      <c r="AU44" s="386">
        <f t="shared" si="22"/>
        <v>5.8257068026330199E-3</v>
      </c>
      <c r="AV44" s="386">
        <f t="shared" si="22"/>
        <v>1.9446233097231167E-3</v>
      </c>
      <c r="AW44" s="35">
        <f t="shared" si="22"/>
        <v>-8.524054180289585E-3</v>
      </c>
      <c r="AX44" s="745"/>
      <c r="AY44" s="754"/>
      <c r="AZ44" s="754"/>
      <c r="BA44" s="754"/>
      <c r="BB44" s="722"/>
      <c r="BC44" s="207"/>
      <c r="BD44" s="207"/>
      <c r="BG44" s="207"/>
    </row>
    <row r="45" spans="1:59" s="95" customFormat="1" ht="12.75" customHeight="1" x14ac:dyDescent="0.2">
      <c r="A45" s="143" t="s">
        <v>79</v>
      </c>
      <c r="B45" s="140"/>
      <c r="C45" s="225" t="e">
        <f t="shared" si="17"/>
        <v>#REF!</v>
      </c>
      <c r="D45" s="35"/>
      <c r="E45" s="35"/>
      <c r="F45" s="35" t="e">
        <f t="shared" ref="F45:K45" si="24">F21/F17</f>
        <v>#REF!</v>
      </c>
      <c r="G45" s="35" t="e">
        <f t="shared" si="24"/>
        <v>#REF!</v>
      </c>
      <c r="H45" s="35" t="e">
        <f t="shared" si="24"/>
        <v>#REF!</v>
      </c>
      <c r="I45" s="35" t="e">
        <f t="shared" si="24"/>
        <v>#REF!</v>
      </c>
      <c r="J45" s="35" t="e">
        <f t="shared" si="24"/>
        <v>#REF!</v>
      </c>
      <c r="K45" s="35" t="e">
        <f t="shared" si="24"/>
        <v>#REF!</v>
      </c>
      <c r="L45" s="35" t="e">
        <f t="shared" ref="L45:Q45" si="25">L21/L17</f>
        <v>#REF!</v>
      </c>
      <c r="M45" s="35" t="e">
        <f t="shared" si="25"/>
        <v>#REF!</v>
      </c>
      <c r="N45" s="35" t="e">
        <f t="shared" si="25"/>
        <v>#REF!</v>
      </c>
      <c r="O45" s="35" t="e">
        <f t="shared" si="25"/>
        <v>#REF!</v>
      </c>
      <c r="P45" s="35" t="e">
        <f t="shared" si="25"/>
        <v>#REF!</v>
      </c>
      <c r="Q45" s="35" t="e">
        <f t="shared" si="25"/>
        <v>#REF!</v>
      </c>
      <c r="R45" s="35">
        <f>R21/R17</f>
        <v>0.52620042468662243</v>
      </c>
      <c r="S45" s="35">
        <f>S21/S17</f>
        <v>0.53820267462616689</v>
      </c>
      <c r="T45" s="35">
        <f>T21/T17</f>
        <v>0.54653202484236474</v>
      </c>
      <c r="U45" s="35">
        <f>U21/U17</f>
        <v>0.53770688234853592</v>
      </c>
      <c r="V45" s="35">
        <v>0.56147702622756857</v>
      </c>
      <c r="W45" s="35">
        <v>0.58158390673620541</v>
      </c>
      <c r="X45" s="35">
        <v>0.55350565749742842</v>
      </c>
      <c r="Y45" s="35">
        <v>0.50527981161926483</v>
      </c>
      <c r="Z45" s="35">
        <v>0.49459679293516151</v>
      </c>
      <c r="AA45" s="35">
        <v>0.49041311316760416</v>
      </c>
      <c r="AB45" s="35">
        <v>0.45988311759244088</v>
      </c>
      <c r="AC45" s="35">
        <v>0.42878888411849653</v>
      </c>
      <c r="AD45" s="35">
        <v>0.60099999999999998</v>
      </c>
      <c r="AE45" s="35">
        <v>0.53500000000000003</v>
      </c>
      <c r="AF45" s="35">
        <v>0.45900000000000002</v>
      </c>
      <c r="AG45" s="35">
        <v>0.46800000000000003</v>
      </c>
      <c r="AH45" s="35">
        <v>0.52700000000000002</v>
      </c>
      <c r="AI45" s="35">
        <v>0.52800000000000002</v>
      </c>
      <c r="AJ45" s="35">
        <v>0.498</v>
      </c>
      <c r="AK45" s="35">
        <v>0.53800000000000003</v>
      </c>
      <c r="AL45" s="35"/>
      <c r="AM45" s="35" t="e">
        <f>AM21/AM17</f>
        <v>#REF!</v>
      </c>
      <c r="AN45" s="35" t="e">
        <f>AN21/AN17</f>
        <v>#REF!</v>
      </c>
      <c r="AO45" s="574" t="e">
        <f t="shared" si="21"/>
        <v>#REF!</v>
      </c>
      <c r="AP45" s="541"/>
      <c r="AQ45" s="35"/>
      <c r="AR45" s="35" t="e">
        <f>AR21/AR17</f>
        <v>#REF!</v>
      </c>
      <c r="AS45" s="35" t="e">
        <f>AS21/AS17</f>
        <v>#REF!</v>
      </c>
      <c r="AT45" s="35">
        <f>AT21/AT17</f>
        <v>0.53651164882612212</v>
      </c>
      <c r="AU45" s="35">
        <v>0.54844299272035613</v>
      </c>
      <c r="AV45" s="35">
        <v>0.46396651641983261</v>
      </c>
      <c r="AW45" s="35">
        <v>0.51636825934950736</v>
      </c>
      <c r="AX45" s="35">
        <v>0.52400000000000002</v>
      </c>
      <c r="AY45" s="305">
        <v>0.45600000000000002</v>
      </c>
      <c r="AZ45" s="305">
        <v>0</v>
      </c>
      <c r="BA45" s="305">
        <v>0</v>
      </c>
      <c r="BB45" s="3"/>
      <c r="BC45" s="207"/>
      <c r="BD45" s="207"/>
      <c r="BG45" s="207"/>
    </row>
    <row r="46" spans="1:59" s="95" customFormat="1" ht="12.75" customHeight="1" x14ac:dyDescent="0.2">
      <c r="A46" s="727" t="s">
        <v>324</v>
      </c>
      <c r="B46" s="140"/>
      <c r="C46" s="225" t="e">
        <f t="shared" si="17"/>
        <v>#REF!</v>
      </c>
      <c r="D46" s="35"/>
      <c r="E46" s="35"/>
      <c r="F46" s="35" t="e">
        <f t="shared" ref="F46:K46" si="26">(F21+F22)/F17</f>
        <v>#REF!</v>
      </c>
      <c r="G46" s="35" t="e">
        <f t="shared" si="26"/>
        <v>#REF!</v>
      </c>
      <c r="H46" s="35" t="e">
        <f t="shared" si="26"/>
        <v>#REF!</v>
      </c>
      <c r="I46" s="35" t="e">
        <f t="shared" si="26"/>
        <v>#REF!</v>
      </c>
      <c r="J46" s="35" t="e">
        <f t="shared" si="26"/>
        <v>#REF!</v>
      </c>
      <c r="K46" s="35" t="e">
        <f t="shared" si="26"/>
        <v>#REF!</v>
      </c>
      <c r="L46" s="35" t="e">
        <f t="shared" ref="L46:Q46" si="27">(L21+L22)/L17</f>
        <v>#REF!</v>
      </c>
      <c r="M46" s="35" t="e">
        <f t="shared" si="27"/>
        <v>#REF!</v>
      </c>
      <c r="N46" s="35" t="e">
        <f t="shared" si="27"/>
        <v>#REF!</v>
      </c>
      <c r="O46" s="35" t="e">
        <f t="shared" si="27"/>
        <v>#REF!</v>
      </c>
      <c r="P46" s="35" t="e">
        <f t="shared" si="27"/>
        <v>#REF!</v>
      </c>
      <c r="Q46" s="35" t="e">
        <f t="shared" si="27"/>
        <v>#REF!</v>
      </c>
      <c r="R46" s="35">
        <f>(R21+R22)/R17</f>
        <v>0.56623741352147405</v>
      </c>
      <c r="S46" s="35">
        <f>(S21+S22)/S17</f>
        <v>0.57478126005911101</v>
      </c>
      <c r="T46" s="35">
        <f>(T21+T22)/T17</f>
        <v>0.60887498222159009</v>
      </c>
      <c r="U46" s="35">
        <f>(U21+U22)/U17</f>
        <v>0.58215382311091135</v>
      </c>
      <c r="V46" s="35">
        <v>0.60841056990731612</v>
      </c>
      <c r="W46" s="35">
        <v>0.63373800236665645</v>
      </c>
      <c r="X46" s="35">
        <v>0.59063609516541127</v>
      </c>
      <c r="Y46" s="35">
        <v>0.54520033849663341</v>
      </c>
      <c r="Z46" s="35">
        <v>0.5641993957703928</v>
      </c>
      <c r="AA46" s="35">
        <v>0.56444686384806142</v>
      </c>
      <c r="AB46" s="35">
        <v>0.52684472117537828</v>
      </c>
      <c r="AC46" s="35">
        <v>0.48784200460559696</v>
      </c>
      <c r="AD46" s="35">
        <v>0.64100000000000001</v>
      </c>
      <c r="AE46" s="35">
        <v>0.57899999999999996</v>
      </c>
      <c r="AF46" s="35">
        <v>0.51900000000000002</v>
      </c>
      <c r="AG46" s="35">
        <v>0.51500000000000001</v>
      </c>
      <c r="AH46" s="35">
        <v>0.59399999999999997</v>
      </c>
      <c r="AI46" s="35">
        <v>0.59299999999999997</v>
      </c>
      <c r="AJ46" s="35">
        <v>0.54200000000000004</v>
      </c>
      <c r="AK46" s="35">
        <v>0.61099999999999999</v>
      </c>
      <c r="AL46" s="35"/>
      <c r="AM46" s="35" t="e">
        <f>(AM21+AM22)/AM17</f>
        <v>#REF!</v>
      </c>
      <c r="AN46" s="35" t="e">
        <f>(AN21+AN22)/AN17</f>
        <v>#REF!</v>
      </c>
      <c r="AO46" s="574" t="e">
        <f t="shared" si="21"/>
        <v>#REF!</v>
      </c>
      <c r="AP46" s="541"/>
      <c r="AQ46" s="35"/>
      <c r="AR46" s="35" t="e">
        <f>(AR21+AR22)/AR17</f>
        <v>#REF!</v>
      </c>
      <c r="AS46" s="35" t="e">
        <f>(AS21+AS22)/AS17</f>
        <v>#REF!</v>
      </c>
      <c r="AT46" s="35">
        <f>(AT21+AT22)/AT17</f>
        <v>0.58077718809031209</v>
      </c>
      <c r="AU46" s="35">
        <v>0.59172251710367763</v>
      </c>
      <c r="AV46" s="35">
        <v>0.53043142305215707</v>
      </c>
      <c r="AW46" s="35">
        <v>0.56386269731963135</v>
      </c>
      <c r="AX46" s="35">
        <v>0.58699999999999997</v>
      </c>
      <c r="AY46" s="305">
        <v>0.53600000000000003</v>
      </c>
      <c r="AZ46" s="305">
        <v>0</v>
      </c>
      <c r="BA46" s="305">
        <v>0</v>
      </c>
      <c r="BB46" s="3"/>
      <c r="BC46" s="207"/>
      <c r="BD46" s="207"/>
      <c r="BG46" s="207"/>
    </row>
    <row r="47" spans="1:59" s="95" customFormat="1" ht="12.75" customHeight="1" x14ac:dyDescent="0.2">
      <c r="A47" s="143" t="s">
        <v>80</v>
      </c>
      <c r="B47" s="140"/>
      <c r="C47" s="225" t="e">
        <f t="shared" si="17"/>
        <v>#REF!</v>
      </c>
      <c r="D47" s="35"/>
      <c r="E47" s="35"/>
      <c r="F47" s="35" t="e">
        <f t="shared" ref="F47:S47" si="28">(F34-F21-F22)/F17</f>
        <v>#REF!</v>
      </c>
      <c r="G47" s="35" t="e">
        <f t="shared" si="28"/>
        <v>#REF!</v>
      </c>
      <c r="H47" s="35" t="e">
        <f t="shared" si="28"/>
        <v>#REF!</v>
      </c>
      <c r="I47" s="35" t="e">
        <f t="shared" si="28"/>
        <v>#REF!</v>
      </c>
      <c r="J47" s="35" t="e">
        <f t="shared" si="28"/>
        <v>#REF!</v>
      </c>
      <c r="K47" s="35" t="e">
        <f t="shared" si="28"/>
        <v>#REF!</v>
      </c>
      <c r="L47" s="35" t="e">
        <f t="shared" si="28"/>
        <v>#REF!</v>
      </c>
      <c r="M47" s="35" t="e">
        <f t="shared" si="28"/>
        <v>#REF!</v>
      </c>
      <c r="N47" s="35" t="e">
        <f t="shared" si="28"/>
        <v>#REF!</v>
      </c>
      <c r="O47" s="35" t="e">
        <f t="shared" si="28"/>
        <v>#REF!</v>
      </c>
      <c r="P47" s="35" t="e">
        <f t="shared" si="28"/>
        <v>#REF!</v>
      </c>
      <c r="Q47" s="35" t="e">
        <f t="shared" si="28"/>
        <v>#REF!</v>
      </c>
      <c r="R47" s="35">
        <f t="shared" si="28"/>
        <v>0.23912596753202275</v>
      </c>
      <c r="S47" s="35">
        <f t="shared" si="28"/>
        <v>0.23732186228894156</v>
      </c>
      <c r="T47" s="35">
        <f>(T24+T25+T26+T27+T28+T29+T30+T31+T33)/T17</f>
        <v>0.35964537998388091</v>
      </c>
      <c r="U47" s="35">
        <f>(U24+U25+U26+U27+U28+U29+U30+U31+U33)/U17</f>
        <v>0.26855388302254174</v>
      </c>
      <c r="V47" s="35">
        <v>0.32513310984026816</v>
      </c>
      <c r="W47" s="35">
        <v>0.34031643073147216</v>
      </c>
      <c r="X47" s="35">
        <v>0.26170488104323592</v>
      </c>
      <c r="Y47" s="35">
        <v>0.37234629677324405</v>
      </c>
      <c r="Z47" s="35">
        <v>0.61997443643969319</v>
      </c>
      <c r="AA47" s="35">
        <v>2.6110203834754735</v>
      </c>
      <c r="AB47" s="35">
        <v>0.68376208422087503</v>
      </c>
      <c r="AC47" s="35">
        <v>0.47242496389680338</v>
      </c>
      <c r="AD47" s="35">
        <v>0.55000000000000004</v>
      </c>
      <c r="AE47" s="35">
        <v>0.44799999999999995</v>
      </c>
      <c r="AF47" s="35">
        <v>0.63</v>
      </c>
      <c r="AG47" s="35">
        <v>0.44199999999999995</v>
      </c>
      <c r="AH47" s="35">
        <v>0.56300000000000006</v>
      </c>
      <c r="AI47" s="35">
        <v>0.495</v>
      </c>
      <c r="AJ47" s="35">
        <v>0.48299999999999987</v>
      </c>
      <c r="AK47" s="35">
        <v>0.29800000000000004</v>
      </c>
      <c r="AL47" s="35"/>
      <c r="AM47" s="35" t="e">
        <f>(AM34-AM21-AM22)/AM17</f>
        <v>#REF!</v>
      </c>
      <c r="AN47" s="35" t="e">
        <f>(AN34-AN21-AN22)/AN17</f>
        <v>#REF!</v>
      </c>
      <c r="AO47" s="574" t="e">
        <f t="shared" si="21"/>
        <v>#REF!</v>
      </c>
      <c r="AP47" s="541"/>
      <c r="AQ47" s="35"/>
      <c r="AR47" s="35" t="e">
        <f>(AR24+AR25+AR26+AR27+AR28+AR29+AR30+AR31+AR33)/AR17</f>
        <v>#REF!</v>
      </c>
      <c r="AS47" s="35" t="e">
        <f>(AS24+AS25+AS26+AS27+AS28+AS29+AS30+AS31+AS33)/AS17</f>
        <v>#REF!</v>
      </c>
      <c r="AT47" s="35">
        <f>(AT24+AT25+AT26+AT27+AT28+AT29+AT30+AT31+AT33)/AT17</f>
        <v>0.26850769092381038</v>
      </c>
      <c r="AU47" s="35">
        <v>0.32232590099285979</v>
      </c>
      <c r="AV47" s="35">
        <v>1.0104571796522859</v>
      </c>
      <c r="AW47" s="35">
        <v>0.51213052230109124</v>
      </c>
      <c r="AX47" s="35">
        <v>0.45</v>
      </c>
      <c r="AY47" s="305">
        <v>0.30599999999999994</v>
      </c>
      <c r="AZ47" s="305">
        <v>0</v>
      </c>
      <c r="BA47" s="305">
        <v>0</v>
      </c>
      <c r="BB47" s="3"/>
      <c r="BC47" s="207"/>
      <c r="BD47" s="207"/>
      <c r="BG47" s="207"/>
    </row>
    <row r="48" spans="1:59" s="95" customFormat="1" ht="12.75" customHeight="1" x14ac:dyDescent="0.2">
      <c r="A48" s="143" t="s">
        <v>81</v>
      </c>
      <c r="B48" s="140"/>
      <c r="C48" s="225" t="e">
        <f t="shared" si="17"/>
        <v>#REF!</v>
      </c>
      <c r="D48" s="35"/>
      <c r="E48" s="35"/>
      <c r="F48" s="35" t="e">
        <f t="shared" ref="F48:N48" si="29">F34/F17</f>
        <v>#REF!</v>
      </c>
      <c r="G48" s="35" t="e">
        <f t="shared" si="29"/>
        <v>#REF!</v>
      </c>
      <c r="H48" s="35" t="e">
        <f t="shared" si="29"/>
        <v>#REF!</v>
      </c>
      <c r="I48" s="35" t="e">
        <f t="shared" si="29"/>
        <v>#REF!</v>
      </c>
      <c r="J48" s="35" t="e">
        <f t="shared" si="29"/>
        <v>#REF!</v>
      </c>
      <c r="K48" s="35" t="e">
        <f t="shared" si="29"/>
        <v>#REF!</v>
      </c>
      <c r="L48" s="35" t="e">
        <f t="shared" si="29"/>
        <v>#REF!</v>
      </c>
      <c r="M48" s="35" t="e">
        <f t="shared" si="29"/>
        <v>#REF!</v>
      </c>
      <c r="N48" s="35" t="e">
        <f t="shared" si="29"/>
        <v>#REF!</v>
      </c>
      <c r="O48" s="35" t="e">
        <f t="shared" ref="O48:U48" si="30">O34/O17</f>
        <v>#REF!</v>
      </c>
      <c r="P48" s="35" t="e">
        <f t="shared" si="30"/>
        <v>#REF!</v>
      </c>
      <c r="Q48" s="35" t="e">
        <f t="shared" si="30"/>
        <v>#REF!</v>
      </c>
      <c r="R48" s="35">
        <f t="shared" si="30"/>
        <v>0.80536338105349681</v>
      </c>
      <c r="S48" s="35">
        <f t="shared" si="30"/>
        <v>0.8121031223480526</v>
      </c>
      <c r="T48" s="35">
        <f t="shared" si="30"/>
        <v>0.968520362205471</v>
      </c>
      <c r="U48" s="35">
        <f t="shared" si="30"/>
        <v>0.85070770613345315</v>
      </c>
      <c r="V48" s="35">
        <v>0.93354367974758434</v>
      </c>
      <c r="W48" s="35">
        <v>0.97405443309812856</v>
      </c>
      <c r="X48" s="35">
        <v>0.85234097620864713</v>
      </c>
      <c r="Y48" s="35">
        <v>0.91654663526987745</v>
      </c>
      <c r="Z48" s="35">
        <v>1.1841738322100861</v>
      </c>
      <c r="AA48" s="35">
        <v>3.1754672473235348</v>
      </c>
      <c r="AB48" s="35">
        <v>1.2106068053962533</v>
      </c>
      <c r="AC48" s="35">
        <v>0.96026696850240034</v>
      </c>
      <c r="AD48" s="35">
        <v>1.1910000000000001</v>
      </c>
      <c r="AE48" s="35">
        <v>1.0269999999999999</v>
      </c>
      <c r="AF48" s="35">
        <v>1.149</v>
      </c>
      <c r="AG48" s="35">
        <v>0.95699999999999996</v>
      </c>
      <c r="AH48" s="35">
        <v>1.157</v>
      </c>
      <c r="AI48" s="35">
        <v>1.0880000000000001</v>
      </c>
      <c r="AJ48" s="35">
        <v>1.0249999999999999</v>
      </c>
      <c r="AK48" s="35">
        <v>0.90900000000000003</v>
      </c>
      <c r="AL48" s="35"/>
      <c r="AM48" s="35" t="e">
        <f>AM34/AM17</f>
        <v>#REF!</v>
      </c>
      <c r="AN48" s="35" t="e">
        <f>AN34/AN17</f>
        <v>#REF!</v>
      </c>
      <c r="AO48" s="574" t="e">
        <f t="shared" si="21"/>
        <v>#REF!</v>
      </c>
      <c r="AP48" s="541"/>
      <c r="AQ48" s="35"/>
      <c r="AR48" s="35" t="e">
        <f>AR34/AR17</f>
        <v>#REF!</v>
      </c>
      <c r="AS48" s="35" t="e">
        <f>AS34/AS17</f>
        <v>#REF!</v>
      </c>
      <c r="AT48" s="35">
        <f>AT34/AT17</f>
        <v>0.84928487901412253</v>
      </c>
      <c r="AU48" s="35">
        <v>0.91404841809653747</v>
      </c>
      <c r="AV48" s="35">
        <v>1.5408886027044431</v>
      </c>
      <c r="AW48" s="35">
        <v>1.0759932196207225</v>
      </c>
      <c r="AX48" s="35">
        <v>1.0369999999999999</v>
      </c>
      <c r="AY48" s="305">
        <v>0.84199999999999997</v>
      </c>
      <c r="AZ48" s="305">
        <v>0</v>
      </c>
      <c r="BA48" s="305">
        <v>0</v>
      </c>
      <c r="BB48" s="3"/>
      <c r="BC48" s="207"/>
      <c r="BD48" s="207"/>
      <c r="BG48" s="207"/>
    </row>
    <row r="49" spans="1:59" s="95" customFormat="1" ht="12.75" customHeight="1" x14ac:dyDescent="0.2">
      <c r="A49" s="143" t="s">
        <v>82</v>
      </c>
      <c r="B49" s="140"/>
      <c r="C49" s="225" t="e">
        <f t="shared" si="17"/>
        <v>#REF!</v>
      </c>
      <c r="D49" s="35"/>
      <c r="E49" s="35"/>
      <c r="F49" s="35" t="e">
        <f t="shared" ref="F49:N49" si="31">F35/F17</f>
        <v>#REF!</v>
      </c>
      <c r="G49" s="35" t="e">
        <f t="shared" si="31"/>
        <v>#REF!</v>
      </c>
      <c r="H49" s="35" t="e">
        <f t="shared" si="31"/>
        <v>#REF!</v>
      </c>
      <c r="I49" s="35" t="e">
        <f t="shared" si="31"/>
        <v>#REF!</v>
      </c>
      <c r="J49" s="35" t="e">
        <f t="shared" si="31"/>
        <v>#REF!</v>
      </c>
      <c r="K49" s="35" t="e">
        <f t="shared" si="31"/>
        <v>#REF!</v>
      </c>
      <c r="L49" s="35" t="e">
        <f t="shared" si="31"/>
        <v>#REF!</v>
      </c>
      <c r="M49" s="35" t="e">
        <f t="shared" si="31"/>
        <v>#REF!</v>
      </c>
      <c r="N49" s="35" t="e">
        <f t="shared" si="31"/>
        <v>#REF!</v>
      </c>
      <c r="O49" s="35" t="e">
        <f t="shared" ref="O49:U49" si="32">O35/O17</f>
        <v>#REF!</v>
      </c>
      <c r="P49" s="35" t="e">
        <f t="shared" si="32"/>
        <v>#REF!</v>
      </c>
      <c r="Q49" s="35" t="e">
        <f t="shared" si="32"/>
        <v>#REF!</v>
      </c>
      <c r="R49" s="35">
        <f t="shared" si="32"/>
        <v>0.19463661894650319</v>
      </c>
      <c r="S49" s="35">
        <f t="shared" si="32"/>
        <v>0.18789687765194743</v>
      </c>
      <c r="T49" s="35">
        <f t="shared" si="32"/>
        <v>3.1479637794528989E-2</v>
      </c>
      <c r="U49" s="35">
        <f t="shared" si="32"/>
        <v>0.14929229386654685</v>
      </c>
      <c r="V49" s="35">
        <v>6.6456320252415699E-2</v>
      </c>
      <c r="W49" s="35">
        <v>2.5945566901871411E-2</v>
      </c>
      <c r="X49" s="35">
        <v>0.14765902379135282</v>
      </c>
      <c r="Y49" s="35">
        <v>8.2453364730122519E-2</v>
      </c>
      <c r="Z49" s="35">
        <v>-0.18417383221008599</v>
      </c>
      <c r="AA49" s="35">
        <v>-2.1754672473235348</v>
      </c>
      <c r="AB49" s="35">
        <v>-0.21226208707066288</v>
      </c>
      <c r="AC49" s="35">
        <v>3.9733031497599623E-2</v>
      </c>
      <c r="AD49" s="35">
        <v>-0.19240516847397066</v>
      </c>
      <c r="AE49" s="35">
        <v>-2.6999999999999913E-2</v>
      </c>
      <c r="AF49" s="35">
        <v>-0.14900000000000002</v>
      </c>
      <c r="AG49" s="35">
        <v>4.3000000000000038E-2</v>
      </c>
      <c r="AH49" s="35">
        <v>-0.15700000000000003</v>
      </c>
      <c r="AI49" s="35">
        <v>-8.8000000000000078E-2</v>
      </c>
      <c r="AJ49" s="35">
        <v>-2.4999999999999911E-2</v>
      </c>
      <c r="AK49" s="35">
        <v>9.099999999999997E-2</v>
      </c>
      <c r="AL49" s="35"/>
      <c r="AM49" s="35" t="e">
        <f>AM35/AM17</f>
        <v>#REF!</v>
      </c>
      <c r="AN49" s="35" t="e">
        <f>AN35/AN17</f>
        <v>#REF!</v>
      </c>
      <c r="AO49" s="574" t="e">
        <f t="shared" si="21"/>
        <v>#REF!</v>
      </c>
      <c r="AP49" s="541"/>
      <c r="AQ49" s="35"/>
      <c r="AR49" s="35" t="e">
        <f>AR35/AR17</f>
        <v>#REF!</v>
      </c>
      <c r="AS49" s="35" t="e">
        <f>AS35/AS17</f>
        <v>#REF!</v>
      </c>
      <c r="AT49" s="35">
        <f>AT35/AT17</f>
        <v>0.1507151209858775</v>
      </c>
      <c r="AU49" s="35">
        <v>8.5951581903462568E-2</v>
      </c>
      <c r="AV49" s="35">
        <v>-0.54088860270444306</v>
      </c>
      <c r="AW49" s="35">
        <v>-7.8117702008407286E-2</v>
      </c>
      <c r="AX49" s="35">
        <v>-4.4996467219515821E-2</v>
      </c>
      <c r="AY49" s="305">
        <f>AY35/AY17</f>
        <v>0.15435098441961825</v>
      </c>
      <c r="AZ49" s="305">
        <v>0</v>
      </c>
      <c r="BA49" s="305">
        <v>0</v>
      </c>
      <c r="BB49" s="3"/>
      <c r="BC49" s="207"/>
      <c r="BD49" s="207"/>
      <c r="BG49" s="207"/>
    </row>
    <row r="50" spans="1:59" s="95" customFormat="1" ht="12.75" customHeight="1" x14ac:dyDescent="0.2">
      <c r="A50" s="141"/>
      <c r="B50" s="140"/>
      <c r="C50" s="35"/>
      <c r="D50" s="35"/>
      <c r="E50" s="35"/>
      <c r="F50" s="35"/>
      <c r="G50" s="35"/>
      <c r="H50" s="35"/>
      <c r="I50" s="724"/>
      <c r="J50" s="35"/>
      <c r="K50" s="35"/>
      <c r="L50" s="35"/>
      <c r="M50" s="724"/>
      <c r="N50" s="35"/>
      <c r="O50" s="35"/>
      <c r="P50" s="35"/>
      <c r="Q50" s="82"/>
      <c r="R50" s="35"/>
      <c r="S50" s="35"/>
      <c r="T50" s="35"/>
      <c r="U50" s="82"/>
      <c r="V50" s="35"/>
      <c r="W50" s="35"/>
      <c r="X50" s="35"/>
      <c r="Y50" s="82"/>
      <c r="Z50" s="35"/>
      <c r="AA50" s="35"/>
      <c r="AB50" s="35"/>
      <c r="AC50" s="82"/>
      <c r="AD50" s="82"/>
      <c r="AE50" s="82"/>
      <c r="AF50" s="82"/>
      <c r="AG50" s="82"/>
      <c r="AH50" s="82"/>
      <c r="AI50" s="82"/>
      <c r="AJ50" s="82"/>
      <c r="AK50" s="82"/>
      <c r="AL50" s="35"/>
      <c r="AM50" s="35"/>
      <c r="AN50" s="35"/>
      <c r="AO50" s="541">
        <f>AR50-AS50</f>
        <v>0</v>
      </c>
      <c r="AP50" s="541"/>
      <c r="AQ50" s="35"/>
      <c r="AR50" s="541"/>
      <c r="AS50" s="541"/>
      <c r="AT50" s="541"/>
      <c r="AU50" s="35"/>
      <c r="AV50" s="35"/>
      <c r="AW50" s="82"/>
      <c r="AX50" s="82"/>
      <c r="AY50" s="305"/>
      <c r="AZ50" s="305"/>
      <c r="BA50" s="305"/>
      <c r="BB50" s="3"/>
      <c r="BC50" s="207"/>
      <c r="BD50" s="207"/>
      <c r="BG50" s="207"/>
    </row>
    <row r="51" spans="1:59" s="95" customFormat="1" ht="12.75" customHeight="1" x14ac:dyDescent="0.2">
      <c r="A51" s="82" t="s">
        <v>94</v>
      </c>
      <c r="B51" s="140"/>
      <c r="C51" s="165">
        <f>I51-M51</f>
        <v>-40</v>
      </c>
      <c r="D51" s="755">
        <f>IF(OR((C51/M51)&gt;3,(C51/M51)&lt;-3),"n.m.",(C51/M51))</f>
        <v>-0.13157894736842105</v>
      </c>
      <c r="E51" s="41"/>
      <c r="F51" s="178"/>
      <c r="G51" s="178"/>
      <c r="H51" s="178"/>
      <c r="I51" s="178">
        <f>+'12 Misc Operating Stats'!M22</f>
        <v>264</v>
      </c>
      <c r="J51" s="178">
        <f>+'12 Misc Operating Stats'!N22</f>
        <v>253</v>
      </c>
      <c r="K51" s="178">
        <f>+'12 Misc Operating Stats'!O22</f>
        <v>259</v>
      </c>
      <c r="L51" s="178">
        <f>+'12 Misc Operating Stats'!P22</f>
        <v>252</v>
      </c>
      <c r="M51" s="178">
        <f>+'12 Misc Operating Stats'!Q22</f>
        <v>304</v>
      </c>
      <c r="N51" s="178">
        <f>'12 Misc Operating Stats'!R22</f>
        <v>302</v>
      </c>
      <c r="O51" s="178">
        <f>'12 Misc Operating Stats'!S22</f>
        <v>176</v>
      </c>
      <c r="P51" s="178">
        <f>'12 Misc Operating Stats'!T22</f>
        <v>186</v>
      </c>
      <c r="Q51" s="178">
        <f>'12 Misc Operating Stats'!U22</f>
        <v>180</v>
      </c>
      <c r="R51" s="178">
        <v>175</v>
      </c>
      <c r="S51" s="178">
        <v>175</v>
      </c>
      <c r="T51" s="178">
        <v>178</v>
      </c>
      <c r="U51" s="178">
        <v>169</v>
      </c>
      <c r="V51" s="178">
        <v>163</v>
      </c>
      <c r="W51" s="178">
        <v>162</v>
      </c>
      <c r="X51" s="178">
        <v>157</v>
      </c>
      <c r="Y51" s="178">
        <v>152</v>
      </c>
      <c r="Z51" s="146">
        <v>151</v>
      </c>
      <c r="AA51" s="82">
        <v>152</v>
      </c>
      <c r="AB51" s="82">
        <v>176</v>
      </c>
      <c r="AC51" s="82">
        <v>169</v>
      </c>
      <c r="AD51" s="82">
        <v>163</v>
      </c>
      <c r="AE51" s="82">
        <v>161</v>
      </c>
      <c r="AF51" s="82">
        <v>162</v>
      </c>
      <c r="AG51" s="82">
        <v>170</v>
      </c>
      <c r="AH51" s="82">
        <v>163</v>
      </c>
      <c r="AI51" s="82">
        <v>170</v>
      </c>
      <c r="AJ51" s="82">
        <v>164</v>
      </c>
      <c r="AK51" s="82">
        <v>154</v>
      </c>
      <c r="AL51" s="242"/>
      <c r="AM51" s="659">
        <f>K51</f>
        <v>259</v>
      </c>
      <c r="AN51" s="659">
        <f>O51</f>
        <v>176</v>
      </c>
      <c r="AO51" s="586">
        <f>AR51-AS51</f>
        <v>-49</v>
      </c>
      <c r="AP51" s="41">
        <f>AO51/AS51</f>
        <v>-0.16225165562913907</v>
      </c>
      <c r="AQ51" s="242"/>
      <c r="AR51" s="571">
        <f>J51</f>
        <v>253</v>
      </c>
      <c r="AS51" s="571">
        <f>N51</f>
        <v>302</v>
      </c>
      <c r="AT51" s="571">
        <v>175</v>
      </c>
      <c r="AU51" s="178">
        <v>163</v>
      </c>
      <c r="AV51" s="178">
        <v>151</v>
      </c>
      <c r="AW51" s="178">
        <v>163</v>
      </c>
      <c r="AX51" s="178">
        <v>163</v>
      </c>
      <c r="AY51" s="299">
        <v>150</v>
      </c>
      <c r="AZ51" s="299">
        <v>0</v>
      </c>
      <c r="BA51" s="299">
        <v>0</v>
      </c>
      <c r="BB51" s="3"/>
      <c r="BC51" s="207"/>
      <c r="BD51" s="207"/>
      <c r="BG51" s="207"/>
    </row>
    <row r="52" spans="1:59" s="95" customFormat="1" ht="12.75" customHeight="1" x14ac:dyDescent="0.2">
      <c r="A52" s="82"/>
      <c r="B52" s="140"/>
      <c r="C52" s="165"/>
      <c r="D52" s="41"/>
      <c r="E52" s="41"/>
      <c r="F52" s="724"/>
      <c r="G52" s="724"/>
      <c r="H52" s="724"/>
      <c r="I52" s="724"/>
      <c r="J52" s="724"/>
      <c r="K52" s="724"/>
      <c r="L52" s="724"/>
      <c r="M52" s="724"/>
      <c r="N52" s="146"/>
      <c r="O52" s="82"/>
      <c r="P52" s="82"/>
      <c r="Q52" s="82"/>
      <c r="R52" s="146"/>
      <c r="S52" s="82"/>
      <c r="T52" s="82"/>
      <c r="U52" s="82"/>
      <c r="V52" s="146"/>
      <c r="W52" s="82"/>
      <c r="X52" s="82"/>
      <c r="Y52" s="82"/>
      <c r="Z52" s="146"/>
      <c r="AA52" s="82"/>
      <c r="AB52" s="82"/>
      <c r="AC52" s="82"/>
      <c r="AD52" s="82"/>
      <c r="AE52" s="82"/>
      <c r="AF52" s="82"/>
      <c r="AG52" s="82"/>
      <c r="AH52" s="82"/>
      <c r="AI52" s="82"/>
      <c r="AJ52" s="82"/>
      <c r="AK52" s="82"/>
      <c r="AL52" s="242"/>
      <c r="AM52" s="242"/>
      <c r="AN52" s="242"/>
      <c r="AO52" s="105"/>
      <c r="AP52" s="41"/>
      <c r="AQ52" s="242"/>
      <c r="AR52" s="105"/>
      <c r="AS52" s="105"/>
      <c r="AT52" s="105"/>
      <c r="AU52" s="33"/>
      <c r="AV52" s="33"/>
      <c r="AW52" s="82"/>
      <c r="AX52" s="82"/>
      <c r="AY52" s="299"/>
      <c r="AZ52" s="299"/>
      <c r="BA52" s="299"/>
      <c r="BB52" s="3"/>
      <c r="BC52" s="207"/>
      <c r="BD52" s="207"/>
      <c r="BG52" s="207"/>
    </row>
    <row r="53" spans="1:59" ht="18" customHeight="1" x14ac:dyDescent="0.2">
      <c r="A53" s="12" t="s">
        <v>267</v>
      </c>
      <c r="B53" s="626"/>
      <c r="C53" s="82"/>
      <c r="D53" s="82"/>
      <c r="E53" s="146"/>
      <c r="F53" s="725"/>
      <c r="G53" s="725"/>
      <c r="H53" s="725"/>
      <c r="I53" s="725"/>
      <c r="J53" s="725"/>
      <c r="K53" s="725"/>
      <c r="L53" s="725"/>
      <c r="M53" s="725"/>
      <c r="N53" s="146"/>
      <c r="O53" s="146"/>
      <c r="P53" s="146"/>
      <c r="Q53" s="146"/>
      <c r="R53" s="146"/>
      <c r="S53" s="146"/>
      <c r="T53" s="146"/>
      <c r="U53" s="146"/>
      <c r="V53" s="146"/>
      <c r="W53" s="146"/>
      <c r="X53" s="146"/>
      <c r="Y53" s="146"/>
      <c r="Z53" s="146"/>
      <c r="AA53" s="146"/>
      <c r="AB53" s="146"/>
      <c r="AC53" s="146"/>
      <c r="AD53" s="146"/>
      <c r="AE53" s="146"/>
      <c r="AF53" s="82"/>
      <c r="AG53" s="82"/>
      <c r="AH53" s="82"/>
      <c r="AI53" s="82"/>
      <c r="AJ53" s="82"/>
      <c r="AK53" s="82"/>
      <c r="AL53" s="82"/>
      <c r="AM53" s="82"/>
      <c r="AN53" s="82"/>
      <c r="AO53" s="559"/>
      <c r="AP53" s="559"/>
      <c r="AQ53" s="82"/>
      <c r="AR53" s="559"/>
      <c r="AS53" s="559"/>
      <c r="AT53" s="559"/>
      <c r="AU53" s="82"/>
      <c r="AV53" s="82"/>
      <c r="AW53" s="82"/>
      <c r="AX53" s="82"/>
      <c r="AY53" s="304"/>
      <c r="AZ53" s="304"/>
      <c r="BA53" s="304"/>
      <c r="BB53" s="3"/>
      <c r="BC53" s="3"/>
      <c r="BD53" s="3"/>
      <c r="BG53" s="3"/>
    </row>
    <row r="54" spans="1:59" ht="12.75" customHeight="1" x14ac:dyDescent="0.2">
      <c r="A54" s="190"/>
      <c r="B54" s="7"/>
      <c r="C54" s="82"/>
      <c r="D54" s="82"/>
      <c r="E54" s="146"/>
      <c r="F54" s="725"/>
      <c r="G54" s="725"/>
      <c r="H54" s="725"/>
      <c r="I54" s="725"/>
      <c r="J54" s="725"/>
      <c r="K54" s="725"/>
      <c r="L54" s="725"/>
      <c r="M54" s="725"/>
      <c r="N54" s="401"/>
      <c r="O54" s="146"/>
      <c r="P54" s="146"/>
      <c r="Q54" s="146"/>
      <c r="R54" s="401"/>
      <c r="S54" s="146"/>
      <c r="T54" s="401"/>
      <c r="U54" s="146"/>
      <c r="V54" s="401"/>
      <c r="W54" s="146"/>
      <c r="X54" s="401"/>
      <c r="Y54" s="146"/>
      <c r="Z54" s="401"/>
      <c r="AA54" s="146"/>
      <c r="AB54" s="146"/>
      <c r="AC54" s="146"/>
      <c r="AD54" s="146"/>
      <c r="AE54" s="146"/>
      <c r="AF54" s="82"/>
      <c r="AG54" s="82"/>
      <c r="AH54" s="82"/>
      <c r="AI54" s="82"/>
      <c r="AJ54" s="82"/>
      <c r="AK54" s="82"/>
      <c r="AL54" s="82"/>
      <c r="AM54" s="82"/>
      <c r="AN54" s="82"/>
      <c r="AO54" s="559"/>
      <c r="AP54" s="559"/>
      <c r="AQ54" s="82"/>
      <c r="AR54" s="559"/>
      <c r="AS54" s="559"/>
      <c r="AT54" s="559"/>
      <c r="AU54" s="82"/>
      <c r="AV54" s="82"/>
      <c r="AW54" s="82"/>
      <c r="AX54" s="82"/>
      <c r="AY54" s="304"/>
      <c r="AZ54" s="304"/>
      <c r="BA54" s="304"/>
      <c r="BB54" s="3"/>
      <c r="BC54" s="3"/>
      <c r="BD54" s="3"/>
      <c r="BG54" s="3"/>
    </row>
    <row r="55" spans="1:59" ht="12.75" customHeight="1" x14ac:dyDescent="0.2">
      <c r="A55" s="6"/>
      <c r="B55" s="7"/>
      <c r="C55" s="1479" t="s">
        <v>360</v>
      </c>
      <c r="D55" s="1480"/>
      <c r="E55" s="256"/>
      <c r="F55" s="410"/>
      <c r="G55" s="410"/>
      <c r="H55" s="410"/>
      <c r="I55" s="19"/>
      <c r="J55" s="410"/>
      <c r="K55" s="410"/>
      <c r="L55" s="410"/>
      <c r="M55" s="19"/>
      <c r="N55" s="17"/>
      <c r="O55" s="18"/>
      <c r="P55" s="410"/>
      <c r="Q55" s="19"/>
      <c r="R55" s="17"/>
      <c r="S55" s="18"/>
      <c r="T55" s="410"/>
      <c r="U55" s="19"/>
      <c r="V55" s="722"/>
      <c r="W55" s="18"/>
      <c r="X55" s="2"/>
      <c r="Y55" s="19"/>
      <c r="Z55" s="18"/>
      <c r="AA55" s="722"/>
      <c r="AB55" s="410"/>
      <c r="AC55" s="19"/>
      <c r="AD55" s="18"/>
      <c r="AE55" s="18"/>
      <c r="AF55" s="18"/>
      <c r="AG55" s="18"/>
      <c r="AH55" s="22"/>
      <c r="AI55" s="19"/>
      <c r="AJ55" s="19"/>
      <c r="AK55" s="19"/>
      <c r="AL55" s="24"/>
      <c r="AM55" s="661" t="s">
        <v>340</v>
      </c>
      <c r="AN55" s="647"/>
      <c r="AO55" s="647" t="s">
        <v>320</v>
      </c>
      <c r="AP55" s="648"/>
      <c r="AQ55" s="15"/>
      <c r="AR55" s="875"/>
      <c r="AS55" s="694"/>
      <c r="AT55" s="599"/>
      <c r="AU55" s="87"/>
      <c r="AV55" s="87"/>
      <c r="AW55" s="193"/>
      <c r="AX55" s="191"/>
      <c r="AY55" s="87"/>
      <c r="AZ55" s="87"/>
      <c r="BA55" s="694"/>
      <c r="BB55" s="25"/>
      <c r="BC55" s="3"/>
      <c r="BD55" s="3"/>
      <c r="BG55" s="3"/>
    </row>
    <row r="56" spans="1:59" ht="12.75" customHeight="1" x14ac:dyDescent="0.2">
      <c r="A56" s="6" t="s">
        <v>101</v>
      </c>
      <c r="B56" s="7"/>
      <c r="C56" s="1481" t="s">
        <v>39</v>
      </c>
      <c r="D56" s="1482"/>
      <c r="E56" s="530"/>
      <c r="F56" s="21" t="s">
        <v>363</v>
      </c>
      <c r="G56" s="21" t="s">
        <v>362</v>
      </c>
      <c r="H56" s="21" t="s">
        <v>361</v>
      </c>
      <c r="I56" s="14" t="s">
        <v>359</v>
      </c>
      <c r="J56" s="21" t="s">
        <v>302</v>
      </c>
      <c r="K56" s="21" t="s">
        <v>303</v>
      </c>
      <c r="L56" s="21" t="s">
        <v>304</v>
      </c>
      <c r="M56" s="14" t="s">
        <v>305</v>
      </c>
      <c r="N56" s="20" t="s">
        <v>231</v>
      </c>
      <c r="O56" s="21" t="s">
        <v>232</v>
      </c>
      <c r="P56" s="21" t="s">
        <v>233</v>
      </c>
      <c r="Q56" s="14" t="s">
        <v>230</v>
      </c>
      <c r="R56" s="20" t="s">
        <v>194</v>
      </c>
      <c r="S56" s="21" t="s">
        <v>195</v>
      </c>
      <c r="T56" s="21" t="s">
        <v>196</v>
      </c>
      <c r="U56" s="14" t="s">
        <v>197</v>
      </c>
      <c r="V56" s="21" t="s">
        <v>126</v>
      </c>
      <c r="W56" s="21" t="s">
        <v>125</v>
      </c>
      <c r="X56" s="21" t="s">
        <v>124</v>
      </c>
      <c r="Y56" s="14" t="s">
        <v>123</v>
      </c>
      <c r="Z56" s="21" t="s">
        <v>86</v>
      </c>
      <c r="AA56" s="21" t="s">
        <v>87</v>
      </c>
      <c r="AB56" s="21" t="s">
        <v>88</v>
      </c>
      <c r="AC56" s="14" t="s">
        <v>30</v>
      </c>
      <c r="AD56" s="21" t="s">
        <v>31</v>
      </c>
      <c r="AE56" s="21" t="s">
        <v>32</v>
      </c>
      <c r="AF56" s="21" t="s">
        <v>33</v>
      </c>
      <c r="AG56" s="21" t="s">
        <v>34</v>
      </c>
      <c r="AH56" s="23" t="s">
        <v>35</v>
      </c>
      <c r="AI56" s="14" t="s">
        <v>36</v>
      </c>
      <c r="AJ56" s="14" t="s">
        <v>37</v>
      </c>
      <c r="AK56" s="14" t="s">
        <v>38</v>
      </c>
      <c r="AL56" s="256"/>
      <c r="AM56" s="21" t="s">
        <v>303</v>
      </c>
      <c r="AN56" s="21" t="s">
        <v>232</v>
      </c>
      <c r="AO56" s="1503" t="s">
        <v>39</v>
      </c>
      <c r="AP56" s="1478"/>
      <c r="AQ56" s="194"/>
      <c r="AR56" s="23" t="s">
        <v>307</v>
      </c>
      <c r="AS56" s="229" t="s">
        <v>235</v>
      </c>
      <c r="AT56" s="229" t="s">
        <v>128</v>
      </c>
      <c r="AU56" s="20" t="s">
        <v>127</v>
      </c>
      <c r="AV56" s="20" t="s">
        <v>43</v>
      </c>
      <c r="AW56" s="20" t="s">
        <v>40</v>
      </c>
      <c r="AX56" s="23" t="s">
        <v>41</v>
      </c>
      <c r="AY56" s="23" t="s">
        <v>146</v>
      </c>
      <c r="AZ56" s="23" t="s">
        <v>147</v>
      </c>
      <c r="BA56" s="20" t="s">
        <v>148</v>
      </c>
      <c r="BB56" s="25"/>
      <c r="BC56" s="3"/>
      <c r="BD56" s="3"/>
      <c r="BG56" s="3"/>
    </row>
    <row r="57" spans="1:59" ht="12.75" customHeight="1" x14ac:dyDescent="0.2">
      <c r="A57" s="145"/>
      <c r="B57" s="146" t="s">
        <v>4</v>
      </c>
      <c r="C57" s="397" t="e">
        <f>I57-M57</f>
        <v>#REF!</v>
      </c>
      <c r="D57" s="742" t="e">
        <f>IF(OR((C57/M57)&gt;3,(C57/M57)&lt;-3),"n.m.",(C57/M57))</f>
        <v>#REF!</v>
      </c>
      <c r="E57" s="88"/>
      <c r="F57" s="738" t="e">
        <f t="shared" ref="F57:M57" si="33">+F17</f>
        <v>#REF!</v>
      </c>
      <c r="G57" s="738" t="e">
        <f t="shared" si="33"/>
        <v>#REF!</v>
      </c>
      <c r="H57" s="738" t="e">
        <f t="shared" si="33"/>
        <v>#REF!</v>
      </c>
      <c r="I57" s="739" t="e">
        <f t="shared" si="33"/>
        <v>#REF!</v>
      </c>
      <c r="J57" s="738" t="e">
        <f t="shared" si="33"/>
        <v>#REF!</v>
      </c>
      <c r="K57" s="738" t="e">
        <f t="shared" si="33"/>
        <v>#REF!</v>
      </c>
      <c r="L57" s="738" t="e">
        <f t="shared" si="33"/>
        <v>#REF!</v>
      </c>
      <c r="M57" s="739" t="e">
        <f t="shared" si="33"/>
        <v>#REF!</v>
      </c>
      <c r="N57" s="327" t="e">
        <f t="shared" ref="N57:U57" si="34">N17</f>
        <v>#REF!</v>
      </c>
      <c r="O57" s="327" t="e">
        <f t="shared" si="34"/>
        <v>#REF!</v>
      </c>
      <c r="P57" s="327" t="e">
        <f t="shared" si="34"/>
        <v>#REF!</v>
      </c>
      <c r="Q57" s="368" t="e">
        <f t="shared" si="34"/>
        <v>#REF!</v>
      </c>
      <c r="R57" s="327">
        <f t="shared" si="34"/>
        <v>29198</v>
      </c>
      <c r="S57" s="327">
        <f t="shared" si="34"/>
        <v>34173</v>
      </c>
      <c r="T57" s="327">
        <f t="shared" si="34"/>
        <v>21093</v>
      </c>
      <c r="U57" s="368">
        <f t="shared" si="34"/>
        <v>26706</v>
      </c>
      <c r="V57" s="327">
        <v>20284</v>
      </c>
      <c r="W57" s="327">
        <v>22817</v>
      </c>
      <c r="X57" s="327">
        <v>30137</v>
      </c>
      <c r="Y57" s="368">
        <v>27179</v>
      </c>
      <c r="Z57" s="337">
        <v>17212</v>
      </c>
      <c r="AA57" s="327">
        <v>16533</v>
      </c>
      <c r="AB57" s="327">
        <v>18284</v>
      </c>
      <c r="AC57" s="368">
        <v>25621</v>
      </c>
      <c r="AD57" s="232">
        <v>24069</v>
      </c>
      <c r="AE57" s="232">
        <v>23107</v>
      </c>
      <c r="AF57" s="232">
        <v>20654</v>
      </c>
      <c r="AG57" s="233">
        <v>26374</v>
      </c>
      <c r="AH57" s="254">
        <v>19835</v>
      </c>
      <c r="AI57" s="233">
        <v>18613</v>
      </c>
      <c r="AJ57" s="233">
        <v>7372</v>
      </c>
      <c r="AK57" s="233">
        <v>8735</v>
      </c>
      <c r="AL57" s="88"/>
      <c r="AM57" s="327" t="e">
        <f>SUM(K57:M57)</f>
        <v>#REF!</v>
      </c>
      <c r="AN57" s="327" t="e">
        <f>SUM(O57:Q57)</f>
        <v>#REF!</v>
      </c>
      <c r="AO57" s="575" t="e">
        <f>AR57-AS57</f>
        <v>#REF!</v>
      </c>
      <c r="AP57" s="576" t="e">
        <f>AO57/AS57</f>
        <v>#REF!</v>
      </c>
      <c r="AQ57" s="82"/>
      <c r="AR57" s="561" t="e">
        <f>SUM(J57:M57)</f>
        <v>#REF!</v>
      </c>
      <c r="AS57" s="569" t="e">
        <f>SUM(N57:Q57)</f>
        <v>#REF!</v>
      </c>
      <c r="AT57" s="569">
        <f>SUM(R57:U57)</f>
        <v>111170</v>
      </c>
      <c r="AU57" s="177">
        <v>100417</v>
      </c>
      <c r="AV57" s="177">
        <v>77650</v>
      </c>
      <c r="AW57" s="198">
        <v>94204</v>
      </c>
      <c r="AX57" s="198">
        <v>80673</v>
      </c>
      <c r="AY57" s="315">
        <f>AY17</f>
        <v>19961</v>
      </c>
      <c r="AZ57" s="315">
        <f>AZ17</f>
        <v>0</v>
      </c>
      <c r="BA57" s="315">
        <f>BA17</f>
        <v>0</v>
      </c>
      <c r="BB57" s="3"/>
      <c r="BC57" s="3"/>
      <c r="BD57" s="3"/>
      <c r="BG57" s="3"/>
    </row>
    <row r="58" spans="1:59" ht="12.75" customHeight="1" x14ac:dyDescent="0.2">
      <c r="A58" s="82"/>
      <c r="B58" s="146" t="s">
        <v>85</v>
      </c>
      <c r="C58" s="83">
        <f>I58-M58</f>
        <v>5076</v>
      </c>
      <c r="D58" s="45">
        <f>IF(OR((C58/M58)&gt;3,(C58/M58)&lt;-3),"n.m.",(C58/M58))</f>
        <v>0.1242868685879386</v>
      </c>
      <c r="E58" s="533"/>
      <c r="F58" s="399">
        <f>+F34-F31-1</f>
        <v>-1</v>
      </c>
      <c r="G58" s="399">
        <f>+G34-G31-1</f>
        <v>-1</v>
      </c>
      <c r="H58" s="399">
        <f>+H34-H31-1</f>
        <v>-1</v>
      </c>
      <c r="I58" s="739">
        <f>+I34-I31-1</f>
        <v>45917</v>
      </c>
      <c r="J58" s="399">
        <f>+J34-J31-1</f>
        <v>41442</v>
      </c>
      <c r="K58" s="399">
        <f>+K34-K31-3</f>
        <v>36205</v>
      </c>
      <c r="L58" s="399">
        <f>+L34-L31-3</f>
        <v>38846</v>
      </c>
      <c r="M58" s="739">
        <f>+M34-1</f>
        <v>40841</v>
      </c>
      <c r="N58" s="399">
        <f>N34-N31-N32</f>
        <v>23684</v>
      </c>
      <c r="O58" s="399">
        <f>O34-O31</f>
        <v>19065</v>
      </c>
      <c r="P58" s="399">
        <f t="shared" ref="P58:U58" si="35">P34</f>
        <v>20340</v>
      </c>
      <c r="Q58" s="368">
        <f t="shared" si="35"/>
        <v>23902</v>
      </c>
      <c r="R58" s="399">
        <f t="shared" si="35"/>
        <v>23515</v>
      </c>
      <c r="S58" s="399">
        <f t="shared" si="35"/>
        <v>27752</v>
      </c>
      <c r="T58" s="399">
        <f t="shared" si="35"/>
        <v>20429</v>
      </c>
      <c r="U58" s="368">
        <f t="shared" si="35"/>
        <v>22719</v>
      </c>
      <c r="V58" s="399">
        <v>18936</v>
      </c>
      <c r="W58" s="399">
        <v>22225</v>
      </c>
      <c r="X58" s="399">
        <v>25687</v>
      </c>
      <c r="Y58" s="368">
        <v>24938</v>
      </c>
      <c r="Z58" s="399">
        <v>20382</v>
      </c>
      <c r="AA58" s="399">
        <v>21311</v>
      </c>
      <c r="AB58" s="399">
        <v>22165</v>
      </c>
      <c r="AC58" s="368">
        <v>24603</v>
      </c>
      <c r="AD58" s="231">
        <v>28700</v>
      </c>
      <c r="AE58" s="231">
        <v>23749</v>
      </c>
      <c r="AF58" s="231">
        <v>23836</v>
      </c>
      <c r="AG58" s="235">
        <v>25278</v>
      </c>
      <c r="AH58" s="198">
        <v>23039</v>
      </c>
      <c r="AI58" s="235">
        <v>20245</v>
      </c>
      <c r="AJ58" s="235">
        <v>18732</v>
      </c>
      <c r="AK58" s="235">
        <v>20213</v>
      </c>
      <c r="AL58" s="88"/>
      <c r="AM58" s="327">
        <f>SUM(K58:M58)</f>
        <v>115892</v>
      </c>
      <c r="AN58" s="327">
        <f>SUM(O58:Q58)</f>
        <v>63307</v>
      </c>
      <c r="AO58" s="577">
        <f>AR58-AS58</f>
        <v>70343</v>
      </c>
      <c r="AP58" s="578">
        <f>AO58/AS58</f>
        <v>0.80862388063132973</v>
      </c>
      <c r="AQ58" s="82"/>
      <c r="AR58" s="561">
        <f>SUM(J58:M58)</f>
        <v>157334</v>
      </c>
      <c r="AS58" s="561">
        <f>SUM(N58:Q58)</f>
        <v>86991</v>
      </c>
      <c r="AT58" s="561">
        <f>SUM(R58:U58)</f>
        <v>94415</v>
      </c>
      <c r="AU58" s="177">
        <v>91786</v>
      </c>
      <c r="AV58" s="177">
        <v>88461</v>
      </c>
      <c r="AW58" s="198">
        <v>101563</v>
      </c>
      <c r="AX58" s="198">
        <v>84303</v>
      </c>
      <c r="AY58" s="43">
        <f>AY34</f>
        <v>16880</v>
      </c>
      <c r="AZ58" s="43">
        <f>AZ34</f>
        <v>0</v>
      </c>
      <c r="BA58" s="43">
        <f>BA34</f>
        <v>0</v>
      </c>
      <c r="BB58" s="3"/>
      <c r="BC58" s="3"/>
      <c r="BD58" s="3"/>
      <c r="BG58" s="3"/>
    </row>
    <row r="59" spans="1:59" ht="12.75" customHeight="1" x14ac:dyDescent="0.2">
      <c r="A59" s="82"/>
      <c r="B59" s="146" t="s">
        <v>77</v>
      </c>
      <c r="C59" s="152" t="e">
        <f>I59-M59</f>
        <v>#REF!</v>
      </c>
      <c r="D59" s="153" t="e">
        <f>-IF(OR((C59/M59)&gt;3,(C59/M59)&lt;-3),"n.m.",(C59/M59))</f>
        <v>#REF!</v>
      </c>
      <c r="E59" s="533"/>
      <c r="F59" s="407" t="e">
        <f t="shared" ref="F59:M59" si="36">+F57-F58</f>
        <v>#REF!</v>
      </c>
      <c r="G59" s="407" t="e">
        <f t="shared" si="36"/>
        <v>#REF!</v>
      </c>
      <c r="H59" s="407" t="e">
        <f t="shared" si="36"/>
        <v>#REF!</v>
      </c>
      <c r="I59" s="370" t="e">
        <f t="shared" si="36"/>
        <v>#REF!</v>
      </c>
      <c r="J59" s="407" t="e">
        <f t="shared" si="36"/>
        <v>#REF!</v>
      </c>
      <c r="K59" s="407" t="e">
        <f t="shared" si="36"/>
        <v>#REF!</v>
      </c>
      <c r="L59" s="407" t="e">
        <f t="shared" si="36"/>
        <v>#REF!</v>
      </c>
      <c r="M59" s="370" t="e">
        <f t="shared" si="36"/>
        <v>#REF!</v>
      </c>
      <c r="N59" s="407" t="e">
        <f t="shared" ref="N59:U59" si="37">N57-N58</f>
        <v>#REF!</v>
      </c>
      <c r="O59" s="407" t="e">
        <f t="shared" si="37"/>
        <v>#REF!</v>
      </c>
      <c r="P59" s="407" t="e">
        <f t="shared" si="37"/>
        <v>#REF!</v>
      </c>
      <c r="Q59" s="370" t="e">
        <f t="shared" si="37"/>
        <v>#REF!</v>
      </c>
      <c r="R59" s="407">
        <f t="shared" si="37"/>
        <v>5683</v>
      </c>
      <c r="S59" s="407">
        <f t="shared" si="37"/>
        <v>6421</v>
      </c>
      <c r="T59" s="407">
        <f t="shared" si="37"/>
        <v>664</v>
      </c>
      <c r="U59" s="370">
        <f t="shared" si="37"/>
        <v>3987</v>
      </c>
      <c r="V59" s="407">
        <v>1348</v>
      </c>
      <c r="W59" s="407">
        <v>592</v>
      </c>
      <c r="X59" s="407">
        <v>4450</v>
      </c>
      <c r="Y59" s="370">
        <v>2241</v>
      </c>
      <c r="Z59" s="407">
        <v>-3170</v>
      </c>
      <c r="AA59" s="407">
        <v>-4778</v>
      </c>
      <c r="AB59" s="407">
        <v>-3881</v>
      </c>
      <c r="AC59" s="370">
        <v>1018</v>
      </c>
      <c r="AD59" s="237">
        <v>-4631</v>
      </c>
      <c r="AE59" s="237">
        <v>-642</v>
      </c>
      <c r="AF59" s="237">
        <v>-3182</v>
      </c>
      <c r="AG59" s="238">
        <v>1096</v>
      </c>
      <c r="AH59" s="204">
        <v>-3204</v>
      </c>
      <c r="AI59" s="238">
        <v>-1632</v>
      </c>
      <c r="AJ59" s="238">
        <v>-11360</v>
      </c>
      <c r="AK59" s="238">
        <v>-11478</v>
      </c>
      <c r="AL59" s="88"/>
      <c r="AM59" s="335" t="e">
        <f>AM57-AM58</f>
        <v>#REF!</v>
      </c>
      <c r="AN59" s="335" t="e">
        <f>AN57-AN58</f>
        <v>#REF!</v>
      </c>
      <c r="AO59" s="579" t="e">
        <f>AR59-AS59</f>
        <v>#REF!</v>
      </c>
      <c r="AP59" s="483" t="e">
        <f>-IF(OR((AO59/AS59)&gt;3,(AO59/AS59)&lt;-3),"n.m.",(AO59/AS59))</f>
        <v>#REF!</v>
      </c>
      <c r="AQ59" s="82"/>
      <c r="AR59" s="562" t="e">
        <f>AR57-AR58</f>
        <v>#REF!</v>
      </c>
      <c r="AS59" s="562" t="e">
        <f>AS57-AS58</f>
        <v>#REF!</v>
      </c>
      <c r="AT59" s="562">
        <f>SUM(R59:U59)</f>
        <v>16755</v>
      </c>
      <c r="AU59" s="195">
        <v>8631</v>
      </c>
      <c r="AV59" s="195">
        <v>-10811</v>
      </c>
      <c r="AW59" s="204">
        <v>-7359</v>
      </c>
      <c r="AX59" s="204">
        <v>-3630</v>
      </c>
      <c r="AY59" s="158">
        <f>AY57-AY58</f>
        <v>3081</v>
      </c>
      <c r="AZ59" s="158">
        <f>AZ57-AZ58</f>
        <v>0</v>
      </c>
      <c r="BA59" s="158">
        <f>BA57-BA58</f>
        <v>0</v>
      </c>
      <c r="BB59" s="3"/>
      <c r="BC59" s="3"/>
      <c r="BD59" s="3"/>
      <c r="BG59" s="3"/>
    </row>
    <row r="60" spans="1:59" ht="12.75" customHeight="1" x14ac:dyDescent="0.2">
      <c r="A60" s="82"/>
      <c r="B60" s="146"/>
      <c r="C60" s="151"/>
      <c r="D60" s="511"/>
      <c r="E60" s="11"/>
      <c r="F60" s="399"/>
      <c r="G60" s="399"/>
      <c r="H60" s="399"/>
      <c r="I60" s="738"/>
      <c r="J60" s="399"/>
      <c r="K60" s="399"/>
      <c r="L60" s="399"/>
      <c r="M60" s="738"/>
      <c r="N60" s="399"/>
      <c r="O60" s="399"/>
      <c r="P60" s="399"/>
      <c r="Q60" s="327"/>
      <c r="R60" s="399"/>
      <c r="S60" s="399"/>
      <c r="T60" s="399"/>
      <c r="U60" s="327"/>
      <c r="V60" s="399"/>
      <c r="W60" s="399"/>
      <c r="X60" s="399"/>
      <c r="Y60" s="327"/>
      <c r="Z60" s="399"/>
      <c r="AA60" s="399"/>
      <c r="AB60" s="399"/>
      <c r="AC60" s="327"/>
      <c r="AD60" s="231"/>
      <c r="AE60" s="231"/>
      <c r="AF60" s="231"/>
      <c r="AG60" s="231"/>
      <c r="AH60" s="231"/>
      <c r="AI60" s="231"/>
      <c r="AJ60" s="231"/>
      <c r="AK60" s="231"/>
      <c r="AL60" s="146"/>
      <c r="AM60" s="146"/>
      <c r="AN60" s="146"/>
      <c r="AO60" s="577"/>
      <c r="AP60" s="511"/>
      <c r="AQ60" s="82"/>
      <c r="AR60" s="557"/>
      <c r="AS60" s="557"/>
      <c r="AT60" s="557"/>
      <c r="AU60" s="327"/>
      <c r="AV60" s="327"/>
      <c r="AW60" s="231"/>
      <c r="AX60" s="231"/>
      <c r="AY60" s="31"/>
      <c r="AZ60" s="31"/>
      <c r="BA60" s="31"/>
      <c r="BB60" s="3"/>
      <c r="BC60" s="3"/>
      <c r="BD60" s="3"/>
      <c r="BG60" s="3"/>
    </row>
    <row r="61" spans="1:59" ht="12.75" customHeight="1" x14ac:dyDescent="0.2">
      <c r="A61" s="12" t="s">
        <v>199</v>
      </c>
      <c r="B61" s="143"/>
      <c r="C61" s="146"/>
      <c r="D61" s="146"/>
      <c r="E61" s="146"/>
      <c r="F61" s="725"/>
      <c r="G61" s="725"/>
      <c r="H61" s="725"/>
      <c r="I61" s="725"/>
      <c r="J61" s="725"/>
      <c r="K61" s="725"/>
      <c r="L61" s="725"/>
      <c r="M61" s="725"/>
      <c r="N61" s="146"/>
      <c r="O61" s="146"/>
      <c r="P61" s="146"/>
      <c r="Q61" s="146"/>
      <c r="R61" s="146"/>
      <c r="S61" s="146"/>
      <c r="T61" s="146"/>
      <c r="U61" s="146"/>
      <c r="V61" s="146"/>
      <c r="W61" s="146"/>
      <c r="X61" s="146"/>
      <c r="Y61" s="146"/>
      <c r="Z61" s="146"/>
      <c r="AA61" s="401"/>
      <c r="AB61" s="146"/>
      <c r="AC61" s="146"/>
      <c r="AD61" s="146"/>
      <c r="AE61" s="146"/>
      <c r="AF61" s="146"/>
      <c r="AG61" s="7"/>
      <c r="AH61" s="146"/>
      <c r="AI61" s="7"/>
      <c r="AJ61" s="7"/>
      <c r="AK61" s="146"/>
      <c r="AL61" s="146"/>
      <c r="AM61" s="146"/>
      <c r="AN61" s="146"/>
      <c r="AO61" s="559"/>
      <c r="AP61" s="559"/>
      <c r="AQ61" s="146"/>
      <c r="AR61" s="559"/>
      <c r="AS61" s="559"/>
      <c r="AT61" s="559"/>
      <c r="AU61" s="146"/>
      <c r="AV61" s="146"/>
      <c r="AW61" s="146"/>
      <c r="AX61" s="146"/>
      <c r="AY61" s="31"/>
      <c r="AZ61" s="31"/>
      <c r="BA61" s="31"/>
      <c r="BB61" s="3"/>
      <c r="BC61" s="3"/>
      <c r="BD61" s="3"/>
      <c r="BG61" s="3"/>
    </row>
    <row r="62" spans="1:59" ht="12.75" customHeight="1" x14ac:dyDescent="0.2">
      <c r="C62" s="1479" t="s">
        <v>360</v>
      </c>
      <c r="D62" s="1480"/>
      <c r="E62" s="256"/>
      <c r="F62" s="410"/>
      <c r="G62" s="410"/>
      <c r="H62" s="410"/>
      <c r="I62" s="19"/>
      <c r="J62" s="410"/>
      <c r="K62" s="410"/>
      <c r="L62" s="410"/>
      <c r="M62" s="19"/>
      <c r="N62" s="17"/>
      <c r="O62" s="18"/>
      <c r="P62" s="410"/>
      <c r="Q62" s="19"/>
      <c r="R62" s="17"/>
      <c r="S62" s="18"/>
      <c r="T62" s="410"/>
      <c r="U62" s="19"/>
      <c r="V62" s="722"/>
      <c r="W62" s="18"/>
      <c r="X62" s="2"/>
      <c r="Y62" s="19"/>
      <c r="Z62" s="18"/>
      <c r="AA62" s="722"/>
      <c r="AB62" s="410"/>
      <c r="AC62" s="19"/>
      <c r="AD62" s="18"/>
      <c r="AE62" s="18"/>
      <c r="AF62" s="18"/>
      <c r="AG62" s="18"/>
      <c r="AH62" s="22"/>
      <c r="AI62" s="19"/>
      <c r="AJ62" s="19"/>
      <c r="AK62" s="19"/>
      <c r="AL62" s="24"/>
      <c r="AM62" s="661" t="s">
        <v>340</v>
      </c>
      <c r="AN62" s="647"/>
      <c r="AO62" s="647" t="s">
        <v>320</v>
      </c>
      <c r="AP62" s="648"/>
      <c r="AQ62" s="146"/>
      <c r="AR62" s="875"/>
      <c r="AS62" s="694"/>
      <c r="AT62" s="599"/>
      <c r="AU62" s="87"/>
      <c r="AV62" s="87"/>
      <c r="AW62" s="193"/>
      <c r="AX62" s="191"/>
      <c r="AY62" s="87"/>
      <c r="AZ62" s="31"/>
      <c r="BA62" s="31"/>
      <c r="BB62" s="25"/>
      <c r="BC62" s="3"/>
      <c r="BD62" s="3"/>
      <c r="BG62" s="3"/>
    </row>
    <row r="63" spans="1:59" ht="12.75" customHeight="1" x14ac:dyDescent="0.2">
      <c r="C63" s="1481" t="s">
        <v>39</v>
      </c>
      <c r="D63" s="1482"/>
      <c r="E63" s="530"/>
      <c r="F63" s="21" t="s">
        <v>363</v>
      </c>
      <c r="G63" s="21" t="s">
        <v>362</v>
      </c>
      <c r="H63" s="21" t="s">
        <v>361</v>
      </c>
      <c r="I63" s="14" t="s">
        <v>359</v>
      </c>
      <c r="J63" s="21" t="s">
        <v>302</v>
      </c>
      <c r="K63" s="21" t="s">
        <v>303</v>
      </c>
      <c r="L63" s="21" t="s">
        <v>304</v>
      </c>
      <c r="M63" s="14" t="s">
        <v>305</v>
      </c>
      <c r="N63" s="20" t="s">
        <v>231</v>
      </c>
      <c r="O63" s="21" t="s">
        <v>232</v>
      </c>
      <c r="P63" s="21" t="s">
        <v>233</v>
      </c>
      <c r="Q63" s="14" t="s">
        <v>230</v>
      </c>
      <c r="R63" s="20" t="s">
        <v>194</v>
      </c>
      <c r="S63" s="21" t="s">
        <v>195</v>
      </c>
      <c r="T63" s="21" t="s">
        <v>196</v>
      </c>
      <c r="U63" s="14" t="s">
        <v>197</v>
      </c>
      <c r="V63" s="21" t="s">
        <v>126</v>
      </c>
      <c r="W63" s="21" t="s">
        <v>125</v>
      </c>
      <c r="X63" s="21" t="s">
        <v>124</v>
      </c>
      <c r="Y63" s="14" t="s">
        <v>123</v>
      </c>
      <c r="Z63" s="21" t="s">
        <v>86</v>
      </c>
      <c r="AA63" s="21" t="s">
        <v>87</v>
      </c>
      <c r="AB63" s="21" t="s">
        <v>88</v>
      </c>
      <c r="AC63" s="14" t="s">
        <v>30</v>
      </c>
      <c r="AD63" s="21" t="s">
        <v>31</v>
      </c>
      <c r="AE63" s="21" t="s">
        <v>32</v>
      </c>
      <c r="AF63" s="21" t="s">
        <v>33</v>
      </c>
      <c r="AG63" s="21" t="s">
        <v>34</v>
      </c>
      <c r="AH63" s="23" t="s">
        <v>35</v>
      </c>
      <c r="AI63" s="14" t="s">
        <v>36</v>
      </c>
      <c r="AJ63" s="14" t="s">
        <v>37</v>
      </c>
      <c r="AK63" s="14" t="s">
        <v>38</v>
      </c>
      <c r="AL63" s="256"/>
      <c r="AM63" s="21" t="s">
        <v>303</v>
      </c>
      <c r="AN63" s="21" t="s">
        <v>232</v>
      </c>
      <c r="AO63" s="1502" t="s">
        <v>39</v>
      </c>
      <c r="AP63" s="1482"/>
      <c r="AQ63" s="146"/>
      <c r="AR63" s="20" t="s">
        <v>307</v>
      </c>
      <c r="AS63" s="20" t="s">
        <v>235</v>
      </c>
      <c r="AT63" s="20" t="s">
        <v>128</v>
      </c>
      <c r="AU63" s="20" t="s">
        <v>127</v>
      </c>
      <c r="AV63" s="20" t="s">
        <v>43</v>
      </c>
      <c r="AW63" s="20" t="s">
        <v>40</v>
      </c>
      <c r="AX63" s="23" t="s">
        <v>41</v>
      </c>
      <c r="AY63" s="23" t="s">
        <v>146</v>
      </c>
      <c r="AZ63" s="31"/>
      <c r="BA63" s="31"/>
      <c r="BB63" s="25"/>
      <c r="BC63" s="3"/>
      <c r="BD63" s="3"/>
      <c r="BG63" s="3"/>
    </row>
    <row r="64" spans="1:59" ht="12.75" customHeight="1" x14ac:dyDescent="0.2">
      <c r="A64" s="82"/>
      <c r="B64" s="7" t="s">
        <v>341</v>
      </c>
      <c r="C64" s="83">
        <f t="shared" ref="C64:C70" si="38">I64-M64</f>
        <v>-205</v>
      </c>
      <c r="D64" s="742">
        <f t="shared" ref="D64:D70" si="39">IF(OR((C64/M64)&gt;3,(C64/M64)&lt;-3),"n.m.",(C64/M64))</f>
        <v>-1.1314090181577349E-2</v>
      </c>
      <c r="E64" s="88"/>
      <c r="F64" s="745"/>
      <c r="G64" s="745"/>
      <c r="H64" s="745"/>
      <c r="I64" s="28">
        <v>17914</v>
      </c>
      <c r="J64" s="745">
        <v>15889</v>
      </c>
      <c r="K64" s="745">
        <v>16583</v>
      </c>
      <c r="L64" s="745">
        <v>17058</v>
      </c>
      <c r="M64" s="28">
        <v>18119</v>
      </c>
      <c r="N64" s="31">
        <v>11991</v>
      </c>
      <c r="O64" s="687">
        <v>11693</v>
      </c>
      <c r="P64" s="231">
        <v>11987</v>
      </c>
      <c r="Q64" s="28">
        <v>12758</v>
      </c>
      <c r="R64" s="31">
        <v>15209</v>
      </c>
      <c r="S64" s="231">
        <v>15284</v>
      </c>
      <c r="T64" s="31">
        <v>13899</v>
      </c>
      <c r="U64" s="28">
        <v>13805</v>
      </c>
      <c r="V64" s="31">
        <v>10539</v>
      </c>
      <c r="W64" s="231">
        <v>10095</v>
      </c>
      <c r="X64" s="31">
        <v>10597</v>
      </c>
      <c r="Y64" s="28">
        <v>11230</v>
      </c>
      <c r="Z64" s="31">
        <v>11862</v>
      </c>
      <c r="AA64" s="231">
        <v>10791</v>
      </c>
      <c r="AB64" s="28">
        <v>13600</v>
      </c>
      <c r="AC64" s="28">
        <v>12602</v>
      </c>
      <c r="AD64" s="368">
        <v>29584</v>
      </c>
      <c r="AE64" s="146"/>
      <c r="AF64" s="146"/>
      <c r="AG64" s="7"/>
      <c r="AH64" s="146"/>
      <c r="AI64" s="7"/>
      <c r="AJ64" s="7"/>
      <c r="AK64" s="146"/>
      <c r="AL64" s="88"/>
      <c r="AM64" s="327">
        <f t="shared" ref="AM64:AM69" si="40">SUM(K64:M64)</f>
        <v>51760</v>
      </c>
      <c r="AN64" s="327">
        <f t="shared" ref="AN64:AN69" si="41">SUM(O64:Q64)</f>
        <v>36438</v>
      </c>
      <c r="AO64" s="587">
        <f t="shared" ref="AO64:AO70" si="42">AR64-AS64</f>
        <v>19220</v>
      </c>
      <c r="AP64" s="578">
        <f>IF(OR((AO64/AS64)&gt;3,(AO64/AS64)&lt;-3),"n.m.",(AO64/AS64))</f>
        <v>0.39686964422143756</v>
      </c>
      <c r="AQ64" s="146"/>
      <c r="AR64" s="561">
        <f t="shared" ref="AR64:AR69" si="43">SUM(J64:M64)</f>
        <v>67649</v>
      </c>
      <c r="AS64" s="561">
        <f t="shared" ref="AS64:AS69" si="44">SUM(N64:Q64)</f>
        <v>48429</v>
      </c>
      <c r="AT64" s="565">
        <v>58197</v>
      </c>
      <c r="AU64" s="43">
        <v>42461</v>
      </c>
      <c r="AV64" s="43">
        <v>48855</v>
      </c>
      <c r="AW64" s="43">
        <v>47101</v>
      </c>
      <c r="AX64" s="43">
        <v>46312</v>
      </c>
      <c r="AY64" s="43">
        <v>20817</v>
      </c>
      <c r="AZ64" s="31"/>
      <c r="BA64" s="31"/>
      <c r="BB64" s="25"/>
      <c r="BC64" s="3"/>
      <c r="BD64" s="3"/>
      <c r="BG64" s="3"/>
    </row>
    <row r="65" spans="1:59" ht="12.75" customHeight="1" x14ac:dyDescent="0.2">
      <c r="A65" s="82"/>
      <c r="B65" s="7" t="s">
        <v>65</v>
      </c>
      <c r="C65" s="83">
        <f t="shared" si="38"/>
        <v>9051</v>
      </c>
      <c r="D65" s="742">
        <f t="shared" si="39"/>
        <v>2.2919726513041274</v>
      </c>
      <c r="E65" s="88"/>
      <c r="F65" s="745"/>
      <c r="G65" s="745"/>
      <c r="H65" s="745"/>
      <c r="I65" s="28">
        <v>13000</v>
      </c>
      <c r="J65" s="745">
        <v>9784</v>
      </c>
      <c r="K65" s="745">
        <v>3629</v>
      </c>
      <c r="L65" s="745">
        <v>6842</v>
      </c>
      <c r="M65" s="28">
        <v>3949</v>
      </c>
      <c r="N65" s="31">
        <v>3942</v>
      </c>
      <c r="O65" s="687">
        <v>5342</v>
      </c>
      <c r="P65" s="231">
        <v>4651</v>
      </c>
      <c r="Q65" s="28">
        <v>11486</v>
      </c>
      <c r="R65" s="31">
        <v>11091</v>
      </c>
      <c r="S65" s="231">
        <v>15764</v>
      </c>
      <c r="T65" s="31">
        <v>6218</v>
      </c>
      <c r="U65" s="28">
        <v>9888</v>
      </c>
      <c r="V65" s="31">
        <v>4688</v>
      </c>
      <c r="W65" s="231">
        <v>11947</v>
      </c>
      <c r="X65" s="31">
        <v>8461</v>
      </c>
      <c r="Y65" s="28">
        <v>12184</v>
      </c>
      <c r="Z65" s="31">
        <v>2110</v>
      </c>
      <c r="AA65" s="231">
        <v>74</v>
      </c>
      <c r="AB65" s="28">
        <v>2233</v>
      </c>
      <c r="AC65" s="28">
        <v>8627</v>
      </c>
      <c r="AD65" s="368">
        <v>68274</v>
      </c>
      <c r="AE65" s="146">
        <v>0</v>
      </c>
      <c r="AF65" s="146">
        <v>0</v>
      </c>
      <c r="AG65" s="7">
        <v>0</v>
      </c>
      <c r="AH65" s="146">
        <v>0</v>
      </c>
      <c r="AI65" s="7">
        <v>0</v>
      </c>
      <c r="AJ65" s="7">
        <v>0</v>
      </c>
      <c r="AK65" s="146">
        <v>0</v>
      </c>
      <c r="AL65" s="88"/>
      <c r="AM65" s="327">
        <f t="shared" si="40"/>
        <v>14420</v>
      </c>
      <c r="AN65" s="327">
        <f t="shared" si="41"/>
        <v>21479</v>
      </c>
      <c r="AO65" s="581">
        <f t="shared" si="42"/>
        <v>-1217</v>
      </c>
      <c r="AP65" s="578">
        <f>IF(OR((AO65/AS65)&gt;3,(AO65/AS65)&lt;-3),"n.m.",(AO65/AS65))</f>
        <v>-4.7873805121749734E-2</v>
      </c>
      <c r="AQ65" s="146"/>
      <c r="AR65" s="561">
        <f t="shared" si="43"/>
        <v>24204</v>
      </c>
      <c r="AS65" s="561">
        <f t="shared" si="44"/>
        <v>25421</v>
      </c>
      <c r="AT65" s="565">
        <v>42961</v>
      </c>
      <c r="AU65" s="43">
        <v>37280</v>
      </c>
      <c r="AV65" s="43">
        <v>13044</v>
      </c>
      <c r="AW65" s="43">
        <v>34077</v>
      </c>
      <c r="AX65" s="43">
        <v>20909</v>
      </c>
      <c r="AY65" s="43">
        <f>7416-4509</f>
        <v>2907</v>
      </c>
      <c r="AZ65" s="31"/>
      <c r="BA65" s="31"/>
      <c r="BB65" s="25"/>
      <c r="BC65" s="3"/>
      <c r="BD65" s="3"/>
      <c r="BG65" s="3"/>
    </row>
    <row r="66" spans="1:59" ht="12.75" customHeight="1" x14ac:dyDescent="0.2">
      <c r="A66" s="82"/>
      <c r="B66" s="7" t="s">
        <v>213</v>
      </c>
      <c r="C66" s="83">
        <f t="shared" si="38"/>
        <v>3005</v>
      </c>
      <c r="D66" s="742">
        <f t="shared" si="39"/>
        <v>0.8351862145636465</v>
      </c>
      <c r="E66" s="88"/>
      <c r="F66" s="754"/>
      <c r="G66" s="754"/>
      <c r="H66" s="754"/>
      <c r="I66" s="28">
        <v>6603</v>
      </c>
      <c r="J66" s="754">
        <v>6074</v>
      </c>
      <c r="K66" s="754">
        <v>5988</v>
      </c>
      <c r="L66" s="754">
        <v>5624</v>
      </c>
      <c r="M66" s="28">
        <v>3598</v>
      </c>
      <c r="N66" s="31">
        <v>1320</v>
      </c>
      <c r="O66" s="31">
        <v>838</v>
      </c>
      <c r="P66" s="31">
        <v>1962</v>
      </c>
      <c r="Q66" s="28">
        <v>2960</v>
      </c>
      <c r="R66" s="31">
        <v>2860</v>
      </c>
      <c r="S66" s="31">
        <v>2926</v>
      </c>
      <c r="T66" s="31">
        <v>740</v>
      </c>
      <c r="U66" s="28">
        <v>3062</v>
      </c>
      <c r="V66" s="31">
        <v>4933</v>
      </c>
      <c r="W66" s="31">
        <v>1525</v>
      </c>
      <c r="X66" s="31">
        <v>11768</v>
      </c>
      <c r="Y66" s="28">
        <v>3665</v>
      </c>
      <c r="Z66" s="31">
        <v>3141</v>
      </c>
      <c r="AA66" s="31">
        <v>5516</v>
      </c>
      <c r="AB66" s="28">
        <v>2314</v>
      </c>
      <c r="AC66" s="28">
        <v>4200</v>
      </c>
      <c r="AD66" s="368"/>
      <c r="AE66" s="146"/>
      <c r="AF66" s="146"/>
      <c r="AG66" s="7"/>
      <c r="AH66" s="146"/>
      <c r="AI66" s="7"/>
      <c r="AJ66" s="7"/>
      <c r="AK66" s="146"/>
      <c r="AL66" s="88"/>
      <c r="AM66" s="327">
        <f t="shared" si="40"/>
        <v>15210</v>
      </c>
      <c r="AN66" s="327">
        <f t="shared" si="41"/>
        <v>5760</v>
      </c>
      <c r="AO66" s="581">
        <f t="shared" si="42"/>
        <v>14204</v>
      </c>
      <c r="AP66" s="578">
        <f>IF(OR((AO66/AS66)&gt;3,(AO66/AS66)&lt;-3),"n.m.",(AO66/AS66))</f>
        <v>2.0062146892655366</v>
      </c>
      <c r="AQ66" s="146"/>
      <c r="AR66" s="561">
        <f t="shared" si="43"/>
        <v>21284</v>
      </c>
      <c r="AS66" s="561">
        <f t="shared" si="44"/>
        <v>7080</v>
      </c>
      <c r="AT66" s="565">
        <v>9588</v>
      </c>
      <c r="AU66" s="43">
        <v>21891</v>
      </c>
      <c r="AV66" s="43">
        <v>15171</v>
      </c>
      <c r="AW66" s="43">
        <v>11589</v>
      </c>
      <c r="AX66" s="43">
        <v>12740</v>
      </c>
      <c r="AY66" s="43">
        <v>4509</v>
      </c>
      <c r="AZ66" s="31"/>
      <c r="BA66" s="31"/>
      <c r="BB66" s="25"/>
      <c r="BC66" s="3"/>
      <c r="BD66" s="3"/>
      <c r="BG66" s="3"/>
    </row>
    <row r="67" spans="1:59" ht="12.75" customHeight="1" x14ac:dyDescent="0.2">
      <c r="A67" s="82"/>
      <c r="B67" s="7" t="s">
        <v>66</v>
      </c>
      <c r="C67" s="83">
        <f t="shared" si="38"/>
        <v>9066</v>
      </c>
      <c r="D67" s="742">
        <f t="shared" si="39"/>
        <v>1.6677704194260485</v>
      </c>
      <c r="E67" s="88"/>
      <c r="F67" s="754"/>
      <c r="G67" s="754"/>
      <c r="H67" s="754"/>
      <c r="I67" s="28">
        <v>14502</v>
      </c>
      <c r="J67" s="754">
        <v>13382</v>
      </c>
      <c r="K67" s="754">
        <v>11455</v>
      </c>
      <c r="L67" s="754">
        <v>9853</v>
      </c>
      <c r="M67" s="28">
        <v>5436</v>
      </c>
      <c r="N67" s="31">
        <v>1678</v>
      </c>
      <c r="O67" s="31">
        <v>0</v>
      </c>
      <c r="P67" s="31">
        <v>0</v>
      </c>
      <c r="Q67" s="28">
        <v>0</v>
      </c>
      <c r="R67" s="31">
        <v>0</v>
      </c>
      <c r="S67" s="31">
        <v>0</v>
      </c>
      <c r="T67" s="31">
        <v>0</v>
      </c>
      <c r="U67" s="28">
        <v>0</v>
      </c>
      <c r="V67" s="31">
        <v>0</v>
      </c>
      <c r="W67" s="31">
        <v>0</v>
      </c>
      <c r="X67" s="31">
        <v>0</v>
      </c>
      <c r="Y67" s="28">
        <v>0</v>
      </c>
      <c r="Z67" s="31">
        <v>1</v>
      </c>
      <c r="AA67" s="231">
        <v>-1</v>
      </c>
      <c r="AB67" s="28">
        <v>0</v>
      </c>
      <c r="AC67" s="28">
        <v>0</v>
      </c>
      <c r="AD67" s="368">
        <v>5363</v>
      </c>
      <c r="AE67" s="146"/>
      <c r="AF67" s="146"/>
      <c r="AG67" s="7"/>
      <c r="AH67" s="146"/>
      <c r="AI67" s="7"/>
      <c r="AJ67" s="7"/>
      <c r="AK67" s="146"/>
      <c r="AL67" s="88"/>
      <c r="AM67" s="31">
        <f t="shared" si="40"/>
        <v>26744</v>
      </c>
      <c r="AN67" s="31">
        <f t="shared" si="41"/>
        <v>0</v>
      </c>
      <c r="AO67" s="581">
        <f t="shared" si="42"/>
        <v>38448</v>
      </c>
      <c r="AP67" s="485" t="s">
        <v>42</v>
      </c>
      <c r="AQ67" s="146"/>
      <c r="AR67" s="561">
        <f t="shared" si="43"/>
        <v>40126</v>
      </c>
      <c r="AS67" s="561">
        <f t="shared" si="44"/>
        <v>1678</v>
      </c>
      <c r="AT67" s="565">
        <v>0</v>
      </c>
      <c r="AU67" s="43">
        <v>0</v>
      </c>
      <c r="AV67" s="43">
        <v>0</v>
      </c>
      <c r="AW67" s="43">
        <v>0</v>
      </c>
      <c r="AX67" s="43">
        <v>-1634</v>
      </c>
      <c r="AY67" s="43">
        <v>-1266</v>
      </c>
      <c r="AZ67" s="31"/>
      <c r="BA67" s="31"/>
      <c r="BB67" s="25"/>
      <c r="BC67" s="3"/>
      <c r="BD67" s="3"/>
      <c r="BG67" s="3"/>
    </row>
    <row r="68" spans="1:59" ht="12.75" customHeight="1" x14ac:dyDescent="0.2">
      <c r="A68" s="82"/>
      <c r="B68" s="7" t="s">
        <v>67</v>
      </c>
      <c r="C68" s="83">
        <f t="shared" si="38"/>
        <v>137</v>
      </c>
      <c r="D68" s="742">
        <f t="shared" si="39"/>
        <v>0.40412979351032446</v>
      </c>
      <c r="E68" s="88"/>
      <c r="F68" s="745"/>
      <c r="G68" s="745"/>
      <c r="H68" s="745"/>
      <c r="I68" s="28">
        <v>476</v>
      </c>
      <c r="J68" s="745">
        <v>420</v>
      </c>
      <c r="K68" s="745">
        <v>461</v>
      </c>
      <c r="L68" s="745">
        <v>399</v>
      </c>
      <c r="M68" s="28">
        <v>339</v>
      </c>
      <c r="N68" s="31">
        <v>25</v>
      </c>
      <c r="O68" s="687">
        <v>13</v>
      </c>
      <c r="P68" s="231">
        <v>16</v>
      </c>
      <c r="Q68" s="28">
        <v>19</v>
      </c>
      <c r="R68" s="31">
        <v>29</v>
      </c>
      <c r="S68" s="231">
        <v>18</v>
      </c>
      <c r="T68" s="31">
        <v>17</v>
      </c>
      <c r="U68" s="28">
        <v>17</v>
      </c>
      <c r="V68" s="31">
        <v>-66</v>
      </c>
      <c r="W68" s="231">
        <v>-778</v>
      </c>
      <c r="X68" s="31">
        <v>-794</v>
      </c>
      <c r="Y68" s="28">
        <v>-17</v>
      </c>
      <c r="Z68" s="31">
        <v>29</v>
      </c>
      <c r="AA68" s="231">
        <v>67</v>
      </c>
      <c r="AB68" s="28">
        <v>101</v>
      </c>
      <c r="AC68" s="28">
        <v>145</v>
      </c>
      <c r="AD68" s="368">
        <v>1512</v>
      </c>
      <c r="AE68" s="146"/>
      <c r="AF68" s="146"/>
      <c r="AG68" s="7"/>
      <c r="AH68" s="146"/>
      <c r="AI68" s="7"/>
      <c r="AJ68" s="7"/>
      <c r="AK68" s="146"/>
      <c r="AL68" s="88"/>
      <c r="AM68" s="327">
        <f t="shared" si="40"/>
        <v>1199</v>
      </c>
      <c r="AN68" s="327">
        <f t="shared" si="41"/>
        <v>48</v>
      </c>
      <c r="AO68" s="581">
        <f t="shared" si="42"/>
        <v>1546</v>
      </c>
      <c r="AP68" s="485" t="str">
        <f>IF(OR((AO68/AS68)&gt;3,(AO68/AS68)&lt;-3),"n.m.",(AO68/AS68))</f>
        <v>n.m.</v>
      </c>
      <c r="AQ68" s="146"/>
      <c r="AR68" s="561">
        <f t="shared" si="43"/>
        <v>1619</v>
      </c>
      <c r="AS68" s="561">
        <f t="shared" si="44"/>
        <v>73</v>
      </c>
      <c r="AT68" s="565">
        <v>81</v>
      </c>
      <c r="AU68" s="43">
        <v>-1655</v>
      </c>
      <c r="AV68" s="43">
        <v>342</v>
      </c>
      <c r="AW68" s="43">
        <v>1092</v>
      </c>
      <c r="AX68" s="43">
        <v>1750</v>
      </c>
      <c r="AY68" s="43">
        <f>1146-8255</f>
        <v>-7109</v>
      </c>
      <c r="AZ68" s="31"/>
      <c r="BA68" s="31"/>
      <c r="BB68" s="25"/>
      <c r="BC68" s="3"/>
      <c r="BD68" s="3"/>
      <c r="BG68" s="3"/>
    </row>
    <row r="69" spans="1:59" ht="12.75" customHeight="1" x14ac:dyDescent="0.2">
      <c r="A69" s="190"/>
      <c r="B69" s="7" t="s">
        <v>68</v>
      </c>
      <c r="C69" s="83">
        <f t="shared" si="38"/>
        <v>653</v>
      </c>
      <c r="D69" s="742">
        <f t="shared" si="39"/>
        <v>2.5810276679841899</v>
      </c>
      <c r="E69" s="534"/>
      <c r="F69" s="745"/>
      <c r="G69" s="745"/>
      <c r="H69" s="745"/>
      <c r="I69" s="28">
        <v>906</v>
      </c>
      <c r="J69" s="745">
        <v>139</v>
      </c>
      <c r="K69" s="745">
        <v>79</v>
      </c>
      <c r="L69" s="745">
        <v>232</v>
      </c>
      <c r="M69" s="28">
        <v>253</v>
      </c>
      <c r="N69" s="31">
        <v>321</v>
      </c>
      <c r="O69" s="687">
        <v>117</v>
      </c>
      <c r="P69" s="231">
        <v>-30</v>
      </c>
      <c r="Q69" s="28">
        <v>-28</v>
      </c>
      <c r="R69" s="31">
        <v>9</v>
      </c>
      <c r="S69" s="231">
        <v>181</v>
      </c>
      <c r="T69" s="31">
        <v>219</v>
      </c>
      <c r="U69" s="28">
        <v>-66</v>
      </c>
      <c r="V69" s="31">
        <v>190</v>
      </c>
      <c r="W69" s="231">
        <v>28</v>
      </c>
      <c r="X69" s="31">
        <v>105</v>
      </c>
      <c r="Y69" s="28">
        <v>117</v>
      </c>
      <c r="Z69" s="31">
        <v>69</v>
      </c>
      <c r="AA69" s="231">
        <v>86</v>
      </c>
      <c r="AB69" s="28">
        <v>36</v>
      </c>
      <c r="AC69" s="28">
        <v>47</v>
      </c>
      <c r="AD69" s="370">
        <v>60</v>
      </c>
      <c r="AE69" s="15"/>
      <c r="AF69" s="15"/>
      <c r="AG69" s="15"/>
      <c r="AH69" s="15"/>
      <c r="AI69" s="15"/>
      <c r="AJ69" s="15"/>
      <c r="AK69" s="15"/>
      <c r="AL69" s="88"/>
      <c r="AM69" s="327">
        <f t="shared" si="40"/>
        <v>564</v>
      </c>
      <c r="AN69" s="327">
        <f t="shared" si="41"/>
        <v>59</v>
      </c>
      <c r="AO69" s="582">
        <f t="shared" si="42"/>
        <v>323</v>
      </c>
      <c r="AP69" s="485">
        <f>IF(OR((AO69/AS69)&gt;3,(AO69/AS69)&lt;-3),"n.m.",(AO69/AS69))</f>
        <v>0.85</v>
      </c>
      <c r="AQ69" s="82"/>
      <c r="AR69" s="561">
        <f t="shared" si="43"/>
        <v>703</v>
      </c>
      <c r="AS69" s="561">
        <f t="shared" si="44"/>
        <v>380</v>
      </c>
      <c r="AT69" s="565">
        <v>343</v>
      </c>
      <c r="AU69" s="43">
        <v>440</v>
      </c>
      <c r="AV69" s="43">
        <v>238</v>
      </c>
      <c r="AW69" s="43">
        <v>345</v>
      </c>
      <c r="AX69" s="43">
        <v>596</v>
      </c>
      <c r="AY69" s="43">
        <v>103</v>
      </c>
      <c r="AZ69" s="31"/>
      <c r="BA69" s="31"/>
      <c r="BB69" s="25"/>
      <c r="BC69" s="3"/>
      <c r="BD69" s="3"/>
      <c r="BG69" s="3"/>
    </row>
    <row r="70" spans="1:59" ht="12.75" customHeight="1" x14ac:dyDescent="0.2">
      <c r="A70" s="190"/>
      <c r="B70" s="7"/>
      <c r="C70" s="507">
        <f t="shared" si="38"/>
        <v>21707</v>
      </c>
      <c r="D70" s="508">
        <f t="shared" si="39"/>
        <v>0.68489303969205528</v>
      </c>
      <c r="E70" s="24"/>
      <c r="F70" s="330">
        <f>SUM(F64:F69)</f>
        <v>0</v>
      </c>
      <c r="G70" s="330">
        <f>SUM(G64:G69)</f>
        <v>0</v>
      </c>
      <c r="H70" s="330">
        <f>SUM(H64:H69)</f>
        <v>0</v>
      </c>
      <c r="I70" s="510">
        <f>SUM(I64:I69)</f>
        <v>53401</v>
      </c>
      <c r="J70" s="330">
        <f t="shared" ref="J70:O70" si="45">SUM(J64:J69)</f>
        <v>45688</v>
      </c>
      <c r="K70" s="330">
        <f t="shared" si="45"/>
        <v>38195</v>
      </c>
      <c r="L70" s="330">
        <f t="shared" si="45"/>
        <v>40008</v>
      </c>
      <c r="M70" s="510">
        <f t="shared" si="45"/>
        <v>31694</v>
      </c>
      <c r="N70" s="330">
        <f t="shared" si="45"/>
        <v>19277</v>
      </c>
      <c r="O70" s="330">
        <f t="shared" si="45"/>
        <v>18003</v>
      </c>
      <c r="P70" s="330">
        <f>SUM(P64:P69)</f>
        <v>18586</v>
      </c>
      <c r="Q70" s="510">
        <f>SUM(Q64:Q69)</f>
        <v>27195</v>
      </c>
      <c r="R70" s="330">
        <v>29198</v>
      </c>
      <c r="S70" s="330">
        <v>34173</v>
      </c>
      <c r="T70" s="330">
        <v>21093</v>
      </c>
      <c r="U70" s="510">
        <v>26706</v>
      </c>
      <c r="V70" s="330">
        <v>20284</v>
      </c>
      <c r="W70" s="330">
        <v>22817</v>
      </c>
      <c r="X70" s="330">
        <v>30137</v>
      </c>
      <c r="Y70" s="510">
        <v>27179</v>
      </c>
      <c r="Z70" s="329">
        <v>17212</v>
      </c>
      <c r="AA70" s="330">
        <v>16533</v>
      </c>
      <c r="AB70" s="510">
        <v>18284</v>
      </c>
      <c r="AC70" s="510">
        <v>25621</v>
      </c>
      <c r="AD70" s="510">
        <v>104793</v>
      </c>
      <c r="AE70" s="2">
        <v>0</v>
      </c>
      <c r="AF70" s="2">
        <v>0</v>
      </c>
      <c r="AG70" s="2">
        <v>0</v>
      </c>
      <c r="AH70" s="2">
        <v>0</v>
      </c>
      <c r="AI70" s="2">
        <v>0</v>
      </c>
      <c r="AJ70" s="2">
        <v>0</v>
      </c>
      <c r="AK70" s="2">
        <v>0</v>
      </c>
      <c r="AL70" s="88"/>
      <c r="AM70" s="330">
        <f>SUM(AM64:AM69)</f>
        <v>109897</v>
      </c>
      <c r="AN70" s="330">
        <f>SUM(AN64:AN69)</f>
        <v>63784</v>
      </c>
      <c r="AO70" s="583">
        <f t="shared" si="42"/>
        <v>72524</v>
      </c>
      <c r="AP70" s="576">
        <f>AO70/AS70</f>
        <v>0.87314142618075874</v>
      </c>
      <c r="AQ70">
        <v>0</v>
      </c>
      <c r="AR70" s="567">
        <f>SUM(AR64:AR69)</f>
        <v>155585</v>
      </c>
      <c r="AS70" s="567">
        <f>SUM(AS64:AS69)</f>
        <v>83061</v>
      </c>
      <c r="AT70" s="567">
        <v>111170</v>
      </c>
      <c r="AU70" s="329">
        <v>100417</v>
      </c>
      <c r="AV70" s="509">
        <v>77650</v>
      </c>
      <c r="AW70" s="512">
        <v>94204</v>
      </c>
      <c r="AX70" s="513">
        <v>80673</v>
      </c>
      <c r="AY70" s="171">
        <f>SUM(AY64:AY69)</f>
        <v>19961</v>
      </c>
      <c r="AZ70" s="31"/>
      <c r="BA70" s="31"/>
      <c r="BB70" s="25"/>
      <c r="BC70" s="3"/>
      <c r="BD70" s="3"/>
      <c r="BG70" s="3"/>
    </row>
    <row r="71" spans="1:59" s="613" customFormat="1" ht="12.75" customHeight="1" x14ac:dyDescent="0.2">
      <c r="A71" s="190"/>
      <c r="B71" s="7"/>
      <c r="C71" s="397"/>
      <c r="D71" s="339"/>
      <c r="E71" s="24"/>
      <c r="F71" s="337"/>
      <c r="G71" s="337"/>
      <c r="H71" s="337"/>
      <c r="I71" s="638"/>
      <c r="J71" s="337"/>
      <c r="K71" s="337"/>
      <c r="L71" s="337"/>
      <c r="M71" s="638"/>
      <c r="N71" s="227"/>
      <c r="O71" s="337"/>
      <c r="P71" s="337"/>
      <c r="Q71" s="638"/>
      <c r="R71" s="227"/>
      <c r="S71" s="337"/>
      <c r="T71" s="337"/>
      <c r="U71" s="638"/>
      <c r="V71" s="227"/>
      <c r="W71" s="638"/>
      <c r="X71" s="638"/>
      <c r="Y71" s="638"/>
      <c r="Z71" s="327"/>
      <c r="AA71" s="327"/>
      <c r="AB71" s="327"/>
      <c r="AC71" s="327"/>
      <c r="AD71" s="327"/>
      <c r="AE71" s="2"/>
      <c r="AF71" s="2"/>
      <c r="AG71" s="2"/>
      <c r="AH71" s="2"/>
      <c r="AI71" s="2"/>
      <c r="AJ71" s="2"/>
      <c r="AK71" s="2"/>
      <c r="AL71" s="24"/>
      <c r="AM71" s="17"/>
      <c r="AN71" s="18"/>
      <c r="AO71" s="656"/>
      <c r="AP71" s="470"/>
      <c r="AR71" s="639"/>
      <c r="AS71" s="639"/>
      <c r="AT71" s="639"/>
      <c r="AU71" s="639"/>
      <c r="AV71" s="437"/>
      <c r="AW71" s="639"/>
      <c r="AX71" s="639"/>
      <c r="AY71" s="210"/>
      <c r="AZ71" s="143"/>
      <c r="BA71" s="143"/>
      <c r="BB71" s="25"/>
    </row>
    <row r="72" spans="1:59" s="613" customFormat="1" ht="13.5" customHeight="1" x14ac:dyDescent="0.2">
      <c r="A72" s="190"/>
      <c r="B72" s="7" t="s">
        <v>323</v>
      </c>
      <c r="C72" s="152">
        <f>I72-M72</f>
        <v>289</v>
      </c>
      <c r="D72" s="153">
        <f>-IF(OR((C72/M72)&gt;3,(C72/M72)&lt;-3),"n.m.",(C72/M72))</f>
        <v>0.23212851405622489</v>
      </c>
      <c r="E72" s="24"/>
      <c r="F72" s="335"/>
      <c r="G72" s="335"/>
      <c r="H72" s="335"/>
      <c r="I72" s="370">
        <v>-956</v>
      </c>
      <c r="J72" s="335">
        <v>-541</v>
      </c>
      <c r="K72" s="335">
        <v>-674</v>
      </c>
      <c r="L72" s="335">
        <v>-320</v>
      </c>
      <c r="M72" s="370">
        <v>-1245</v>
      </c>
      <c r="N72" s="226">
        <v>-1385</v>
      </c>
      <c r="O72" s="335">
        <v>-1519</v>
      </c>
      <c r="P72" s="335">
        <v>-1327</v>
      </c>
      <c r="Q72" s="370">
        <v>-1714</v>
      </c>
      <c r="R72" s="226">
        <v>-1639</v>
      </c>
      <c r="S72" s="335">
        <v>-1628</v>
      </c>
      <c r="T72" s="335">
        <v>-1323</v>
      </c>
      <c r="U72" s="370">
        <v>-1323</v>
      </c>
      <c r="V72" s="640" t="s">
        <v>186</v>
      </c>
      <c r="W72" s="641" t="s">
        <v>186</v>
      </c>
      <c r="X72" s="641" t="s">
        <v>186</v>
      </c>
      <c r="Y72" s="641" t="s">
        <v>186</v>
      </c>
      <c r="Z72" s="642"/>
      <c r="AA72" s="642"/>
      <c r="AB72" s="642"/>
      <c r="AC72" s="642"/>
      <c r="AD72" s="642"/>
      <c r="AE72" s="643"/>
      <c r="AF72" s="643"/>
      <c r="AG72" s="643"/>
      <c r="AH72" s="643"/>
      <c r="AI72" s="643"/>
      <c r="AJ72" s="643"/>
      <c r="AK72" s="643"/>
      <c r="AL72" s="696"/>
      <c r="AM72" s="226">
        <f>+SUM(K72:M72)</f>
        <v>-2239</v>
      </c>
      <c r="AN72" s="335">
        <f>SUM(O72:Q72)</f>
        <v>-4560</v>
      </c>
      <c r="AO72" s="657">
        <f>AR72-AS72</f>
        <v>3165</v>
      </c>
      <c r="AP72" s="580">
        <f>-IF(OR((AO72/AS72)&gt;3,(AO72/AS72)&lt;-3),"n.m.",(AO72/AS72))</f>
        <v>0.53238015138772077</v>
      </c>
      <c r="AQ72" s="97"/>
      <c r="AR72" s="644">
        <f>SUM(J72:M72)</f>
        <v>-2780</v>
      </c>
      <c r="AS72" s="644">
        <f>SUM(N72:Q72)</f>
        <v>-5945</v>
      </c>
      <c r="AT72" s="644">
        <f>SUM(R72:U72)</f>
        <v>-5913</v>
      </c>
      <c r="AU72" s="644" t="s">
        <v>186</v>
      </c>
      <c r="AV72" s="645" t="s">
        <v>186</v>
      </c>
      <c r="AW72" s="644" t="s">
        <v>186</v>
      </c>
      <c r="AX72" s="644" t="s">
        <v>186</v>
      </c>
      <c r="AY72" s="210"/>
      <c r="AZ72" s="143"/>
      <c r="BA72" s="143"/>
    </row>
    <row r="73" spans="1:59" s="613" customFormat="1" ht="12.75" customHeight="1" x14ac:dyDescent="0.2">
      <c r="B73" s="13"/>
      <c r="C73" s="13"/>
      <c r="D73" s="13"/>
      <c r="E73" s="13"/>
      <c r="F73" s="13"/>
      <c r="G73" s="13"/>
      <c r="H73" s="13"/>
      <c r="I73" s="15"/>
      <c r="J73" s="13"/>
      <c r="K73" s="13"/>
      <c r="L73" s="13"/>
      <c r="M73" s="15"/>
      <c r="N73" s="13"/>
      <c r="O73" s="13"/>
      <c r="P73" s="13"/>
      <c r="Q73" s="15"/>
      <c r="R73" s="13"/>
      <c r="S73" s="13"/>
      <c r="T73" s="13"/>
      <c r="U73" s="15"/>
      <c r="V73" s="13"/>
      <c r="W73" s="13"/>
      <c r="X73" s="13"/>
      <c r="Y73" s="15"/>
      <c r="Z73" s="13"/>
      <c r="AA73" s="13"/>
      <c r="AB73" s="13"/>
      <c r="AC73" s="15"/>
      <c r="AD73" s="15"/>
      <c r="AE73" s="15"/>
      <c r="AF73" s="15"/>
      <c r="AG73" s="15"/>
      <c r="AH73" s="15"/>
      <c r="AI73" s="15"/>
      <c r="AJ73" s="15"/>
      <c r="AK73" s="15"/>
      <c r="AL73" s="3"/>
      <c r="AM73" s="327"/>
      <c r="AN73" s="3"/>
      <c r="AR73" s="721"/>
      <c r="AW73" s="2"/>
      <c r="AX73" s="2"/>
      <c r="BB73" s="3"/>
      <c r="BC73" s="3"/>
    </row>
    <row r="74" spans="1:59" ht="12.75" customHeight="1" x14ac:dyDescent="0.2">
      <c r="A74" s="7" t="s">
        <v>339</v>
      </c>
      <c r="B74" s="13"/>
      <c r="C74" s="252"/>
      <c r="D74" s="252"/>
      <c r="E74" s="252"/>
      <c r="F74" s="252"/>
      <c r="G74" s="252"/>
      <c r="H74" s="252"/>
      <c r="I74" s="2"/>
      <c r="J74" s="252"/>
      <c r="K74" s="252"/>
      <c r="L74" s="252"/>
      <c r="M74" s="2"/>
      <c r="N74" s="252"/>
      <c r="O74" s="252"/>
      <c r="P74" s="252"/>
      <c r="Q74" s="2"/>
      <c r="R74" s="252"/>
      <c r="S74" s="252"/>
      <c r="T74" s="252"/>
      <c r="U74" s="2"/>
      <c r="V74" s="252"/>
      <c r="W74" s="252"/>
      <c r="X74" s="252"/>
      <c r="Y74" s="2"/>
      <c r="Z74" s="252"/>
      <c r="AA74" s="252"/>
      <c r="AB74" s="252"/>
      <c r="AC74" s="2"/>
      <c r="AG74" s="2"/>
      <c r="AI74" s="2"/>
      <c r="AJ74" s="2"/>
      <c r="AK74" s="253"/>
      <c r="AL74" s="240"/>
      <c r="AM74" s="327"/>
      <c r="AN74" s="240"/>
      <c r="AO74" s="240"/>
      <c r="AP74" s="240"/>
      <c r="AQ74" s="242"/>
      <c r="AR74" s="240"/>
      <c r="AS74" s="240"/>
      <c r="AT74" s="240"/>
      <c r="AU74" s="242"/>
      <c r="AV74" s="242"/>
      <c r="BB74" s="3"/>
      <c r="BC74" s="3"/>
      <c r="BD74" s="3"/>
    </row>
    <row r="76" spans="1:59" x14ac:dyDescent="0.2">
      <c r="A76" s="3"/>
      <c r="B76" s="3"/>
      <c r="C76" s="240"/>
      <c r="D76" s="240"/>
      <c r="E76" s="240"/>
      <c r="F76" s="754"/>
      <c r="G76" s="754"/>
      <c r="H76" s="754"/>
      <c r="I76" s="754"/>
      <c r="J76" s="754"/>
      <c r="K76" s="754"/>
      <c r="L76" s="754"/>
      <c r="M76" s="754"/>
      <c r="N76" s="31"/>
      <c r="O76" s="31"/>
      <c r="P76" s="31"/>
      <c r="Q76" s="31"/>
      <c r="R76" s="754"/>
      <c r="S76" s="754"/>
      <c r="T76" s="754"/>
      <c r="U76" s="722"/>
      <c r="V76" s="722"/>
      <c r="W76" s="722"/>
      <c r="X76" s="722"/>
      <c r="Y76" s="722"/>
      <c r="Z76" s="722"/>
      <c r="AA76" s="722"/>
      <c r="AB76" s="722"/>
      <c r="AC76" s="722"/>
      <c r="AD76" s="722"/>
      <c r="AE76" s="722"/>
      <c r="AF76" s="722"/>
      <c r="AG76" s="722"/>
      <c r="AH76" s="722"/>
      <c r="AI76" s="722"/>
      <c r="AJ76" s="722"/>
      <c r="AK76" s="722"/>
      <c r="AL76" s="722"/>
      <c r="AM76" s="722"/>
      <c r="AN76" s="722"/>
      <c r="AO76" s="581"/>
      <c r="AP76" s="560"/>
      <c r="AQ76" s="722"/>
      <c r="AR76" s="881"/>
      <c r="AS76" s="881"/>
      <c r="AT76" s="552"/>
      <c r="AU76" s="722"/>
      <c r="AV76" s="722"/>
      <c r="AW76" s="722"/>
      <c r="AX76" s="722"/>
      <c r="AY76" s="754"/>
      <c r="AZ76" s="32"/>
      <c r="BA76" s="32"/>
      <c r="BB76" s="3"/>
      <c r="BC76" s="3"/>
      <c r="BD76" s="3"/>
    </row>
    <row r="77" spans="1:59" x14ac:dyDescent="0.2">
      <c r="C77" s="82"/>
      <c r="D77" s="82"/>
      <c r="E77" s="146"/>
      <c r="F77" s="725"/>
      <c r="G77" s="725"/>
      <c r="H77" s="725"/>
      <c r="I77" s="7"/>
      <c r="J77" s="725"/>
      <c r="K77" s="725"/>
      <c r="L77" s="725"/>
      <c r="M77" s="7"/>
      <c r="N77" s="146"/>
      <c r="O77" s="146"/>
      <c r="P77" s="146"/>
      <c r="Q77" s="7"/>
      <c r="R77" s="725"/>
      <c r="S77" s="725"/>
      <c r="T77" s="725"/>
      <c r="U77" s="7"/>
      <c r="V77" s="725"/>
      <c r="W77" s="725"/>
      <c r="X77" s="725"/>
      <c r="Y77" s="7"/>
      <c r="Z77" s="725"/>
      <c r="AA77" s="725"/>
      <c r="AB77" s="725"/>
      <c r="AC77" s="7"/>
      <c r="AD77" s="722"/>
      <c r="AE77" s="722"/>
      <c r="AF77" s="722"/>
      <c r="AG77" s="722"/>
      <c r="AH77" s="722"/>
      <c r="AI77" s="722"/>
      <c r="AJ77" s="722"/>
      <c r="AK77" s="754"/>
      <c r="AL77" s="725"/>
      <c r="AM77" s="725"/>
      <c r="AN77" s="725"/>
      <c r="AO77" s="559"/>
      <c r="AP77" s="559"/>
      <c r="AQ77" s="725"/>
      <c r="AR77" s="559"/>
      <c r="AS77" s="559"/>
      <c r="AT77" s="559"/>
      <c r="AU77" s="725"/>
      <c r="AV77" s="725"/>
      <c r="AW77" s="754"/>
      <c r="AX77" s="754"/>
      <c r="AY77" s="722"/>
      <c r="AZ77" s="722"/>
      <c r="BA77" s="722"/>
      <c r="BB77" s="3"/>
      <c r="BC77" s="3"/>
      <c r="BD77" s="3"/>
    </row>
    <row r="78" spans="1:59" x14ac:dyDescent="0.2">
      <c r="C78" s="82"/>
      <c r="D78" s="82"/>
      <c r="E78" s="146"/>
      <c r="F78" s="725"/>
      <c r="G78" s="725"/>
      <c r="H78" s="725"/>
      <c r="I78" s="721"/>
      <c r="J78" s="725"/>
      <c r="K78" s="725"/>
      <c r="L78" s="725"/>
      <c r="M78" s="721"/>
      <c r="N78" s="146"/>
      <c r="O78" s="146"/>
      <c r="P78" s="146"/>
      <c r="Q78"/>
      <c r="R78" s="725"/>
      <c r="S78" s="725"/>
      <c r="T78" s="725"/>
      <c r="U78" s="722"/>
      <c r="V78" s="725"/>
      <c r="W78" s="725"/>
      <c r="X78" s="725"/>
      <c r="Y78" s="722"/>
      <c r="Z78" s="725"/>
      <c r="AA78" s="725"/>
      <c r="AB78" s="725"/>
      <c r="AC78" s="722"/>
      <c r="AD78" s="722"/>
      <c r="AE78" s="722"/>
      <c r="AF78" s="722"/>
      <c r="AG78" s="722"/>
      <c r="AH78" s="722"/>
      <c r="AI78" s="722"/>
      <c r="AJ78" s="722"/>
      <c r="AK78" s="754"/>
      <c r="AL78" s="725"/>
      <c r="AM78" s="725"/>
      <c r="AN78" s="725"/>
      <c r="AO78" s="559"/>
      <c r="AP78" s="557"/>
      <c r="AQ78" s="725"/>
      <c r="AR78" s="559"/>
      <c r="AS78" s="559"/>
      <c r="AT78" s="559"/>
      <c r="AU78" s="725"/>
      <c r="AV78" s="725"/>
      <c r="AW78" s="754"/>
      <c r="AX78" s="754"/>
      <c r="AY78" s="722"/>
      <c r="AZ78" s="722"/>
      <c r="BA78" s="722"/>
    </row>
    <row r="79" spans="1:59" x14ac:dyDescent="0.2">
      <c r="C79" s="82"/>
      <c r="D79" s="82"/>
      <c r="E79" s="146"/>
      <c r="F79" s="725"/>
      <c r="G79" s="725"/>
      <c r="H79" s="725"/>
      <c r="I79" s="721"/>
      <c r="J79" s="725"/>
      <c r="K79" s="725"/>
      <c r="L79" s="725"/>
      <c r="M79" s="721"/>
      <c r="N79" s="146"/>
      <c r="O79" s="146"/>
      <c r="P79" s="146"/>
      <c r="Q79"/>
      <c r="R79" s="725"/>
      <c r="S79" s="725"/>
      <c r="T79" s="725"/>
      <c r="U79" s="722"/>
      <c r="V79" s="725"/>
      <c r="W79" s="725"/>
      <c r="X79" s="725"/>
      <c r="Y79" s="722"/>
      <c r="Z79" s="725"/>
      <c r="AA79" s="725"/>
      <c r="AB79" s="725"/>
      <c r="AC79" s="722"/>
      <c r="AD79" s="722"/>
      <c r="AE79" s="722"/>
      <c r="AF79" s="722"/>
      <c r="AG79" s="722"/>
      <c r="AH79" s="722"/>
      <c r="AI79" s="722"/>
      <c r="AJ79" s="722"/>
      <c r="AK79" s="754"/>
      <c r="AL79" s="725"/>
      <c r="AM79" s="725"/>
      <c r="AN79" s="725"/>
      <c r="AO79" s="559"/>
      <c r="AP79" s="559"/>
      <c r="AQ79" s="725"/>
      <c r="AR79" s="559"/>
      <c r="AS79" s="559"/>
      <c r="AT79" s="559"/>
      <c r="AU79" s="725"/>
      <c r="AV79" s="725"/>
      <c r="AW79" s="7"/>
      <c r="AX79" s="7"/>
      <c r="AY79" s="722"/>
      <c r="AZ79" s="722"/>
      <c r="BA79" s="722"/>
    </row>
    <row r="80" spans="1:59" x14ac:dyDescent="0.2">
      <c r="I80" s="721"/>
      <c r="M80" s="721"/>
      <c r="Q80"/>
      <c r="R80" s="722"/>
      <c r="S80" s="722"/>
      <c r="T80" s="722"/>
      <c r="U80" s="754"/>
      <c r="V80" s="754"/>
      <c r="W80" s="754"/>
      <c r="X80" s="754"/>
      <c r="Y80" s="754"/>
      <c r="Z80" s="754"/>
      <c r="AA80" s="754"/>
      <c r="AB80" s="754"/>
      <c r="AC80" s="754"/>
      <c r="AD80" s="754"/>
      <c r="AE80" s="754"/>
      <c r="AF80" s="754"/>
      <c r="AG80" s="754"/>
      <c r="AH80" s="754"/>
      <c r="AI80" s="754"/>
      <c r="AJ80" s="754"/>
      <c r="AK80" s="754"/>
      <c r="AL80" s="754"/>
      <c r="AM80" s="754"/>
      <c r="AN80" s="754"/>
      <c r="AO80" s="570"/>
      <c r="AP80" s="570"/>
      <c r="AQ80" s="754"/>
      <c r="AR80" s="570"/>
      <c r="AS80" s="570"/>
      <c r="AT80" s="570"/>
      <c r="AU80" s="754"/>
      <c r="AV80" s="754"/>
      <c r="AW80" s="754"/>
      <c r="AX80" s="754"/>
      <c r="AY80" s="722"/>
      <c r="AZ80" s="722"/>
      <c r="BA80" s="722"/>
    </row>
    <row r="81" spans="9:53" x14ac:dyDescent="0.2">
      <c r="I81" s="721"/>
      <c r="M81" s="721"/>
      <c r="Q81"/>
      <c r="R81" s="722"/>
      <c r="S81" s="722"/>
      <c r="T81" s="722"/>
      <c r="U81" s="722"/>
      <c r="V81" s="722"/>
      <c r="W81" s="722"/>
      <c r="X81" s="722"/>
      <c r="Y81" s="722"/>
      <c r="Z81" s="722"/>
      <c r="AA81" s="722"/>
      <c r="AB81" s="722"/>
      <c r="AC81" s="722"/>
      <c r="AD81" s="722"/>
      <c r="AE81" s="722"/>
      <c r="AF81" s="722"/>
      <c r="AG81" s="722"/>
      <c r="AH81" s="722"/>
      <c r="AI81" s="722"/>
      <c r="AJ81" s="722"/>
      <c r="AK81" s="33"/>
      <c r="AL81" s="722"/>
      <c r="AM81" s="722"/>
      <c r="AN81" s="722"/>
      <c r="AO81" s="552"/>
      <c r="AP81" s="552"/>
      <c r="AQ81" s="722"/>
      <c r="AR81" s="552"/>
      <c r="AS81" s="552"/>
      <c r="AT81" s="552"/>
      <c r="AU81" s="722"/>
      <c r="AV81" s="722"/>
      <c r="AW81" s="2"/>
      <c r="AX81" s="2"/>
      <c r="AY81" s="722"/>
      <c r="AZ81" s="722"/>
      <c r="BA81" s="722"/>
    </row>
    <row r="82" spans="9:53" x14ac:dyDescent="0.2">
      <c r="I82" s="721"/>
      <c r="M82" s="721"/>
      <c r="Q82"/>
      <c r="R82" s="722"/>
      <c r="S82" s="722"/>
      <c r="T82" s="722"/>
      <c r="U82" s="722"/>
      <c r="V82" s="722"/>
      <c r="W82" s="722"/>
      <c r="X82" s="722"/>
      <c r="Y82" s="722"/>
      <c r="Z82" s="722"/>
      <c r="AA82" s="722"/>
      <c r="AB82" s="722"/>
      <c r="AC82" s="722"/>
      <c r="AD82" s="722"/>
      <c r="AE82" s="722"/>
      <c r="AF82" s="722"/>
      <c r="AG82" s="722"/>
      <c r="AH82" s="722"/>
      <c r="AI82" s="722"/>
      <c r="AJ82" s="722"/>
      <c r="AK82" s="150"/>
      <c r="AL82" s="722"/>
      <c r="AM82" s="722"/>
      <c r="AN82" s="722"/>
      <c r="AO82" s="552"/>
      <c r="AP82" s="552"/>
      <c r="AQ82" s="722"/>
      <c r="AR82" s="552"/>
      <c r="AS82" s="552"/>
      <c r="AT82" s="552"/>
      <c r="AU82" s="722"/>
      <c r="AV82" s="722"/>
      <c r="AW82" s="2"/>
      <c r="AX82" s="2"/>
      <c r="AY82" s="722"/>
      <c r="AZ82" s="722"/>
      <c r="BA82" s="722"/>
    </row>
    <row r="83" spans="9:53" x14ac:dyDescent="0.2">
      <c r="I83" s="721"/>
      <c r="M83" s="721"/>
      <c r="Q83"/>
      <c r="R83" s="722"/>
      <c r="S83" s="722"/>
      <c r="T83" s="722"/>
      <c r="U83" s="722"/>
      <c r="V83" s="722"/>
      <c r="W83" s="722"/>
      <c r="X83" s="722"/>
      <c r="Y83" s="722"/>
      <c r="Z83" s="722"/>
      <c r="AA83" s="722"/>
      <c r="AB83" s="722"/>
      <c r="AC83" s="722"/>
      <c r="AD83" s="722"/>
      <c r="AE83" s="722"/>
      <c r="AF83" s="722"/>
      <c r="AG83" s="722"/>
      <c r="AH83" s="722"/>
      <c r="AI83" s="722"/>
      <c r="AJ83" s="722"/>
      <c r="AK83" s="2"/>
      <c r="AL83" s="722"/>
      <c r="AM83" s="722"/>
      <c r="AN83" s="722"/>
      <c r="AO83" s="552"/>
      <c r="AP83" s="552"/>
      <c r="AQ83" s="722"/>
      <c r="AR83" s="552"/>
      <c r="AS83" s="552"/>
      <c r="AT83" s="552"/>
      <c r="AU83" s="722"/>
      <c r="AV83" s="722"/>
      <c r="AW83" s="51"/>
      <c r="AX83" s="51"/>
      <c r="AY83" s="722"/>
      <c r="AZ83" s="722"/>
      <c r="BA83" s="722"/>
    </row>
    <row r="84" spans="9:53" x14ac:dyDescent="0.2">
      <c r="I84" s="721"/>
      <c r="M84" s="721"/>
      <c r="Q84"/>
      <c r="R84" s="722"/>
      <c r="S84" s="722"/>
      <c r="T84" s="722"/>
      <c r="U84" s="722"/>
      <c r="V84" s="722"/>
      <c r="W84" s="722"/>
      <c r="X84" s="722"/>
      <c r="Y84" s="722"/>
      <c r="Z84" s="722"/>
      <c r="AA84" s="722"/>
      <c r="AB84" s="722"/>
      <c r="AC84" s="722"/>
      <c r="AD84" s="722"/>
      <c r="AE84" s="722"/>
      <c r="AF84" s="722"/>
      <c r="AG84" s="722"/>
      <c r="AH84" s="722"/>
      <c r="AI84" s="722"/>
      <c r="AJ84" s="722"/>
      <c r="AK84" s="1"/>
      <c r="AL84" s="722"/>
      <c r="AM84" s="722"/>
      <c r="AN84" s="722"/>
      <c r="AO84" s="552"/>
      <c r="AP84" s="552"/>
      <c r="AQ84" s="722"/>
      <c r="AR84" s="552"/>
      <c r="AS84" s="552"/>
      <c r="AT84" s="552"/>
      <c r="AU84" s="722"/>
      <c r="AV84" s="722"/>
      <c r="AW84" s="51"/>
      <c r="AX84" s="51"/>
      <c r="AY84" s="722"/>
      <c r="AZ84" s="722"/>
      <c r="BA84" s="722"/>
    </row>
    <row r="85" spans="9:53" x14ac:dyDescent="0.2">
      <c r="I85" s="721"/>
      <c r="M85" s="721"/>
      <c r="Q85"/>
      <c r="R85" s="722"/>
      <c r="S85" s="722"/>
      <c r="T85" s="722"/>
      <c r="U85" s="722"/>
      <c r="V85" s="722"/>
      <c r="W85" s="722"/>
      <c r="X85" s="722"/>
      <c r="Y85" s="722"/>
      <c r="Z85" s="722"/>
      <c r="AA85" s="722"/>
      <c r="AB85" s="722"/>
      <c r="AC85" s="722"/>
      <c r="AD85" s="722"/>
      <c r="AE85" s="722"/>
      <c r="AF85" s="722"/>
      <c r="AG85" s="722"/>
      <c r="AH85" s="722"/>
      <c r="AI85" s="722"/>
      <c r="AJ85" s="722"/>
      <c r="AK85" s="32"/>
      <c r="AL85" s="722"/>
      <c r="AM85" s="722"/>
      <c r="AN85" s="722"/>
      <c r="AO85" s="552"/>
      <c r="AP85" s="552"/>
      <c r="AQ85" s="722"/>
      <c r="AR85" s="552"/>
      <c r="AS85" s="552"/>
      <c r="AT85" s="552"/>
      <c r="AU85" s="722"/>
      <c r="AV85" s="722"/>
      <c r="AW85" s="52"/>
      <c r="AX85" s="52"/>
      <c r="AY85" s="722"/>
      <c r="AZ85" s="722"/>
      <c r="BA85" s="722"/>
    </row>
    <row r="86" spans="9:53" x14ac:dyDescent="0.2">
      <c r="I86" s="721"/>
      <c r="M86" s="721"/>
      <c r="Q86"/>
      <c r="U86"/>
      <c r="Y86"/>
      <c r="AK86" s="47"/>
      <c r="AL86" s="3"/>
      <c r="AM86" s="3"/>
      <c r="AN86" s="3"/>
      <c r="AR86" s="552"/>
      <c r="AS86" s="552"/>
      <c r="AT86" s="552"/>
      <c r="AW86" s="53"/>
      <c r="AX86" s="53"/>
    </row>
    <row r="87" spans="9:53" x14ac:dyDescent="0.2">
      <c r="I87" s="721"/>
      <c r="M87" s="721"/>
      <c r="Q87"/>
      <c r="U87"/>
      <c r="Y87"/>
      <c r="AK87" s="47"/>
      <c r="AL87" s="3"/>
      <c r="AM87" s="3"/>
      <c r="AN87" s="3"/>
      <c r="AR87" s="552"/>
      <c r="AS87" s="552"/>
      <c r="AT87" s="552"/>
      <c r="AW87" s="35"/>
      <c r="AX87" s="35"/>
    </row>
    <row r="88" spans="9:53" x14ac:dyDescent="0.2">
      <c r="I88" s="721"/>
      <c r="M88" s="721"/>
      <c r="Q88"/>
      <c r="U88"/>
      <c r="Y88"/>
      <c r="AK88" s="41"/>
      <c r="AL88" s="3"/>
      <c r="AM88" s="3"/>
      <c r="AN88" s="3"/>
      <c r="AR88" s="552"/>
      <c r="AS88" s="552"/>
      <c r="AT88" s="552"/>
      <c r="AW88" s="35"/>
      <c r="AX88" s="35"/>
    </row>
    <row r="89" spans="9:53" x14ac:dyDescent="0.2">
      <c r="I89" s="721"/>
      <c r="M89" s="721"/>
      <c r="Q89"/>
      <c r="U89"/>
      <c r="Y89"/>
      <c r="AK89" s="35"/>
      <c r="AL89" s="3"/>
      <c r="AM89" s="3"/>
      <c r="AN89" s="3"/>
      <c r="AR89" s="552"/>
      <c r="AS89" s="552"/>
      <c r="AT89" s="552"/>
      <c r="AW89" s="36"/>
      <c r="AX89" s="36"/>
    </row>
    <row r="90" spans="9:53" x14ac:dyDescent="0.2">
      <c r="I90" s="721"/>
      <c r="M90" s="721"/>
      <c r="Q90"/>
      <c r="U90"/>
      <c r="Y90"/>
      <c r="AK90" s="36"/>
      <c r="AL90" s="3"/>
      <c r="AM90" s="3"/>
      <c r="AN90" s="3"/>
      <c r="AR90" s="552"/>
      <c r="AS90" s="552"/>
      <c r="AT90" s="552"/>
      <c r="AW90" s="36"/>
      <c r="AX90" s="36"/>
    </row>
    <row r="91" spans="9:53" x14ac:dyDescent="0.2">
      <c r="I91" s="721"/>
      <c r="M91" s="721"/>
      <c r="Q91"/>
      <c r="U91"/>
      <c r="Y91"/>
      <c r="AK91" s="36"/>
      <c r="AL91" s="3"/>
      <c r="AM91" s="3"/>
      <c r="AN91" s="3"/>
      <c r="AR91" s="552"/>
      <c r="AS91" s="552"/>
      <c r="AT91" s="552"/>
      <c r="AW91" s="3"/>
      <c r="AX91" s="3"/>
    </row>
    <row r="92" spans="9:53" x14ac:dyDescent="0.2">
      <c r="I92" s="721"/>
      <c r="M92" s="721"/>
      <c r="Q92"/>
      <c r="U92"/>
      <c r="Y92"/>
      <c r="AK92" s="3"/>
      <c r="AL92" s="3"/>
      <c r="AM92" s="3"/>
      <c r="AN92" s="3"/>
      <c r="AR92" s="552"/>
      <c r="AS92" s="552"/>
      <c r="AT92" s="552"/>
      <c r="AW92" s="3"/>
      <c r="AX92" s="3"/>
    </row>
    <row r="93" spans="9:53" x14ac:dyDescent="0.2">
      <c r="I93" s="721"/>
      <c r="M93" s="721"/>
      <c r="Q93"/>
      <c r="U93"/>
      <c r="Y93"/>
      <c r="AK93" s="3"/>
      <c r="AL93" s="3"/>
      <c r="AM93" s="3"/>
      <c r="AN93" s="3"/>
      <c r="AR93" s="552"/>
      <c r="AS93" s="552"/>
      <c r="AT93" s="552"/>
      <c r="AW93" s="3"/>
      <c r="AX93" s="3"/>
    </row>
    <row r="94" spans="9:53" x14ac:dyDescent="0.2">
      <c r="I94" s="721"/>
      <c r="M94" s="721"/>
      <c r="Q94"/>
      <c r="U94"/>
      <c r="Y94"/>
      <c r="AL94" s="3"/>
      <c r="AM94" s="3"/>
      <c r="AN94" s="3"/>
      <c r="AR94" s="552"/>
      <c r="AS94" s="552"/>
      <c r="AT94" s="552"/>
      <c r="AW94" s="3"/>
      <c r="AX94" s="3"/>
    </row>
    <row r="95" spans="9:53" x14ac:dyDescent="0.2">
      <c r="I95" s="721"/>
      <c r="M95" s="721"/>
      <c r="Q95"/>
      <c r="U95"/>
      <c r="Y95"/>
      <c r="AL95" s="3"/>
      <c r="AM95" s="3"/>
      <c r="AN95" s="3"/>
      <c r="AR95" s="552"/>
      <c r="AS95" s="552"/>
      <c r="AT95" s="552"/>
      <c r="AW95" s="3"/>
      <c r="AX95" s="3"/>
    </row>
    <row r="96" spans="9:53" x14ac:dyDescent="0.2">
      <c r="I96" s="721"/>
      <c r="M96" s="721"/>
      <c r="Q96"/>
      <c r="U96"/>
      <c r="Y96"/>
      <c r="AL96" s="3"/>
      <c r="AM96" s="3"/>
      <c r="AN96" s="3"/>
      <c r="AR96" s="552"/>
      <c r="AS96" s="552"/>
      <c r="AT96" s="552"/>
    </row>
  </sheetData>
  <mergeCells count="11">
    <mergeCell ref="AO11:AP11"/>
    <mergeCell ref="AO56:AP56"/>
    <mergeCell ref="AO63:AP63"/>
    <mergeCell ref="C62:D62"/>
    <mergeCell ref="C11:D11"/>
    <mergeCell ref="A41:B41"/>
    <mergeCell ref="A35:B35"/>
    <mergeCell ref="C10:D10"/>
    <mergeCell ref="C55:D55"/>
    <mergeCell ref="C63:D63"/>
    <mergeCell ref="C56:D56"/>
  </mergeCells>
  <phoneticPr fontId="6" type="noConversion"/>
  <conditionalFormatting sqref="AZ76:BA76 AO50 AU45:AX49 AU50:AV50 AC45:AK49 A45:A46 Y45:Y49 C50 A53:A54 Z45:AB50 A61 A69:A73 AL45:AN50 AP45:AT50 D45:E50 J45:X50">
    <cfRule type="cellIs" dxfId="5" priority="6" stopIfTrue="1" operator="equal">
      <formula>0</formula>
    </cfRule>
  </conditionalFormatting>
  <conditionalFormatting sqref="AW44">
    <cfRule type="cellIs" dxfId="4" priority="4" stopIfTrue="1" operator="equal">
      <formula>0</formula>
    </cfRule>
  </conditionalFormatting>
  <conditionalFormatting sqref="F45:I50">
    <cfRule type="cellIs" dxfId="3" priority="1" stopIfTrue="1" operator="equal">
      <formula>0</formula>
    </cfRule>
  </conditionalFormatting>
  <printOptions horizontalCentered="1"/>
  <pageMargins left="0.3" right="0.3" top="0.4" bottom="0.6" header="0" footer="0.3"/>
  <pageSetup scale="60" orientation="landscape" r:id="rId1"/>
  <headerFooter alignWithMargins="0">
    <oddFooter>&amp;L&amp;F&amp;CPage 9</oddFooter>
  </headerFooter>
  <ignoredErrors>
    <ignoredError sqref="AY17 AT21:AT30"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O77"/>
  <sheetViews>
    <sheetView topLeftCell="A10" zoomScaleNormal="100" zoomScaleSheetLayoutView="90" workbookViewId="0">
      <selection activeCell="A41" sqref="A41:XFD43"/>
    </sheetView>
  </sheetViews>
  <sheetFormatPr defaultRowHeight="12.75" x14ac:dyDescent="0.2"/>
  <cols>
    <col min="1" max="1" width="2.7109375" customWidth="1"/>
    <col min="2" max="2" width="49" customWidth="1"/>
    <col min="3" max="3" width="9.5703125" customWidth="1"/>
    <col min="4" max="4" width="9.7109375" customWidth="1"/>
    <col min="5" max="5" width="1.5703125" style="3" customWidth="1"/>
    <col min="6" max="14" width="8.42578125" style="722" customWidth="1"/>
    <col min="15" max="17" width="8.42578125" style="722" hidden="1" customWidth="1"/>
    <col min="18" max="21" width="8.42578125" style="3" hidden="1" customWidth="1"/>
    <col min="22" max="30" width="8.7109375" style="3" hidden="1" customWidth="1"/>
    <col min="31" max="32" width="9.7109375" style="3" hidden="1" customWidth="1"/>
    <col min="33" max="41" width="9.7109375" hidden="1" customWidth="1"/>
    <col min="42" max="42" width="1.5703125" customWidth="1"/>
    <col min="43" max="43" width="6" hidden="1" customWidth="1"/>
    <col min="44" max="44" width="7" hidden="1" customWidth="1"/>
    <col min="45" max="45" width="6.7109375" hidden="1" customWidth="1"/>
    <col min="46" max="46" width="7.28515625" hidden="1" customWidth="1"/>
    <col min="47" max="47" width="1.5703125" hidden="1" customWidth="1"/>
    <col min="48" max="50" width="8.7109375" style="721" customWidth="1"/>
    <col min="51" max="51" width="8.7109375" style="613" customWidth="1"/>
    <col min="52" max="52" width="8.7109375" customWidth="1"/>
    <col min="53" max="56" width="8.7109375" hidden="1" customWidth="1"/>
    <col min="57" max="57" width="8.140625" hidden="1" customWidth="1"/>
    <col min="58" max="59" width="9.7109375" hidden="1" customWidth="1"/>
    <col min="60" max="60" width="1.5703125" customWidth="1"/>
  </cols>
  <sheetData>
    <row r="4" spans="1:67" x14ac:dyDescent="0.2">
      <c r="I4" s="15"/>
      <c r="M4" s="15"/>
      <c r="Q4" s="15"/>
      <c r="R4" s="15"/>
      <c r="S4" s="15"/>
      <c r="T4" s="15"/>
    </row>
    <row r="5" spans="1:67" x14ac:dyDescent="0.2">
      <c r="A5" s="3"/>
      <c r="B5" s="3"/>
      <c r="C5" s="3"/>
      <c r="D5" s="3"/>
      <c r="AG5" s="3"/>
      <c r="AH5" s="3"/>
      <c r="AI5" s="3"/>
    </row>
    <row r="6" spans="1:67" ht="18" customHeight="1" x14ac:dyDescent="0.2">
      <c r="A6" s="260" t="s">
        <v>54</v>
      </c>
      <c r="B6" s="3"/>
      <c r="C6" s="3"/>
      <c r="D6" s="3"/>
      <c r="AG6" s="3"/>
      <c r="AH6" s="3"/>
      <c r="AI6" s="3"/>
    </row>
    <row r="7" spans="1:67" ht="9.75" customHeight="1" x14ac:dyDescent="0.2">
      <c r="A7" s="2"/>
      <c r="B7" s="2"/>
      <c r="C7" s="2"/>
      <c r="D7" s="2"/>
      <c r="E7" s="2"/>
      <c r="F7" s="2"/>
      <c r="G7" s="2"/>
      <c r="H7" s="424"/>
      <c r="I7" s="2"/>
      <c r="J7" s="2"/>
      <c r="K7" s="2"/>
      <c r="L7" s="424"/>
      <c r="M7" s="2"/>
      <c r="N7" s="2"/>
      <c r="O7" s="2"/>
      <c r="P7" s="424"/>
      <c r="Q7" s="2"/>
      <c r="R7" s="2"/>
      <c r="S7" s="2"/>
      <c r="T7" s="424"/>
      <c r="U7" s="2"/>
      <c r="V7" s="424"/>
      <c r="W7" s="2"/>
      <c r="X7" s="424"/>
      <c r="Y7" s="2"/>
      <c r="Z7" s="424"/>
      <c r="AA7" s="2"/>
      <c r="AB7" s="424"/>
      <c r="AC7" s="2"/>
      <c r="AD7" s="424"/>
      <c r="AE7" s="2"/>
      <c r="AF7" s="2"/>
      <c r="AG7" s="3"/>
      <c r="AH7" s="3"/>
      <c r="AI7" s="3"/>
      <c r="BE7" s="3"/>
      <c r="BF7" s="3"/>
    </row>
    <row r="8" spans="1:67" x14ac:dyDescent="0.2">
      <c r="A8" s="6"/>
      <c r="B8" s="7"/>
      <c r="C8" s="1479" t="s">
        <v>447</v>
      </c>
      <c r="D8" s="1480"/>
      <c r="E8" s="256"/>
      <c r="F8" s="18"/>
      <c r="G8" s="18"/>
      <c r="I8" s="19"/>
      <c r="J8" s="18"/>
      <c r="K8" s="18"/>
      <c r="M8" s="19"/>
      <c r="N8" s="18"/>
      <c r="O8" s="18"/>
      <c r="Q8" s="19"/>
      <c r="R8" s="18"/>
      <c r="S8" s="18"/>
      <c r="U8" s="19"/>
      <c r="W8" s="18"/>
      <c r="Y8" s="19"/>
      <c r="AA8" s="18"/>
      <c r="AC8" s="19"/>
      <c r="AD8" s="18"/>
      <c r="AE8" s="18"/>
      <c r="AF8" s="18"/>
      <c r="AG8" s="19"/>
      <c r="AH8" s="18"/>
      <c r="AI8" s="18"/>
      <c r="AJ8" s="18"/>
      <c r="AK8" s="18"/>
      <c r="AL8" s="22"/>
      <c r="AM8" s="19"/>
      <c r="AN8" s="19"/>
      <c r="AO8" s="19"/>
      <c r="AP8" s="24"/>
      <c r="AQ8" s="1479" t="s">
        <v>198</v>
      </c>
      <c r="AR8" s="1508"/>
      <c r="AS8" s="1508"/>
      <c r="AT8" s="1509"/>
      <c r="AU8" s="15"/>
      <c r="AV8" s="87"/>
      <c r="AW8" s="87"/>
      <c r="AX8" s="87"/>
      <c r="AY8" s="87"/>
      <c r="AZ8" s="87"/>
      <c r="BA8" s="87"/>
      <c r="BB8" s="87"/>
      <c r="BC8" s="17"/>
      <c r="BD8" s="22"/>
      <c r="BE8" s="87"/>
      <c r="BF8" s="87"/>
      <c r="BG8" s="87"/>
      <c r="BH8" s="25"/>
    </row>
    <row r="9" spans="1:67" x14ac:dyDescent="0.2">
      <c r="A9" s="261" t="s">
        <v>1</v>
      </c>
      <c r="B9" s="7"/>
      <c r="C9" s="1504" t="s">
        <v>39</v>
      </c>
      <c r="D9" s="1482"/>
      <c r="E9" s="530"/>
      <c r="F9" s="21" t="s">
        <v>425</v>
      </c>
      <c r="G9" s="21" t="s">
        <v>426</v>
      </c>
      <c r="H9" s="21" t="s">
        <v>427</v>
      </c>
      <c r="I9" s="14" t="s">
        <v>428</v>
      </c>
      <c r="J9" s="21" t="s">
        <v>363</v>
      </c>
      <c r="K9" s="21" t="s">
        <v>362</v>
      </c>
      <c r="L9" s="21" t="s">
        <v>361</v>
      </c>
      <c r="M9" s="14" t="s">
        <v>359</v>
      </c>
      <c r="N9" s="21" t="s">
        <v>302</v>
      </c>
      <c r="O9" s="21" t="s">
        <v>303</v>
      </c>
      <c r="P9" s="21" t="s">
        <v>304</v>
      </c>
      <c r="Q9" s="14" t="s">
        <v>305</v>
      </c>
      <c r="R9" s="21" t="s">
        <v>231</v>
      </c>
      <c r="S9" s="21" t="s">
        <v>232</v>
      </c>
      <c r="T9" s="21" t="s">
        <v>233</v>
      </c>
      <c r="U9" s="14" t="s">
        <v>230</v>
      </c>
      <c r="V9" s="21" t="s">
        <v>194</v>
      </c>
      <c r="W9" s="21" t="s">
        <v>195</v>
      </c>
      <c r="X9" s="21" t="s">
        <v>196</v>
      </c>
      <c r="Y9" s="14" t="s">
        <v>197</v>
      </c>
      <c r="Z9" s="21" t="s">
        <v>126</v>
      </c>
      <c r="AA9" s="21" t="s">
        <v>125</v>
      </c>
      <c r="AB9" s="21" t="s">
        <v>124</v>
      </c>
      <c r="AC9" s="14" t="s">
        <v>123</v>
      </c>
      <c r="AD9" s="21" t="s">
        <v>86</v>
      </c>
      <c r="AE9" s="21" t="s">
        <v>87</v>
      </c>
      <c r="AF9" s="21" t="s">
        <v>88</v>
      </c>
      <c r="AG9" s="14" t="s">
        <v>30</v>
      </c>
      <c r="AH9" s="15" t="s">
        <v>31</v>
      </c>
      <c r="AI9" s="15" t="s">
        <v>32</v>
      </c>
      <c r="AJ9" s="15" t="s">
        <v>33</v>
      </c>
      <c r="AK9" s="15" t="s">
        <v>34</v>
      </c>
      <c r="AL9" s="256" t="s">
        <v>35</v>
      </c>
      <c r="AM9" s="230" t="s">
        <v>36</v>
      </c>
      <c r="AN9" s="230" t="s">
        <v>37</v>
      </c>
      <c r="AO9" s="230" t="s">
        <v>38</v>
      </c>
      <c r="AP9" s="256"/>
      <c r="AQ9" s="20" t="s">
        <v>43</v>
      </c>
      <c r="AR9" s="21" t="s">
        <v>40</v>
      </c>
      <c r="AS9" s="1502" t="s">
        <v>39</v>
      </c>
      <c r="AT9" s="1482"/>
      <c r="AU9" s="16"/>
      <c r="AV9" s="229" t="s">
        <v>446</v>
      </c>
      <c r="AW9" s="229" t="s">
        <v>365</v>
      </c>
      <c r="AX9" s="229" t="s">
        <v>307</v>
      </c>
      <c r="AY9" s="229" t="s">
        <v>235</v>
      </c>
      <c r="AZ9" s="229" t="s">
        <v>128</v>
      </c>
      <c r="BA9" s="229" t="s">
        <v>127</v>
      </c>
      <c r="BB9" s="229" t="s">
        <v>43</v>
      </c>
      <c r="BC9" s="229" t="s">
        <v>40</v>
      </c>
      <c r="BD9" s="256" t="s">
        <v>41</v>
      </c>
      <c r="BE9" s="23" t="s">
        <v>146</v>
      </c>
      <c r="BF9" s="23" t="s">
        <v>147</v>
      </c>
      <c r="BG9" s="23" t="s">
        <v>148</v>
      </c>
      <c r="BH9" s="25"/>
      <c r="BI9" s="3"/>
      <c r="BJ9" s="3"/>
      <c r="BK9" s="3"/>
      <c r="BL9" s="3"/>
      <c r="BM9" s="3"/>
      <c r="BN9" s="3"/>
      <c r="BO9" s="3"/>
    </row>
    <row r="10" spans="1:67" ht="12.75" customHeight="1" x14ac:dyDescent="0.2">
      <c r="A10" s="140"/>
      <c r="B10" s="8"/>
      <c r="C10" s="193"/>
      <c r="D10" s="163"/>
      <c r="E10" s="88"/>
      <c r="F10" s="725"/>
      <c r="G10" s="725"/>
      <c r="H10" s="725"/>
      <c r="I10" s="164"/>
      <c r="J10" s="725"/>
      <c r="K10" s="725"/>
      <c r="L10" s="725"/>
      <c r="M10" s="164"/>
      <c r="N10" s="725"/>
      <c r="O10" s="725"/>
      <c r="P10" s="725"/>
      <c r="Q10" s="164"/>
      <c r="R10" s="146"/>
      <c r="S10" s="146"/>
      <c r="T10" s="146"/>
      <c r="U10" s="164"/>
      <c r="V10" s="146"/>
      <c r="W10" s="146"/>
      <c r="X10" s="146"/>
      <c r="Y10" s="164"/>
      <c r="Z10" s="146"/>
      <c r="AA10" s="146"/>
      <c r="AB10" s="146"/>
      <c r="AC10" s="164"/>
      <c r="AD10" s="146"/>
      <c r="AE10" s="146"/>
      <c r="AF10" s="146"/>
      <c r="AG10" s="164"/>
      <c r="AH10" s="192"/>
      <c r="AI10" s="192"/>
      <c r="AJ10" s="192"/>
      <c r="AK10" s="163"/>
      <c r="AL10" s="191"/>
      <c r="AM10" s="163"/>
      <c r="AN10" s="163"/>
      <c r="AO10" s="163"/>
      <c r="AP10" s="88"/>
      <c r="AQ10" s="162"/>
      <c r="AR10" s="146"/>
      <c r="AS10" s="146"/>
      <c r="AT10" s="164"/>
      <c r="AU10" s="146"/>
      <c r="AV10" s="191"/>
      <c r="AW10" s="191"/>
      <c r="AX10" s="191"/>
      <c r="AY10" s="191"/>
      <c r="AZ10" s="191"/>
      <c r="BA10" s="191"/>
      <c r="BB10" s="191"/>
      <c r="BC10" s="191"/>
      <c r="BD10" s="191"/>
      <c r="BE10" s="301"/>
      <c r="BF10" s="301"/>
      <c r="BG10" s="301"/>
      <c r="BH10" s="25"/>
      <c r="BI10" s="3"/>
      <c r="BJ10" s="3"/>
      <c r="BK10" s="3"/>
      <c r="BL10" s="3"/>
      <c r="BM10" s="3"/>
    </row>
    <row r="11" spans="1:67" ht="12.75" customHeight="1" x14ac:dyDescent="0.2">
      <c r="A11" s="262" t="s">
        <v>115</v>
      </c>
      <c r="B11" s="262"/>
      <c r="C11" s="239"/>
      <c r="D11" s="30"/>
      <c r="E11" s="520"/>
      <c r="F11" s="755"/>
      <c r="G11" s="755"/>
      <c r="H11" s="755"/>
      <c r="I11" s="746"/>
      <c r="J11" s="755"/>
      <c r="K11" s="755"/>
      <c r="L11" s="755"/>
      <c r="M11" s="746"/>
      <c r="N11" s="755"/>
      <c r="O11" s="755"/>
      <c r="P11" s="755"/>
      <c r="Q11" s="746"/>
      <c r="R11" s="41"/>
      <c r="S11" s="41"/>
      <c r="T11" s="41"/>
      <c r="U11" s="235"/>
      <c r="V11" s="41"/>
      <c r="W11" s="41"/>
      <c r="X11" s="41"/>
      <c r="Y11" s="235"/>
      <c r="Z11" s="41"/>
      <c r="AA11" s="41"/>
      <c r="AB11" s="41"/>
      <c r="AC11" s="235"/>
      <c r="AD11" s="41"/>
      <c r="AE11" s="41"/>
      <c r="AF11" s="41"/>
      <c r="AG11" s="235"/>
      <c r="AH11" s="231"/>
      <c r="AI11" s="231"/>
      <c r="AJ11" s="231"/>
      <c r="AK11" s="235"/>
      <c r="AL11" s="198"/>
      <c r="AM11" s="235"/>
      <c r="AN11" s="235"/>
      <c r="AO11" s="235"/>
      <c r="AP11" s="200"/>
      <c r="AQ11" s="241"/>
      <c r="AR11" s="240"/>
      <c r="AS11" s="251"/>
      <c r="AT11" s="30"/>
      <c r="AU11" s="240"/>
      <c r="AV11" s="744"/>
      <c r="AW11" s="744"/>
      <c r="AX11" s="744"/>
      <c r="AY11" s="198"/>
      <c r="AZ11" s="198"/>
      <c r="BA11" s="198"/>
      <c r="BB11" s="198"/>
      <c r="BC11" s="198"/>
      <c r="BD11" s="198"/>
      <c r="BE11" s="43"/>
      <c r="BF11" s="43"/>
      <c r="BG11" s="43"/>
      <c r="BH11" s="3"/>
      <c r="BI11" s="3"/>
      <c r="BJ11" s="3"/>
      <c r="BK11" s="3"/>
      <c r="BL11" s="3"/>
      <c r="BM11" s="3"/>
    </row>
    <row r="12" spans="1:67" ht="12.75" customHeight="1" x14ac:dyDescent="0.2">
      <c r="A12" s="142"/>
      <c r="B12" s="142" t="s">
        <v>192</v>
      </c>
      <c r="C12" s="515">
        <v>-14</v>
      </c>
      <c r="D12" s="30">
        <v>-6.5116279069767441E-2</v>
      </c>
      <c r="E12" s="520"/>
      <c r="F12" s="748">
        <v>201</v>
      </c>
      <c r="G12" s="748">
        <v>206</v>
      </c>
      <c r="H12" s="748">
        <v>208</v>
      </c>
      <c r="I12" s="746">
        <v>215</v>
      </c>
      <c r="J12" s="748">
        <v>215</v>
      </c>
      <c r="K12" s="748">
        <v>214</v>
      </c>
      <c r="L12" s="748">
        <v>215</v>
      </c>
      <c r="M12" s="746">
        <v>221</v>
      </c>
      <c r="N12" s="748">
        <v>222</v>
      </c>
      <c r="O12" s="748">
        <v>224</v>
      </c>
      <c r="P12" s="748">
        <v>225</v>
      </c>
      <c r="Q12" s="746">
        <v>239</v>
      </c>
      <c r="R12" s="398">
        <v>247</v>
      </c>
      <c r="S12" s="398">
        <v>262</v>
      </c>
      <c r="T12" s="398">
        <v>266</v>
      </c>
      <c r="U12" s="235">
        <v>265</v>
      </c>
      <c r="V12" s="398">
        <v>268</v>
      </c>
      <c r="W12" s="398">
        <v>276</v>
      </c>
      <c r="X12" s="398">
        <v>276</v>
      </c>
      <c r="Y12" s="235">
        <v>273</v>
      </c>
      <c r="Z12" s="398">
        <v>203</v>
      </c>
      <c r="AA12" s="398">
        <v>204</v>
      </c>
      <c r="AB12" s="398">
        <v>200</v>
      </c>
      <c r="AC12" s="235">
        <v>204</v>
      </c>
      <c r="AD12" s="398">
        <v>209</v>
      </c>
      <c r="AE12" s="398">
        <v>211</v>
      </c>
      <c r="AF12" s="398">
        <v>248</v>
      </c>
      <c r="AG12" s="235">
        <v>251</v>
      </c>
      <c r="AH12" s="327">
        <v>253</v>
      </c>
      <c r="AI12" s="327">
        <v>254</v>
      </c>
      <c r="AJ12" s="327">
        <v>264</v>
      </c>
      <c r="AK12" s="368">
        <v>260</v>
      </c>
      <c r="AL12" s="177">
        <v>246</v>
      </c>
      <c r="AM12" s="368">
        <v>237</v>
      </c>
      <c r="AN12" s="368">
        <v>241</v>
      </c>
      <c r="AO12" s="368">
        <v>239</v>
      </c>
      <c r="AP12" s="271"/>
      <c r="AQ12" s="326">
        <v>209</v>
      </c>
      <c r="AR12" s="267">
        <v>253</v>
      </c>
      <c r="AS12" s="231">
        <v>-44</v>
      </c>
      <c r="AT12" s="30">
        <v>-0.17391304347826086</v>
      </c>
      <c r="AU12" s="267"/>
      <c r="AV12" s="744">
        <v>201</v>
      </c>
      <c r="AW12" s="744">
        <v>215</v>
      </c>
      <c r="AX12" s="744">
        <v>222</v>
      </c>
      <c r="AY12" s="198">
        <v>247</v>
      </c>
      <c r="AZ12" s="198">
        <v>268</v>
      </c>
      <c r="BA12" s="198">
        <v>203</v>
      </c>
      <c r="BB12" s="198">
        <v>209</v>
      </c>
      <c r="BC12" s="177">
        <v>253</v>
      </c>
      <c r="BD12" s="177">
        <v>246</v>
      </c>
      <c r="BE12" s="159">
        <v>233</v>
      </c>
      <c r="BF12" s="159">
        <v>209</v>
      </c>
      <c r="BG12" s="159">
        <v>185</v>
      </c>
      <c r="BH12" s="82"/>
      <c r="BM12" s="3"/>
    </row>
    <row r="13" spans="1:67" ht="12.75" customHeight="1" x14ac:dyDescent="0.2">
      <c r="A13" s="142"/>
      <c r="B13" s="726" t="s">
        <v>352</v>
      </c>
      <c r="C13" s="515">
        <v>-20</v>
      </c>
      <c r="D13" s="30">
        <v>-4.7619047619047616E-2</v>
      </c>
      <c r="E13" s="520"/>
      <c r="F13" s="748">
        <v>400</v>
      </c>
      <c r="G13" s="748">
        <v>405</v>
      </c>
      <c r="H13" s="748">
        <v>412</v>
      </c>
      <c r="I13" s="746">
        <v>407</v>
      </c>
      <c r="J13" s="748">
        <v>420</v>
      </c>
      <c r="K13" s="748">
        <v>425</v>
      </c>
      <c r="L13" s="748">
        <v>430</v>
      </c>
      <c r="M13" s="746">
        <v>448</v>
      </c>
      <c r="N13" s="748">
        <v>461</v>
      </c>
      <c r="O13" s="748">
        <v>493</v>
      </c>
      <c r="P13" s="748">
        <v>617</v>
      </c>
      <c r="Q13" s="746">
        <v>662</v>
      </c>
      <c r="R13" s="398">
        <v>684</v>
      </c>
      <c r="S13" s="398">
        <v>699</v>
      </c>
      <c r="T13" s="398">
        <v>686</v>
      </c>
      <c r="U13" s="235">
        <v>666</v>
      </c>
      <c r="V13" s="398">
        <v>684</v>
      </c>
      <c r="W13" s="398">
        <v>671</v>
      </c>
      <c r="X13" s="398">
        <v>665</v>
      </c>
      <c r="Y13" s="235">
        <v>689</v>
      </c>
      <c r="Z13" s="398">
        <v>680</v>
      </c>
      <c r="AA13" s="398">
        <v>707</v>
      </c>
      <c r="AB13" s="398">
        <v>698</v>
      </c>
      <c r="AC13" s="235">
        <v>688</v>
      </c>
      <c r="AD13" s="398">
        <v>700</v>
      </c>
      <c r="AE13" s="398">
        <v>725</v>
      </c>
      <c r="AF13" s="398">
        <v>744</v>
      </c>
      <c r="AG13" s="235">
        <v>760</v>
      </c>
      <c r="AH13" s="327">
        <v>762</v>
      </c>
      <c r="AI13" s="327">
        <v>772</v>
      </c>
      <c r="AJ13" s="327">
        <v>784</v>
      </c>
      <c r="AK13" s="368">
        <v>757</v>
      </c>
      <c r="AL13" s="177">
        <v>728</v>
      </c>
      <c r="AM13" s="368">
        <v>725</v>
      </c>
      <c r="AN13" s="368">
        <v>719</v>
      </c>
      <c r="AO13" s="368">
        <v>710</v>
      </c>
      <c r="AP13" s="271"/>
      <c r="AQ13" s="326">
        <v>700</v>
      </c>
      <c r="AR13" s="267">
        <v>762</v>
      </c>
      <c r="AS13" s="231">
        <v>-62</v>
      </c>
      <c r="AT13" s="30">
        <v>-8.1364829396325458E-2</v>
      </c>
      <c r="AU13" s="267"/>
      <c r="AV13" s="744">
        <v>400</v>
      </c>
      <c r="AW13" s="744">
        <v>420</v>
      </c>
      <c r="AX13" s="744">
        <v>461</v>
      </c>
      <c r="AY13" s="198">
        <v>684</v>
      </c>
      <c r="AZ13" s="198">
        <v>684</v>
      </c>
      <c r="BA13" s="198">
        <v>680</v>
      </c>
      <c r="BB13" s="198">
        <v>700</v>
      </c>
      <c r="BC13" s="177">
        <v>762</v>
      </c>
      <c r="BD13" s="177">
        <v>728</v>
      </c>
      <c r="BE13" s="159">
        <v>689</v>
      </c>
      <c r="BF13" s="159">
        <v>657</v>
      </c>
      <c r="BG13" s="159">
        <v>623</v>
      </c>
      <c r="BH13" s="82"/>
      <c r="BM13" s="3"/>
    </row>
    <row r="14" spans="1:67" ht="12.75" customHeight="1" x14ac:dyDescent="0.2">
      <c r="A14" s="142"/>
      <c r="B14" s="142" t="s">
        <v>116</v>
      </c>
      <c r="C14" s="515">
        <v>8</v>
      </c>
      <c r="D14" s="30">
        <v>2.5316455696202531E-2</v>
      </c>
      <c r="E14" s="520"/>
      <c r="F14" s="748">
        <v>324</v>
      </c>
      <c r="G14" s="748">
        <v>316</v>
      </c>
      <c r="H14" s="748">
        <v>315</v>
      </c>
      <c r="I14" s="746">
        <v>320</v>
      </c>
      <c r="J14" s="748">
        <v>316</v>
      </c>
      <c r="K14" s="748">
        <v>319</v>
      </c>
      <c r="L14" s="748">
        <v>320</v>
      </c>
      <c r="M14" s="746">
        <v>323</v>
      </c>
      <c r="N14" s="748">
        <v>332</v>
      </c>
      <c r="O14" s="748">
        <v>332</v>
      </c>
      <c r="P14" s="748">
        <v>343</v>
      </c>
      <c r="Q14" s="746">
        <v>376</v>
      </c>
      <c r="R14" s="398">
        <v>378</v>
      </c>
      <c r="S14" s="398">
        <v>386</v>
      </c>
      <c r="T14" s="398">
        <v>384</v>
      </c>
      <c r="U14" s="235">
        <v>382</v>
      </c>
      <c r="V14" s="398">
        <v>373</v>
      </c>
      <c r="W14" s="398">
        <v>365</v>
      </c>
      <c r="X14" s="398">
        <v>369</v>
      </c>
      <c r="Y14" s="235">
        <v>371</v>
      </c>
      <c r="Z14" s="398">
        <v>364</v>
      </c>
      <c r="AA14" s="398">
        <v>360</v>
      </c>
      <c r="AB14" s="398">
        <v>359</v>
      </c>
      <c r="AC14" s="235">
        <v>352</v>
      </c>
      <c r="AD14" s="398">
        <v>356</v>
      </c>
      <c r="AE14" s="398">
        <v>365</v>
      </c>
      <c r="AF14" s="398">
        <v>393</v>
      </c>
      <c r="AG14" s="235">
        <v>393</v>
      </c>
      <c r="AH14" s="327">
        <v>380</v>
      </c>
      <c r="AI14" s="327">
        <v>373</v>
      </c>
      <c r="AJ14" s="327">
        <v>370</v>
      </c>
      <c r="AK14" s="368">
        <v>366</v>
      </c>
      <c r="AL14" s="177">
        <v>360</v>
      </c>
      <c r="AM14" s="368">
        <v>348</v>
      </c>
      <c r="AN14" s="368">
        <v>349</v>
      </c>
      <c r="AO14" s="368">
        <v>343</v>
      </c>
      <c r="AP14" s="271"/>
      <c r="AQ14" s="326">
        <v>356</v>
      </c>
      <c r="AR14" s="267">
        <v>380</v>
      </c>
      <c r="AS14" s="231">
        <v>-24</v>
      </c>
      <c r="AT14" s="30">
        <v>-6.3157894736842107E-2</v>
      </c>
      <c r="AU14" s="267"/>
      <c r="AV14" s="744">
        <v>324</v>
      </c>
      <c r="AW14" s="744">
        <v>316</v>
      </c>
      <c r="AX14" s="744">
        <v>332</v>
      </c>
      <c r="AY14" s="198">
        <v>378</v>
      </c>
      <c r="AZ14" s="198">
        <v>373</v>
      </c>
      <c r="BA14" s="198">
        <v>364</v>
      </c>
      <c r="BB14" s="198">
        <v>356</v>
      </c>
      <c r="BC14" s="177">
        <v>380</v>
      </c>
      <c r="BD14" s="177">
        <v>360</v>
      </c>
      <c r="BE14" s="159">
        <v>335</v>
      </c>
      <c r="BF14" s="159">
        <v>324</v>
      </c>
      <c r="BG14" s="159">
        <v>296</v>
      </c>
      <c r="BH14" s="82"/>
      <c r="BM14" s="3"/>
    </row>
    <row r="15" spans="1:67" ht="12.75" customHeight="1" x14ac:dyDescent="0.2">
      <c r="A15" s="142"/>
      <c r="B15" s="142" t="s">
        <v>93</v>
      </c>
      <c r="C15" s="515">
        <v>-26</v>
      </c>
      <c r="D15" s="30">
        <v>-2.7339642481598318E-2</v>
      </c>
      <c r="E15" s="520"/>
      <c r="F15" s="748">
        <v>925</v>
      </c>
      <c r="G15" s="748">
        <v>927</v>
      </c>
      <c r="H15" s="748">
        <v>935</v>
      </c>
      <c r="I15" s="746">
        <v>942</v>
      </c>
      <c r="J15" s="748">
        <v>951</v>
      </c>
      <c r="K15" s="748">
        <v>958</v>
      </c>
      <c r="L15" s="748">
        <v>965</v>
      </c>
      <c r="M15" s="746">
        <v>992</v>
      </c>
      <c r="N15" s="748">
        <v>1015</v>
      </c>
      <c r="O15" s="748">
        <v>1049</v>
      </c>
      <c r="P15" s="748">
        <v>1185</v>
      </c>
      <c r="Q15" s="746">
        <v>1277</v>
      </c>
      <c r="R15" s="398">
        <v>1309</v>
      </c>
      <c r="S15" s="398">
        <v>1347</v>
      </c>
      <c r="T15" s="398">
        <v>1336</v>
      </c>
      <c r="U15" s="235">
        <v>1313</v>
      </c>
      <c r="V15" s="398">
        <v>1325</v>
      </c>
      <c r="W15" s="398">
        <v>1312</v>
      </c>
      <c r="X15" s="398">
        <v>1310</v>
      </c>
      <c r="Y15" s="235">
        <v>1333</v>
      </c>
      <c r="Z15" s="398">
        <v>1247</v>
      </c>
      <c r="AA15" s="398">
        <v>1271</v>
      </c>
      <c r="AB15" s="398">
        <v>1257</v>
      </c>
      <c r="AC15" s="235">
        <v>1244</v>
      </c>
      <c r="AD15" s="398">
        <v>1265</v>
      </c>
      <c r="AE15" s="398">
        <v>1301</v>
      </c>
      <c r="AF15" s="398">
        <v>1385</v>
      </c>
      <c r="AG15" s="235">
        <v>1404</v>
      </c>
      <c r="AH15" s="327">
        <v>1395</v>
      </c>
      <c r="AI15" s="327">
        <v>1399</v>
      </c>
      <c r="AJ15" s="327">
        <v>1418</v>
      </c>
      <c r="AK15" s="368">
        <v>1383</v>
      </c>
      <c r="AL15" s="177">
        <v>1334</v>
      </c>
      <c r="AM15" s="368">
        <v>1310</v>
      </c>
      <c r="AN15" s="368">
        <v>1309</v>
      </c>
      <c r="AO15" s="368">
        <v>1292</v>
      </c>
      <c r="AP15" s="271"/>
      <c r="AQ15" s="326">
        <v>1265</v>
      </c>
      <c r="AR15" s="267">
        <v>1395</v>
      </c>
      <c r="AS15" s="231">
        <v>-130</v>
      </c>
      <c r="AT15" s="30">
        <v>-9.3189964157706098E-2</v>
      </c>
      <c r="AU15" s="267"/>
      <c r="AV15" s="744">
        <v>925</v>
      </c>
      <c r="AW15" s="744">
        <v>951</v>
      </c>
      <c r="AX15" s="744">
        <v>1015</v>
      </c>
      <c r="AY15" s="198">
        <v>1309</v>
      </c>
      <c r="AZ15" s="198">
        <v>1325</v>
      </c>
      <c r="BA15" s="198">
        <v>1247</v>
      </c>
      <c r="BB15" s="198">
        <v>1265</v>
      </c>
      <c r="BC15" s="177">
        <v>1395</v>
      </c>
      <c r="BD15" s="177">
        <v>1334</v>
      </c>
      <c r="BE15" s="159">
        <v>1257</v>
      </c>
      <c r="BF15" s="159">
        <v>1190</v>
      </c>
      <c r="BG15" s="159">
        <v>1104</v>
      </c>
      <c r="BH15" s="82"/>
      <c r="BM15" s="3"/>
    </row>
    <row r="16" spans="1:67" ht="12.75" customHeight="1" x14ac:dyDescent="0.2">
      <c r="A16" s="142"/>
      <c r="B16" s="142"/>
      <c r="C16" s="515"/>
      <c r="D16" s="30"/>
      <c r="E16" s="520"/>
      <c r="F16" s="748"/>
      <c r="G16" s="748"/>
      <c r="H16" s="748"/>
      <c r="I16" s="746"/>
      <c r="J16" s="748"/>
      <c r="K16" s="748"/>
      <c r="L16" s="748"/>
      <c r="M16" s="746"/>
      <c r="N16" s="748"/>
      <c r="O16" s="748"/>
      <c r="P16" s="748"/>
      <c r="Q16" s="746"/>
      <c r="R16" s="398"/>
      <c r="S16" s="398"/>
      <c r="T16" s="398"/>
      <c r="U16" s="235"/>
      <c r="V16" s="398"/>
      <c r="W16" s="398"/>
      <c r="X16" s="398"/>
      <c r="Y16" s="235"/>
      <c r="Z16" s="398"/>
      <c r="AA16" s="398"/>
      <c r="AB16" s="398"/>
      <c r="AC16" s="235"/>
      <c r="AD16" s="398"/>
      <c r="AE16" s="398"/>
      <c r="AF16" s="398"/>
      <c r="AG16" s="235"/>
      <c r="AH16" s="327"/>
      <c r="AI16" s="327"/>
      <c r="AJ16" s="327"/>
      <c r="AK16" s="368"/>
      <c r="AL16" s="177"/>
      <c r="AM16" s="368"/>
      <c r="AN16" s="368"/>
      <c r="AO16" s="368"/>
      <c r="AP16" s="271"/>
      <c r="AQ16" s="326"/>
      <c r="AR16" s="267"/>
      <c r="AS16" s="231"/>
      <c r="AT16" s="30"/>
      <c r="AU16" s="267"/>
      <c r="AV16" s="744"/>
      <c r="AW16" s="744"/>
      <c r="AX16" s="744"/>
      <c r="AY16" s="198"/>
      <c r="AZ16" s="198"/>
      <c r="BA16" s="198"/>
      <c r="BB16" s="198"/>
      <c r="BC16" s="177"/>
      <c r="BD16" s="177"/>
      <c r="BE16" s="159"/>
      <c r="BF16" s="159"/>
      <c r="BG16" s="159"/>
      <c r="BH16" s="82"/>
      <c r="BM16" s="3"/>
    </row>
    <row r="17" spans="1:65" ht="12.75" customHeight="1" x14ac:dyDescent="0.2">
      <c r="A17" s="262" t="s">
        <v>271</v>
      </c>
      <c r="B17" s="262"/>
      <c r="C17" s="515"/>
      <c r="D17" s="30"/>
      <c r="E17" s="520"/>
      <c r="F17" s="748"/>
      <c r="G17" s="748"/>
      <c r="H17" s="748"/>
      <c r="I17" s="746"/>
      <c r="J17" s="748"/>
      <c r="K17" s="748"/>
      <c r="L17" s="748"/>
      <c r="M17" s="746"/>
      <c r="N17" s="748"/>
      <c r="O17" s="748"/>
      <c r="P17" s="748"/>
      <c r="Q17" s="746"/>
      <c r="R17" s="816"/>
      <c r="S17" s="816"/>
      <c r="T17" s="816"/>
      <c r="U17" s="300"/>
      <c r="V17" s="816"/>
      <c r="W17" s="816"/>
      <c r="X17" s="816"/>
      <c r="Y17" s="300"/>
      <c r="Z17" s="816"/>
      <c r="AA17" s="816"/>
      <c r="AB17" s="816"/>
      <c r="AC17" s="300"/>
      <c r="AD17" s="816"/>
      <c r="AE17" s="816"/>
      <c r="AF17" s="816"/>
      <c r="AG17" s="300"/>
      <c r="AH17" s="730"/>
      <c r="AI17" s="730"/>
      <c r="AJ17" s="730"/>
      <c r="AK17" s="166"/>
      <c r="AL17" s="616"/>
      <c r="AM17" s="166"/>
      <c r="AN17" s="166"/>
      <c r="AO17" s="166"/>
      <c r="AP17" s="617"/>
      <c r="AQ17" s="212"/>
      <c r="AR17" s="211"/>
      <c r="AS17" s="251"/>
      <c r="AT17" s="901"/>
      <c r="AU17" s="211"/>
      <c r="AV17" s="744"/>
      <c r="AW17" s="270"/>
      <c r="AX17" s="270"/>
      <c r="AY17" s="270"/>
      <c r="AZ17" s="270"/>
      <c r="BA17" s="270"/>
      <c r="BB17" s="270"/>
      <c r="BC17" s="177"/>
      <c r="BD17" s="177"/>
      <c r="BE17" s="159"/>
      <c r="BF17" s="159"/>
      <c r="BG17" s="159"/>
      <c r="BH17" s="82"/>
      <c r="BM17" s="3"/>
    </row>
    <row r="18" spans="1:65" ht="12.75" customHeight="1" x14ac:dyDescent="0.2">
      <c r="A18" s="142"/>
      <c r="B18" s="142" t="s">
        <v>192</v>
      </c>
      <c r="C18" s="515">
        <v>-43</v>
      </c>
      <c r="D18" s="30">
        <v>-0.11559139784946236</v>
      </c>
      <c r="E18" s="520"/>
      <c r="F18" s="748">
        <v>329</v>
      </c>
      <c r="G18" s="748">
        <v>373</v>
      </c>
      <c r="H18" s="748">
        <v>384</v>
      </c>
      <c r="I18" s="746">
        <v>372</v>
      </c>
      <c r="J18" s="748">
        <v>372</v>
      </c>
      <c r="K18" s="748">
        <v>361</v>
      </c>
      <c r="L18" s="748">
        <v>385</v>
      </c>
      <c r="M18" s="746">
        <v>388</v>
      </c>
      <c r="N18" s="748">
        <v>400</v>
      </c>
      <c r="O18" s="748">
        <v>424</v>
      </c>
      <c r="P18" s="748">
        <v>420</v>
      </c>
      <c r="Q18" s="746">
        <v>427</v>
      </c>
      <c r="R18" s="816">
        <v>461</v>
      </c>
      <c r="S18" s="816">
        <v>143</v>
      </c>
      <c r="T18" s="816">
        <v>152</v>
      </c>
      <c r="U18" s="300">
        <v>155</v>
      </c>
      <c r="V18" s="816">
        <v>143</v>
      </c>
      <c r="W18" s="816">
        <v>140</v>
      </c>
      <c r="X18" s="816">
        <v>142</v>
      </c>
      <c r="Y18" s="300">
        <v>137</v>
      </c>
      <c r="Z18" s="816">
        <v>138</v>
      </c>
      <c r="AA18" s="816">
        <v>136</v>
      </c>
      <c r="AB18" s="816">
        <v>124</v>
      </c>
      <c r="AC18" s="300">
        <v>111</v>
      </c>
      <c r="AD18" s="816">
        <v>114</v>
      </c>
      <c r="AE18" s="816">
        <v>117</v>
      </c>
      <c r="AF18" s="816">
        <v>127</v>
      </c>
      <c r="AG18" s="300">
        <v>125</v>
      </c>
      <c r="AH18" s="730">
        <v>125</v>
      </c>
      <c r="AI18" s="730">
        <v>116</v>
      </c>
      <c r="AJ18" s="730">
        <v>109</v>
      </c>
      <c r="AK18" s="166">
        <v>104</v>
      </c>
      <c r="AL18" s="616">
        <v>93</v>
      </c>
      <c r="AM18" s="166">
        <v>95</v>
      </c>
      <c r="AN18" s="166">
        <v>89</v>
      </c>
      <c r="AO18" s="166">
        <v>88</v>
      </c>
      <c r="AP18" s="617"/>
      <c r="AQ18" s="212">
        <v>105</v>
      </c>
      <c r="AR18" s="211">
        <v>112</v>
      </c>
      <c r="AS18" s="251">
        <v>-7</v>
      </c>
      <c r="AT18" s="901">
        <v>-6.25E-2</v>
      </c>
      <c r="AU18" s="211"/>
      <c r="AV18" s="744">
        <v>329</v>
      </c>
      <c r="AW18" s="744">
        <v>372</v>
      </c>
      <c r="AX18" s="270">
        <v>400</v>
      </c>
      <c r="AY18" s="270">
        <v>461</v>
      </c>
      <c r="AZ18" s="270">
        <v>143</v>
      </c>
      <c r="BA18" s="270">
        <v>138</v>
      </c>
      <c r="BB18" s="270">
        <v>105</v>
      </c>
      <c r="BC18" s="177">
        <v>112</v>
      </c>
      <c r="BD18" s="177">
        <v>81</v>
      </c>
      <c r="BE18" s="159">
        <v>81</v>
      </c>
      <c r="BF18" s="159">
        <v>70</v>
      </c>
      <c r="BG18" s="159">
        <v>52</v>
      </c>
      <c r="BH18" s="82"/>
      <c r="BM18" s="3"/>
    </row>
    <row r="19" spans="1:65" s="613" customFormat="1" ht="12.75" customHeight="1" x14ac:dyDescent="0.2">
      <c r="A19" s="142"/>
      <c r="B19" s="726" t="s">
        <v>352</v>
      </c>
      <c r="C19" s="515">
        <v>9</v>
      </c>
      <c r="D19" s="742">
        <v>3.0612244897959183E-2</v>
      </c>
      <c r="E19" s="520"/>
      <c r="F19" s="748">
        <v>303</v>
      </c>
      <c r="G19" s="750">
        <v>308</v>
      </c>
      <c r="H19" s="750">
        <v>305</v>
      </c>
      <c r="I19" s="749">
        <v>305</v>
      </c>
      <c r="J19" s="748">
        <v>294</v>
      </c>
      <c r="K19" s="750">
        <v>294</v>
      </c>
      <c r="L19" s="750">
        <v>287</v>
      </c>
      <c r="M19" s="749">
        <v>289</v>
      </c>
      <c r="N19" s="748">
        <v>294</v>
      </c>
      <c r="O19" s="750">
        <v>298</v>
      </c>
      <c r="P19" s="750">
        <v>262</v>
      </c>
      <c r="Q19" s="749">
        <v>267</v>
      </c>
      <c r="R19" s="816">
        <v>276</v>
      </c>
      <c r="S19" s="251">
        <v>0</v>
      </c>
      <c r="T19" s="251">
        <v>0</v>
      </c>
      <c r="U19" s="300">
        <v>0</v>
      </c>
      <c r="V19" s="251">
        <v>0</v>
      </c>
      <c r="W19" s="251">
        <v>0</v>
      </c>
      <c r="X19" s="251">
        <v>0</v>
      </c>
      <c r="Y19" s="300">
        <v>0</v>
      </c>
      <c r="Z19" s="251">
        <v>0</v>
      </c>
      <c r="AA19" s="251">
        <v>0</v>
      </c>
      <c r="AB19" s="816"/>
      <c r="AC19" s="300"/>
      <c r="AD19" s="816"/>
      <c r="AE19" s="816"/>
      <c r="AF19" s="816"/>
      <c r="AG19" s="300"/>
      <c r="AH19" s="730"/>
      <c r="AI19" s="730"/>
      <c r="AJ19" s="730"/>
      <c r="AK19" s="166"/>
      <c r="AL19" s="616"/>
      <c r="AM19" s="166"/>
      <c r="AN19" s="166"/>
      <c r="AO19" s="166"/>
      <c r="AP19" s="617"/>
      <c r="AQ19" s="212"/>
      <c r="AR19" s="211"/>
      <c r="AS19" s="251"/>
      <c r="AT19" s="901"/>
      <c r="AU19" s="211"/>
      <c r="AV19" s="744">
        <v>303</v>
      </c>
      <c r="AW19" s="744">
        <v>294</v>
      </c>
      <c r="AX19" s="270">
        <v>294</v>
      </c>
      <c r="AY19" s="270">
        <v>276</v>
      </c>
      <c r="AZ19" s="270">
        <v>0</v>
      </c>
      <c r="BA19" s="270">
        <v>0</v>
      </c>
      <c r="BB19" s="270">
        <v>0</v>
      </c>
      <c r="BC19" s="588">
        <v>0</v>
      </c>
      <c r="BD19" s="177"/>
      <c r="BE19" s="159"/>
      <c r="BF19" s="159"/>
      <c r="BG19" s="159"/>
      <c r="BH19" s="82"/>
      <c r="BM19" s="3"/>
    </row>
    <row r="20" spans="1:65" ht="12.75" customHeight="1" x14ac:dyDescent="0.2">
      <c r="A20" s="142"/>
      <c r="B20" s="142"/>
      <c r="C20" s="515"/>
      <c r="D20" s="30"/>
      <c r="E20" s="520"/>
      <c r="F20" s="748"/>
      <c r="G20" s="748"/>
      <c r="H20" s="748"/>
      <c r="I20" s="746"/>
      <c r="J20" s="748"/>
      <c r="K20" s="748"/>
      <c r="L20" s="748"/>
      <c r="M20" s="746"/>
      <c r="N20" s="748"/>
      <c r="O20" s="748"/>
      <c r="P20" s="748"/>
      <c r="Q20" s="746"/>
      <c r="R20" s="816"/>
      <c r="S20" s="816"/>
      <c r="T20" s="816"/>
      <c r="U20" s="300"/>
      <c r="V20" s="816"/>
      <c r="W20" s="816"/>
      <c r="X20" s="816"/>
      <c r="Y20" s="300"/>
      <c r="Z20" s="816"/>
      <c r="AA20" s="816"/>
      <c r="AB20" s="816"/>
      <c r="AC20" s="300"/>
      <c r="AD20" s="816"/>
      <c r="AE20" s="816"/>
      <c r="AF20" s="816"/>
      <c r="AG20" s="300"/>
      <c r="AH20" s="730"/>
      <c r="AI20" s="730"/>
      <c r="AJ20" s="730"/>
      <c r="AK20" s="166"/>
      <c r="AL20" s="616"/>
      <c r="AM20" s="166"/>
      <c r="AN20" s="166"/>
      <c r="AO20" s="166"/>
      <c r="AP20" s="617"/>
      <c r="AQ20" s="212"/>
      <c r="AR20" s="211"/>
      <c r="AS20" s="251"/>
      <c r="AT20" s="901"/>
      <c r="AU20" s="211"/>
      <c r="AV20" s="744"/>
      <c r="AW20" s="270"/>
      <c r="AX20" s="270"/>
      <c r="AY20" s="270"/>
      <c r="AZ20" s="270"/>
      <c r="BA20" s="270"/>
      <c r="BB20" s="270"/>
      <c r="BC20" s="177"/>
      <c r="BD20" s="177"/>
      <c r="BE20" s="159"/>
      <c r="BF20" s="159"/>
      <c r="BG20" s="159"/>
      <c r="BH20" s="82"/>
      <c r="BM20" s="3"/>
    </row>
    <row r="21" spans="1:65" ht="12.75" customHeight="1" x14ac:dyDescent="0.2">
      <c r="A21" s="262" t="s">
        <v>117</v>
      </c>
      <c r="B21" s="262"/>
      <c r="C21" s="515"/>
      <c r="D21" s="30"/>
      <c r="E21" s="520"/>
      <c r="F21" s="748"/>
      <c r="G21" s="748"/>
      <c r="H21" s="748"/>
      <c r="I21" s="746"/>
      <c r="J21" s="748"/>
      <c r="K21" s="748"/>
      <c r="L21" s="748"/>
      <c r="M21" s="746"/>
      <c r="N21" s="748"/>
      <c r="O21" s="748"/>
      <c r="P21" s="748"/>
      <c r="Q21" s="746"/>
      <c r="R21" s="816"/>
      <c r="S21" s="816"/>
      <c r="T21" s="816"/>
      <c r="U21" s="300"/>
      <c r="V21" s="816"/>
      <c r="W21" s="816"/>
      <c r="X21" s="816"/>
      <c r="Y21" s="300"/>
      <c r="Z21" s="816"/>
      <c r="AA21" s="816"/>
      <c r="AB21" s="816"/>
      <c r="AC21" s="300"/>
      <c r="AD21" s="816"/>
      <c r="AE21" s="816"/>
      <c r="AF21" s="816"/>
      <c r="AG21" s="300"/>
      <c r="AH21" s="730"/>
      <c r="AI21" s="730"/>
      <c r="AJ21" s="730"/>
      <c r="AK21" s="166"/>
      <c r="AL21" s="616"/>
      <c r="AM21" s="166"/>
      <c r="AN21" s="166"/>
      <c r="AO21" s="166"/>
      <c r="AP21" s="617"/>
      <c r="AQ21" s="212"/>
      <c r="AR21" s="211"/>
      <c r="AS21" s="251"/>
      <c r="AT21" s="901"/>
      <c r="AU21" s="211"/>
      <c r="AV21" s="744"/>
      <c r="AW21" s="270"/>
      <c r="AX21" s="270"/>
      <c r="AY21" s="270"/>
      <c r="AZ21" s="270"/>
      <c r="BA21" s="270"/>
      <c r="BB21" s="270"/>
      <c r="BC21" s="177"/>
      <c r="BD21" s="177"/>
      <c r="BE21" s="159"/>
      <c r="BF21" s="159"/>
      <c r="BG21" s="159"/>
      <c r="BH21" s="82"/>
      <c r="BM21" s="3"/>
    </row>
    <row r="22" spans="1:65" ht="12.75" customHeight="1" x14ac:dyDescent="0.2">
      <c r="A22" s="142"/>
      <c r="B22" s="142" t="s">
        <v>192</v>
      </c>
      <c r="C22" s="515">
        <v>-17</v>
      </c>
      <c r="D22" s="30">
        <v>-5.944055944055944E-2</v>
      </c>
      <c r="E22" s="520"/>
      <c r="F22" s="748">
        <v>269</v>
      </c>
      <c r="G22" s="748">
        <v>294</v>
      </c>
      <c r="H22" s="748">
        <v>295</v>
      </c>
      <c r="I22" s="746">
        <v>291</v>
      </c>
      <c r="J22" s="748">
        <v>286</v>
      </c>
      <c r="K22" s="748">
        <v>279</v>
      </c>
      <c r="L22" s="748">
        <v>275</v>
      </c>
      <c r="M22" s="746">
        <v>264</v>
      </c>
      <c r="N22" s="748">
        <v>253</v>
      </c>
      <c r="O22" s="748">
        <v>259</v>
      </c>
      <c r="P22" s="748">
        <v>252</v>
      </c>
      <c r="Q22" s="746">
        <v>304</v>
      </c>
      <c r="R22" s="816">
        <v>302</v>
      </c>
      <c r="S22" s="816">
        <v>176</v>
      </c>
      <c r="T22" s="816">
        <v>186</v>
      </c>
      <c r="U22" s="300">
        <v>180</v>
      </c>
      <c r="V22" s="816">
        <v>175</v>
      </c>
      <c r="W22" s="816">
        <v>175</v>
      </c>
      <c r="X22" s="816">
        <v>178</v>
      </c>
      <c r="Y22" s="300">
        <v>169</v>
      </c>
      <c r="Z22" s="816">
        <v>163</v>
      </c>
      <c r="AA22" s="816">
        <v>162</v>
      </c>
      <c r="AB22" s="816">
        <v>157</v>
      </c>
      <c r="AC22" s="300">
        <v>152</v>
      </c>
      <c r="AD22" s="902">
        <v>151</v>
      </c>
      <c r="AE22" s="816">
        <v>152</v>
      </c>
      <c r="AF22" s="816">
        <v>176</v>
      </c>
      <c r="AG22" s="300">
        <v>169</v>
      </c>
      <c r="AH22" s="730">
        <v>163</v>
      </c>
      <c r="AI22" s="730">
        <v>161</v>
      </c>
      <c r="AJ22" s="730">
        <v>162</v>
      </c>
      <c r="AK22" s="166">
        <v>170</v>
      </c>
      <c r="AL22" s="616">
        <v>163</v>
      </c>
      <c r="AM22" s="166">
        <v>170</v>
      </c>
      <c r="AN22" s="166">
        <v>164</v>
      </c>
      <c r="AO22" s="166">
        <v>154</v>
      </c>
      <c r="AP22" s="617"/>
      <c r="AQ22" s="212">
        <v>151</v>
      </c>
      <c r="AR22" s="211">
        <v>163</v>
      </c>
      <c r="AS22" s="251">
        <v>-12</v>
      </c>
      <c r="AT22" s="901">
        <v>-7.3619631901840496E-2</v>
      </c>
      <c r="AU22" s="211"/>
      <c r="AV22" s="744">
        <v>269</v>
      </c>
      <c r="AW22" s="270">
        <v>286</v>
      </c>
      <c r="AX22" s="270">
        <v>253</v>
      </c>
      <c r="AY22" s="270">
        <v>302</v>
      </c>
      <c r="AZ22" s="270">
        <v>175</v>
      </c>
      <c r="BA22" s="270">
        <v>163</v>
      </c>
      <c r="BB22" s="270">
        <v>151</v>
      </c>
      <c r="BC22" s="177">
        <v>163</v>
      </c>
      <c r="BD22" s="177">
        <v>163</v>
      </c>
      <c r="BE22" s="159">
        <v>150</v>
      </c>
      <c r="BF22" s="159">
        <v>0</v>
      </c>
      <c r="BG22" s="159">
        <v>0</v>
      </c>
      <c r="BH22" s="82"/>
      <c r="BM22" s="3"/>
    </row>
    <row r="23" spans="1:65" ht="12.75" customHeight="1" x14ac:dyDescent="0.2">
      <c r="A23" s="142"/>
      <c r="B23" s="142"/>
      <c r="C23" s="515"/>
      <c r="D23" s="30"/>
      <c r="E23" s="520"/>
      <c r="F23" s="748"/>
      <c r="G23" s="748"/>
      <c r="H23" s="748"/>
      <c r="I23" s="746"/>
      <c r="J23" s="748"/>
      <c r="K23" s="748"/>
      <c r="L23" s="748"/>
      <c r="M23" s="746"/>
      <c r="N23" s="748"/>
      <c r="O23" s="748"/>
      <c r="P23" s="748"/>
      <c r="Q23" s="746"/>
      <c r="R23" s="816"/>
      <c r="S23" s="816"/>
      <c r="T23" s="816"/>
      <c r="U23" s="300"/>
      <c r="V23" s="816"/>
      <c r="W23" s="816"/>
      <c r="X23" s="816"/>
      <c r="Y23" s="300"/>
      <c r="Z23" s="816"/>
      <c r="AA23" s="816"/>
      <c r="AB23" s="816"/>
      <c r="AC23" s="300"/>
      <c r="AD23" s="902"/>
      <c r="AE23" s="816"/>
      <c r="AF23" s="816"/>
      <c r="AG23" s="300"/>
      <c r="AH23" s="730"/>
      <c r="AI23" s="730"/>
      <c r="AJ23" s="730"/>
      <c r="AK23" s="166"/>
      <c r="AL23" s="616"/>
      <c r="AM23" s="166"/>
      <c r="AN23" s="166"/>
      <c r="AO23" s="166"/>
      <c r="AP23" s="617"/>
      <c r="AQ23" s="212"/>
      <c r="AR23" s="211"/>
      <c r="AS23" s="251"/>
      <c r="AT23" s="901"/>
      <c r="AU23" s="211"/>
      <c r="AV23" s="744"/>
      <c r="AW23" s="270"/>
      <c r="AX23" s="270"/>
      <c r="AY23" s="270"/>
      <c r="AZ23" s="270"/>
      <c r="BA23" s="270"/>
      <c r="BB23" s="270"/>
      <c r="BC23" s="177"/>
      <c r="BD23" s="177"/>
      <c r="BE23" s="159"/>
      <c r="BF23" s="159"/>
      <c r="BG23" s="159"/>
      <c r="BH23" s="82"/>
      <c r="BM23" s="3"/>
    </row>
    <row r="24" spans="1:65" ht="12.75" customHeight="1" x14ac:dyDescent="0.2">
      <c r="A24" s="262" t="s">
        <v>256</v>
      </c>
      <c r="B24" s="262"/>
      <c r="C24" s="515"/>
      <c r="D24" s="30"/>
      <c r="E24" s="520"/>
      <c r="F24" s="748"/>
      <c r="G24" s="748"/>
      <c r="H24" s="748"/>
      <c r="I24" s="746"/>
      <c r="J24" s="748"/>
      <c r="K24" s="748"/>
      <c r="L24" s="748"/>
      <c r="M24" s="746"/>
      <c r="N24" s="748"/>
      <c r="O24" s="748"/>
      <c r="P24" s="748"/>
      <c r="Q24" s="746"/>
      <c r="R24" s="816"/>
      <c r="S24" s="816"/>
      <c r="T24" s="816"/>
      <c r="U24" s="300"/>
      <c r="V24" s="816"/>
      <c r="W24" s="816"/>
      <c r="X24" s="816"/>
      <c r="Y24" s="300"/>
      <c r="Z24" s="816"/>
      <c r="AA24" s="816"/>
      <c r="AB24" s="816"/>
      <c r="AC24" s="300"/>
      <c r="AD24" s="902"/>
      <c r="AE24" s="816"/>
      <c r="AF24" s="816"/>
      <c r="AG24" s="300"/>
      <c r="AH24" s="730"/>
      <c r="AI24" s="730"/>
      <c r="AJ24" s="730"/>
      <c r="AK24" s="166"/>
      <c r="AL24" s="616"/>
      <c r="AM24" s="166"/>
      <c r="AN24" s="166"/>
      <c r="AO24" s="166"/>
      <c r="AP24" s="617"/>
      <c r="AQ24" s="212"/>
      <c r="AR24" s="211"/>
      <c r="AS24" s="251"/>
      <c r="AT24" s="901"/>
      <c r="AU24" s="211"/>
      <c r="AV24" s="744"/>
      <c r="AW24" s="270"/>
      <c r="AX24" s="270"/>
      <c r="AY24" s="270"/>
      <c r="AZ24" s="270"/>
      <c r="BA24" s="270"/>
      <c r="BB24" s="270"/>
      <c r="BC24" s="177"/>
      <c r="BD24" s="177"/>
      <c r="BE24" s="159"/>
      <c r="BF24" s="159"/>
      <c r="BG24" s="159"/>
      <c r="BH24" s="82"/>
      <c r="BM24" s="3"/>
    </row>
    <row r="25" spans="1:65" ht="12.75" customHeight="1" x14ac:dyDescent="0.2">
      <c r="A25" s="142"/>
      <c r="B25" s="142" t="s">
        <v>257</v>
      </c>
      <c r="C25" s="515">
        <v>0</v>
      </c>
      <c r="D25" s="685">
        <v>0</v>
      </c>
      <c r="E25" s="520"/>
      <c r="F25" s="748">
        <v>89</v>
      </c>
      <c r="G25" s="748">
        <v>87</v>
      </c>
      <c r="H25" s="748">
        <v>86</v>
      </c>
      <c r="I25" s="269">
        <v>88</v>
      </c>
      <c r="J25" s="748">
        <v>89</v>
      </c>
      <c r="K25" s="748">
        <v>90</v>
      </c>
      <c r="L25" s="748">
        <v>90</v>
      </c>
      <c r="M25" s="269">
        <v>88</v>
      </c>
      <c r="N25" s="748">
        <v>84</v>
      </c>
      <c r="O25" s="748">
        <v>85</v>
      </c>
      <c r="P25" s="748">
        <v>81</v>
      </c>
      <c r="Q25" s="269">
        <v>82</v>
      </c>
      <c r="R25" s="816">
        <v>80</v>
      </c>
      <c r="S25" s="816">
        <v>69</v>
      </c>
      <c r="T25" s="816">
        <v>36</v>
      </c>
      <c r="U25" s="901">
        <v>36</v>
      </c>
      <c r="V25" s="816">
        <v>41</v>
      </c>
      <c r="W25" s="816">
        <v>1</v>
      </c>
      <c r="X25" s="816">
        <v>1</v>
      </c>
      <c r="Y25" s="901">
        <v>1</v>
      </c>
      <c r="Z25" s="903">
        <v>1</v>
      </c>
      <c r="AA25" s="816">
        <v>1</v>
      </c>
      <c r="AB25" s="816">
        <v>1</v>
      </c>
      <c r="AC25" s="901">
        <v>7</v>
      </c>
      <c r="AD25" s="902" t="s">
        <v>186</v>
      </c>
      <c r="AE25" s="816"/>
      <c r="AF25" s="816"/>
      <c r="AG25" s="300"/>
      <c r="AH25" s="730"/>
      <c r="AI25" s="730"/>
      <c r="AJ25" s="730"/>
      <c r="AK25" s="166"/>
      <c r="AL25" s="616"/>
      <c r="AM25" s="166"/>
      <c r="AN25" s="166"/>
      <c r="AO25" s="166"/>
      <c r="AP25" s="617"/>
      <c r="AQ25" s="212"/>
      <c r="AR25" s="211"/>
      <c r="AS25" s="251"/>
      <c r="AT25" s="901"/>
      <c r="AU25" s="211"/>
      <c r="AV25" s="744">
        <v>89</v>
      </c>
      <c r="AW25" s="270">
        <v>89</v>
      </c>
      <c r="AX25" s="270">
        <v>84</v>
      </c>
      <c r="AY25" s="270">
        <v>80</v>
      </c>
      <c r="AZ25" s="270">
        <v>41</v>
      </c>
      <c r="BA25" s="270">
        <v>1</v>
      </c>
      <c r="BB25" s="270">
        <v>9</v>
      </c>
      <c r="BC25" s="198">
        <v>13</v>
      </c>
      <c r="BD25" s="198">
        <v>12</v>
      </c>
      <c r="BE25" s="159">
        <v>150</v>
      </c>
      <c r="BF25" s="159">
        <v>0</v>
      </c>
      <c r="BG25" s="159">
        <v>0</v>
      </c>
      <c r="BH25" s="82"/>
      <c r="BM25" s="3"/>
    </row>
    <row r="26" spans="1:65" s="721" customFormat="1" ht="12.75" customHeight="1" x14ac:dyDescent="0.2">
      <c r="A26" s="726"/>
      <c r="B26" s="726" t="s">
        <v>352</v>
      </c>
      <c r="C26" s="515">
        <v>1</v>
      </c>
      <c r="D26" s="742">
        <v>8.3333333333333329E-2</v>
      </c>
      <c r="E26" s="741"/>
      <c r="F26" s="748">
        <v>13</v>
      </c>
      <c r="G26" s="748">
        <v>13</v>
      </c>
      <c r="H26" s="748">
        <v>13</v>
      </c>
      <c r="I26" s="269">
        <v>13</v>
      </c>
      <c r="J26" s="748">
        <v>12</v>
      </c>
      <c r="K26" s="748">
        <v>12</v>
      </c>
      <c r="L26" s="748">
        <v>10</v>
      </c>
      <c r="M26" s="269">
        <v>10</v>
      </c>
      <c r="N26" s="748">
        <v>14</v>
      </c>
      <c r="O26" s="748">
        <v>14</v>
      </c>
      <c r="P26" s="748">
        <v>15</v>
      </c>
      <c r="Q26" s="269">
        <v>11</v>
      </c>
      <c r="R26" s="251">
        <v>0</v>
      </c>
      <c r="S26" s="251">
        <v>0</v>
      </c>
      <c r="T26" s="251">
        <v>0</v>
      </c>
      <c r="U26" s="300">
        <v>0</v>
      </c>
      <c r="V26" s="251">
        <v>0</v>
      </c>
      <c r="W26" s="251">
        <v>0</v>
      </c>
      <c r="X26" s="251">
        <v>0</v>
      </c>
      <c r="Y26" s="300">
        <v>0</v>
      </c>
      <c r="Z26" s="903"/>
      <c r="AA26" s="816"/>
      <c r="AB26" s="816"/>
      <c r="AC26" s="901"/>
      <c r="AD26" s="902"/>
      <c r="AE26" s="816"/>
      <c r="AF26" s="816"/>
      <c r="AG26" s="300"/>
      <c r="AH26" s="730"/>
      <c r="AI26" s="730"/>
      <c r="AJ26" s="730"/>
      <c r="AK26" s="166"/>
      <c r="AL26" s="616"/>
      <c r="AM26" s="166"/>
      <c r="AN26" s="166"/>
      <c r="AO26" s="166"/>
      <c r="AP26" s="617"/>
      <c r="AQ26" s="212"/>
      <c r="AR26" s="211"/>
      <c r="AS26" s="251"/>
      <c r="AT26" s="901"/>
      <c r="AU26" s="211"/>
      <c r="AV26" s="744">
        <v>13</v>
      </c>
      <c r="AW26" s="270">
        <v>12</v>
      </c>
      <c r="AX26" s="270">
        <v>14</v>
      </c>
      <c r="AY26" s="270">
        <v>0</v>
      </c>
      <c r="AZ26" s="270">
        <v>0</v>
      </c>
      <c r="BA26" s="270">
        <v>0</v>
      </c>
      <c r="BB26" s="270">
        <v>0</v>
      </c>
      <c r="BC26" s="752">
        <v>0</v>
      </c>
      <c r="BD26" s="744"/>
      <c r="BE26" s="728"/>
      <c r="BF26" s="728"/>
      <c r="BG26" s="728"/>
      <c r="BH26" s="724"/>
      <c r="BM26" s="722"/>
    </row>
    <row r="27" spans="1:65" ht="12.75" customHeight="1" x14ac:dyDescent="0.2">
      <c r="A27" s="142"/>
      <c r="B27" s="142"/>
      <c r="C27" s="515"/>
      <c r="D27" s="30"/>
      <c r="E27" s="1415"/>
      <c r="F27" s="748"/>
      <c r="G27" s="748"/>
      <c r="H27" s="748"/>
      <c r="I27" s="746"/>
      <c r="J27" s="748"/>
      <c r="K27" s="748"/>
      <c r="L27" s="748"/>
      <c r="M27" s="746"/>
      <c r="N27" s="748"/>
      <c r="O27" s="748"/>
      <c r="P27" s="748"/>
      <c r="Q27" s="746"/>
      <c r="R27" s="816"/>
      <c r="S27" s="816"/>
      <c r="T27" s="816"/>
      <c r="U27" s="300"/>
      <c r="V27" s="816"/>
      <c r="W27" s="816"/>
      <c r="X27" s="816"/>
      <c r="Y27" s="300"/>
      <c r="Z27" s="903"/>
      <c r="AA27" s="816"/>
      <c r="AB27" s="816"/>
      <c r="AC27" s="300"/>
      <c r="AD27" s="902"/>
      <c r="AE27" s="816"/>
      <c r="AF27" s="816"/>
      <c r="AG27" s="300"/>
      <c r="AH27" s="730"/>
      <c r="AI27" s="730"/>
      <c r="AJ27" s="730"/>
      <c r="AK27" s="166"/>
      <c r="AL27" s="616"/>
      <c r="AM27" s="166"/>
      <c r="AN27" s="166"/>
      <c r="AO27" s="166"/>
      <c r="AP27" s="617"/>
      <c r="AQ27" s="212"/>
      <c r="AR27" s="211"/>
      <c r="AS27" s="251"/>
      <c r="AT27" s="901"/>
      <c r="AU27" s="211"/>
      <c r="AV27" s="744"/>
      <c r="AW27" s="270"/>
      <c r="AX27" s="270"/>
      <c r="AY27" s="270"/>
      <c r="AZ27" s="270"/>
      <c r="BA27" s="270"/>
      <c r="BB27" s="270"/>
      <c r="BC27" s="177"/>
      <c r="BD27" s="177"/>
      <c r="BE27" s="159"/>
      <c r="BF27" s="159"/>
      <c r="BG27" s="159"/>
      <c r="BH27" s="82"/>
      <c r="BM27" s="3"/>
    </row>
    <row r="28" spans="1:65" ht="12.75" customHeight="1" x14ac:dyDescent="0.2">
      <c r="A28" s="733" t="s">
        <v>325</v>
      </c>
      <c r="B28" s="142"/>
      <c r="C28" s="515">
        <v>-76</v>
      </c>
      <c r="D28" s="30">
        <v>-3.7924151696606789E-2</v>
      </c>
      <c r="E28" s="520"/>
      <c r="F28" s="748">
        <v>1928</v>
      </c>
      <c r="G28" s="748">
        <v>2002</v>
      </c>
      <c r="H28" s="748">
        <v>2018</v>
      </c>
      <c r="I28" s="269">
        <v>2011</v>
      </c>
      <c r="J28" s="748">
        <v>2004</v>
      </c>
      <c r="K28" s="748">
        <v>1994</v>
      </c>
      <c r="L28" s="748">
        <v>2012</v>
      </c>
      <c r="M28" s="269">
        <v>2031</v>
      </c>
      <c r="N28" s="748">
        <v>2060</v>
      </c>
      <c r="O28" s="748">
        <v>2129</v>
      </c>
      <c r="P28" s="748">
        <v>2215</v>
      </c>
      <c r="Q28" s="269">
        <v>2368</v>
      </c>
      <c r="R28" s="816">
        <v>2428</v>
      </c>
      <c r="S28" s="816">
        <v>1735</v>
      </c>
      <c r="T28" s="816">
        <v>1710</v>
      </c>
      <c r="U28" s="901">
        <v>1684</v>
      </c>
      <c r="V28" s="816">
        <v>1684</v>
      </c>
      <c r="W28" s="816">
        <v>1628</v>
      </c>
      <c r="X28" s="816">
        <v>1631</v>
      </c>
      <c r="Y28" s="901">
        <v>1640</v>
      </c>
      <c r="Z28" s="903">
        <v>1549</v>
      </c>
      <c r="AA28" s="816">
        <v>1570</v>
      </c>
      <c r="AB28" s="816">
        <v>1539</v>
      </c>
      <c r="AC28" s="300">
        <v>1514</v>
      </c>
      <c r="AD28" s="902">
        <v>1530</v>
      </c>
      <c r="AE28" s="816">
        <v>1570</v>
      </c>
      <c r="AF28" s="816">
        <v>1688</v>
      </c>
      <c r="AG28" s="300">
        <v>1698</v>
      </c>
      <c r="AH28" s="730">
        <v>1683</v>
      </c>
      <c r="AI28" s="730">
        <v>1676</v>
      </c>
      <c r="AJ28" s="730">
        <v>1689</v>
      </c>
      <c r="AK28" s="166">
        <v>1657</v>
      </c>
      <c r="AL28" s="616">
        <v>1590</v>
      </c>
      <c r="AM28" s="166">
        <v>1575</v>
      </c>
      <c r="AN28" s="166">
        <v>1562</v>
      </c>
      <c r="AO28" s="166">
        <v>1534</v>
      </c>
      <c r="AP28" s="617"/>
      <c r="AQ28" s="212">
        <v>1530</v>
      </c>
      <c r="AR28" s="211">
        <v>1683</v>
      </c>
      <c r="AS28" s="251">
        <v>-153</v>
      </c>
      <c r="AT28" s="901">
        <v>-9.0909090909090912E-2</v>
      </c>
      <c r="AU28" s="211"/>
      <c r="AV28" s="744">
        <v>1928</v>
      </c>
      <c r="AW28" s="270">
        <v>2004</v>
      </c>
      <c r="AX28" s="270">
        <v>2060</v>
      </c>
      <c r="AY28" s="270">
        <v>2428</v>
      </c>
      <c r="AZ28" s="901">
        <v>1684</v>
      </c>
      <c r="BA28" s="270">
        <v>1549</v>
      </c>
      <c r="BB28" s="270">
        <v>1530</v>
      </c>
      <c r="BC28" s="177">
        <v>1683</v>
      </c>
      <c r="BD28" s="177">
        <v>1590</v>
      </c>
      <c r="BE28" s="159">
        <v>1638</v>
      </c>
      <c r="BF28" s="159">
        <v>1260</v>
      </c>
      <c r="BG28" s="159">
        <v>1156</v>
      </c>
      <c r="BH28" s="82"/>
      <c r="BM28" s="3"/>
    </row>
    <row r="29" spans="1:65" ht="12.75" customHeight="1" x14ac:dyDescent="0.2">
      <c r="A29" s="142"/>
      <c r="B29" s="142"/>
      <c r="C29" s="515"/>
      <c r="D29" s="30"/>
      <c r="E29" s="520"/>
      <c r="F29" s="755"/>
      <c r="G29" s="755"/>
      <c r="H29" s="748"/>
      <c r="I29" s="746"/>
      <c r="J29" s="755"/>
      <c r="K29" s="755"/>
      <c r="L29" s="748"/>
      <c r="M29" s="746"/>
      <c r="N29" s="755"/>
      <c r="O29" s="755"/>
      <c r="P29" s="748"/>
      <c r="Q29" s="746"/>
      <c r="R29" s="816"/>
      <c r="S29" s="816"/>
      <c r="T29" s="816"/>
      <c r="U29" s="300"/>
      <c r="V29" s="816"/>
      <c r="W29" s="816"/>
      <c r="X29" s="816"/>
      <c r="Y29" s="300"/>
      <c r="Z29" s="816"/>
      <c r="AA29" s="816"/>
      <c r="AB29" s="816"/>
      <c r="AC29" s="300"/>
      <c r="AD29" s="902"/>
      <c r="AE29" s="816"/>
      <c r="AF29" s="816"/>
      <c r="AG29" s="300"/>
      <c r="AH29" s="730"/>
      <c r="AI29" s="730"/>
      <c r="AJ29" s="730"/>
      <c r="AK29" s="166"/>
      <c r="AL29" s="616"/>
      <c r="AM29" s="166"/>
      <c r="AN29" s="166"/>
      <c r="AO29" s="166"/>
      <c r="AP29" s="617"/>
      <c r="AQ29" s="212"/>
      <c r="AR29" s="211"/>
      <c r="AS29" s="251"/>
      <c r="AT29" s="901"/>
      <c r="AU29" s="211"/>
      <c r="AV29" s="744"/>
      <c r="AW29" s="270"/>
      <c r="AX29" s="270"/>
      <c r="AY29" s="270"/>
      <c r="AZ29" s="270"/>
      <c r="BA29" s="270"/>
      <c r="BB29" s="270"/>
      <c r="BC29" s="177"/>
      <c r="BD29" s="177"/>
      <c r="BE29" s="159"/>
      <c r="BF29" s="159"/>
      <c r="BG29" s="159"/>
      <c r="BH29" s="82"/>
      <c r="BM29" s="3"/>
    </row>
    <row r="30" spans="1:65" ht="12.75" customHeight="1" x14ac:dyDescent="0.2">
      <c r="A30" s="262" t="s">
        <v>274</v>
      </c>
      <c r="B30" s="142"/>
      <c r="C30" s="515">
        <v>-8</v>
      </c>
      <c r="D30" s="30">
        <v>-0.05</v>
      </c>
      <c r="E30" s="520"/>
      <c r="F30" s="748">
        <v>152</v>
      </c>
      <c r="G30" s="748">
        <v>161</v>
      </c>
      <c r="H30" s="748">
        <v>162</v>
      </c>
      <c r="I30" s="746">
        <v>163</v>
      </c>
      <c r="J30" s="748">
        <v>160</v>
      </c>
      <c r="K30" s="748">
        <v>163</v>
      </c>
      <c r="L30" s="748">
        <v>163</v>
      </c>
      <c r="M30" s="746">
        <v>173</v>
      </c>
      <c r="N30" s="748">
        <v>178</v>
      </c>
      <c r="O30" s="748">
        <v>184</v>
      </c>
      <c r="P30" s="748">
        <v>231</v>
      </c>
      <c r="Q30" s="746">
        <v>269</v>
      </c>
      <c r="R30" s="816">
        <v>280</v>
      </c>
      <c r="S30" s="816">
        <v>278</v>
      </c>
      <c r="T30" s="816">
        <v>271</v>
      </c>
      <c r="U30" s="300">
        <v>263</v>
      </c>
      <c r="V30" s="816">
        <v>271</v>
      </c>
      <c r="W30" s="816">
        <v>272</v>
      </c>
      <c r="X30" s="816">
        <v>280</v>
      </c>
      <c r="Y30" s="300">
        <v>290</v>
      </c>
      <c r="Z30" s="816">
        <v>303</v>
      </c>
      <c r="AA30" s="816">
        <v>327</v>
      </c>
      <c r="AB30" s="816">
        <v>334</v>
      </c>
      <c r="AC30" s="300">
        <v>335</v>
      </c>
      <c r="AD30" s="902">
        <v>338</v>
      </c>
      <c r="AE30" s="816">
        <v>347</v>
      </c>
      <c r="AF30" s="816">
        <v>341</v>
      </c>
      <c r="AG30" s="300">
        <v>354</v>
      </c>
      <c r="AH30" s="730">
        <v>354</v>
      </c>
      <c r="AI30" s="730">
        <v>377</v>
      </c>
      <c r="AJ30" s="730">
        <v>378</v>
      </c>
      <c r="AK30" s="166">
        <v>373</v>
      </c>
      <c r="AL30" s="616">
        <v>368</v>
      </c>
      <c r="AM30" s="166">
        <v>368</v>
      </c>
      <c r="AN30" s="166">
        <v>371</v>
      </c>
      <c r="AO30" s="166">
        <v>373</v>
      </c>
      <c r="AP30" s="617"/>
      <c r="AQ30" s="212">
        <v>338</v>
      </c>
      <c r="AR30" s="211">
        <v>354</v>
      </c>
      <c r="AS30" s="251">
        <v>-16</v>
      </c>
      <c r="AT30" s="901">
        <v>-4.519774011299435E-2</v>
      </c>
      <c r="AU30" s="211"/>
      <c r="AV30" s="744">
        <v>152</v>
      </c>
      <c r="AW30" s="270">
        <v>160</v>
      </c>
      <c r="AX30" s="270">
        <v>178</v>
      </c>
      <c r="AY30" s="270">
        <v>280</v>
      </c>
      <c r="AZ30" s="270">
        <v>271</v>
      </c>
      <c r="BA30" s="270">
        <v>303</v>
      </c>
      <c r="BB30" s="270">
        <v>338</v>
      </c>
      <c r="BC30" s="177">
        <v>354</v>
      </c>
      <c r="BD30" s="177">
        <v>368</v>
      </c>
      <c r="BE30" s="159">
        <v>365</v>
      </c>
      <c r="BF30" s="159">
        <v>343</v>
      </c>
      <c r="BG30" s="159">
        <v>327</v>
      </c>
      <c r="BH30" s="82"/>
      <c r="BM30" s="3"/>
    </row>
    <row r="31" spans="1:65" ht="12.75" customHeight="1" x14ac:dyDescent="0.2">
      <c r="A31" s="262" t="s">
        <v>273</v>
      </c>
      <c r="B31" s="142"/>
      <c r="C31" s="515">
        <v>1</v>
      </c>
      <c r="D31" s="30">
        <v>2.2935779816513763E-3</v>
      </c>
      <c r="E31" s="520"/>
      <c r="F31" s="748">
        <v>437</v>
      </c>
      <c r="G31" s="748">
        <v>422</v>
      </c>
      <c r="H31" s="748">
        <v>426</v>
      </c>
      <c r="I31" s="746">
        <v>422</v>
      </c>
      <c r="J31" s="748">
        <v>436</v>
      </c>
      <c r="K31" s="748">
        <v>441</v>
      </c>
      <c r="L31" s="748">
        <v>446</v>
      </c>
      <c r="M31" s="746">
        <v>472</v>
      </c>
      <c r="N31" s="748">
        <v>494</v>
      </c>
      <c r="O31" s="748">
        <v>483</v>
      </c>
      <c r="P31" s="748">
        <v>553</v>
      </c>
      <c r="Q31" s="746">
        <v>604</v>
      </c>
      <c r="R31" s="816">
        <v>604</v>
      </c>
      <c r="S31" s="816">
        <v>631</v>
      </c>
      <c r="T31" s="816">
        <v>626</v>
      </c>
      <c r="U31" s="300">
        <v>628</v>
      </c>
      <c r="V31" s="816">
        <v>645</v>
      </c>
      <c r="W31" s="816">
        <v>653</v>
      </c>
      <c r="X31" s="816">
        <v>712</v>
      </c>
      <c r="Y31" s="300">
        <v>684</v>
      </c>
      <c r="Z31" s="816">
        <v>718</v>
      </c>
      <c r="AA31" s="816">
        <v>753</v>
      </c>
      <c r="AB31" s="816">
        <v>763</v>
      </c>
      <c r="AC31" s="300">
        <v>773</v>
      </c>
      <c r="AD31" s="902">
        <v>790</v>
      </c>
      <c r="AE31" s="816">
        <v>809</v>
      </c>
      <c r="AF31" s="816">
        <v>818</v>
      </c>
      <c r="AG31" s="300">
        <v>832</v>
      </c>
      <c r="AH31" s="730">
        <v>852</v>
      </c>
      <c r="AI31" s="730">
        <v>859</v>
      </c>
      <c r="AJ31" s="730">
        <v>865</v>
      </c>
      <c r="AK31" s="166">
        <v>840</v>
      </c>
      <c r="AL31" s="616">
        <v>817</v>
      </c>
      <c r="AM31" s="166">
        <v>797</v>
      </c>
      <c r="AN31" s="166">
        <v>790</v>
      </c>
      <c r="AO31" s="166">
        <v>775</v>
      </c>
      <c r="AP31" s="617"/>
      <c r="AQ31" s="212">
        <v>790</v>
      </c>
      <c r="AR31" s="211">
        <v>852</v>
      </c>
      <c r="AS31" s="251">
        <v>-62</v>
      </c>
      <c r="AT31" s="901">
        <v>-7.2769953051643188E-2</v>
      </c>
      <c r="AU31" s="211"/>
      <c r="AV31" s="744">
        <v>437</v>
      </c>
      <c r="AW31" s="270">
        <v>436</v>
      </c>
      <c r="AX31" s="270">
        <v>494</v>
      </c>
      <c r="AY31" s="270">
        <v>604</v>
      </c>
      <c r="AZ31" s="270">
        <v>645</v>
      </c>
      <c r="BA31" s="270">
        <v>718</v>
      </c>
      <c r="BB31" s="270">
        <v>790</v>
      </c>
      <c r="BC31" s="177">
        <v>852</v>
      </c>
      <c r="BD31" s="177">
        <v>817</v>
      </c>
      <c r="BE31" s="159">
        <v>763</v>
      </c>
      <c r="BF31" s="159">
        <v>710</v>
      </c>
      <c r="BG31" s="159">
        <v>675</v>
      </c>
      <c r="BH31" s="82"/>
      <c r="BM31" s="3"/>
    </row>
    <row r="32" spans="1:65" s="613" customFormat="1" ht="25.5" customHeight="1" x14ac:dyDescent="0.2">
      <c r="A32" s="1510" t="s">
        <v>280</v>
      </c>
      <c r="B32" s="1511"/>
      <c r="C32" s="515">
        <v>-4</v>
      </c>
      <c r="D32" s="742">
        <v>-3.3898305084745763E-2</v>
      </c>
      <c r="E32" s="520"/>
      <c r="F32" s="748">
        <v>114</v>
      </c>
      <c r="G32" s="750">
        <v>113</v>
      </c>
      <c r="H32" s="750">
        <v>113</v>
      </c>
      <c r="I32" s="749">
        <v>116</v>
      </c>
      <c r="J32" s="748">
        <v>118</v>
      </c>
      <c r="K32" s="750">
        <v>119</v>
      </c>
      <c r="L32" s="750">
        <v>115</v>
      </c>
      <c r="M32" s="749">
        <v>119</v>
      </c>
      <c r="N32" s="748">
        <v>122</v>
      </c>
      <c r="O32" s="750">
        <v>119</v>
      </c>
      <c r="P32" s="750">
        <v>96</v>
      </c>
      <c r="Q32" s="749">
        <v>98</v>
      </c>
      <c r="R32" s="816">
        <v>106</v>
      </c>
      <c r="S32" s="251">
        <v>0</v>
      </c>
      <c r="T32" s="251">
        <v>0</v>
      </c>
      <c r="U32" s="300">
        <v>0</v>
      </c>
      <c r="V32" s="251">
        <v>0</v>
      </c>
      <c r="W32" s="251">
        <v>0</v>
      </c>
      <c r="X32" s="251">
        <v>0</v>
      </c>
      <c r="Y32" s="300">
        <v>0</v>
      </c>
      <c r="Z32" s="251">
        <v>0</v>
      </c>
      <c r="AA32" s="251">
        <v>0</v>
      </c>
      <c r="AB32" s="816"/>
      <c r="AC32" s="300"/>
      <c r="AD32" s="816"/>
      <c r="AE32" s="816"/>
      <c r="AF32" s="816"/>
      <c r="AG32" s="300"/>
      <c r="AH32" s="730"/>
      <c r="AI32" s="730"/>
      <c r="AJ32" s="730"/>
      <c r="AK32" s="166"/>
      <c r="AL32" s="616"/>
      <c r="AM32" s="166"/>
      <c r="AN32" s="166"/>
      <c r="AO32" s="166"/>
      <c r="AP32" s="617"/>
      <c r="AQ32" s="212"/>
      <c r="AR32" s="211"/>
      <c r="AS32" s="251"/>
      <c r="AT32" s="901"/>
      <c r="AU32" s="211"/>
      <c r="AV32" s="744">
        <v>114</v>
      </c>
      <c r="AW32" s="270">
        <v>118</v>
      </c>
      <c r="AX32" s="270">
        <v>122</v>
      </c>
      <c r="AY32" s="270">
        <v>106</v>
      </c>
      <c r="AZ32" s="270">
        <v>0</v>
      </c>
      <c r="BA32" s="270">
        <v>0</v>
      </c>
      <c r="BB32" s="270">
        <v>0</v>
      </c>
      <c r="BC32" s="751">
        <v>0</v>
      </c>
      <c r="BD32" s="177"/>
      <c r="BE32" s="159"/>
      <c r="BF32" s="159"/>
      <c r="BG32" s="159"/>
      <c r="BH32" s="82"/>
      <c r="BM32" s="3"/>
    </row>
    <row r="33" spans="1:65" s="721" customFormat="1" ht="12.75" customHeight="1" x14ac:dyDescent="0.2">
      <c r="A33" s="733" t="s">
        <v>313</v>
      </c>
      <c r="B33" s="726"/>
      <c r="C33" s="515">
        <v>0</v>
      </c>
      <c r="D33" s="742">
        <v>0</v>
      </c>
      <c r="E33" s="741"/>
      <c r="F33" s="748">
        <v>9</v>
      </c>
      <c r="G33" s="748">
        <v>9</v>
      </c>
      <c r="H33" s="748">
        <v>9</v>
      </c>
      <c r="I33" s="746">
        <v>9</v>
      </c>
      <c r="J33" s="748">
        <v>9</v>
      </c>
      <c r="K33" s="748">
        <v>9</v>
      </c>
      <c r="L33" s="748">
        <v>8</v>
      </c>
      <c r="M33" s="746">
        <v>7</v>
      </c>
      <c r="N33" s="748">
        <v>12</v>
      </c>
      <c r="O33" s="748">
        <v>11</v>
      </c>
      <c r="P33" s="748">
        <v>11</v>
      </c>
      <c r="Q33" s="746">
        <v>10</v>
      </c>
      <c r="R33" s="251">
        <v>0</v>
      </c>
      <c r="S33" s="251">
        <v>0</v>
      </c>
      <c r="T33" s="251">
        <v>0</v>
      </c>
      <c r="U33" s="300">
        <v>0</v>
      </c>
      <c r="V33" s="251">
        <v>0</v>
      </c>
      <c r="W33" s="251">
        <v>0</v>
      </c>
      <c r="X33" s="251">
        <v>0</v>
      </c>
      <c r="Y33" s="300">
        <v>0</v>
      </c>
      <c r="Z33" s="816"/>
      <c r="AA33" s="816"/>
      <c r="AB33" s="816"/>
      <c r="AC33" s="300"/>
      <c r="AD33" s="902"/>
      <c r="AE33" s="816"/>
      <c r="AF33" s="816"/>
      <c r="AG33" s="300"/>
      <c r="AH33" s="730"/>
      <c r="AI33" s="730"/>
      <c r="AJ33" s="730"/>
      <c r="AK33" s="166"/>
      <c r="AL33" s="616"/>
      <c r="AM33" s="166"/>
      <c r="AN33" s="166"/>
      <c r="AO33" s="166"/>
      <c r="AP33" s="617"/>
      <c r="AQ33" s="212"/>
      <c r="AR33" s="211"/>
      <c r="AS33" s="251"/>
      <c r="AT33" s="901"/>
      <c r="AU33" s="211"/>
      <c r="AV33" s="744">
        <v>9</v>
      </c>
      <c r="AW33" s="270">
        <v>9</v>
      </c>
      <c r="AX33" s="270">
        <v>12</v>
      </c>
      <c r="AY33" s="270">
        <v>0</v>
      </c>
      <c r="AZ33" s="270">
        <v>0</v>
      </c>
      <c r="BA33" s="270">
        <v>0</v>
      </c>
      <c r="BB33" s="270">
        <v>0</v>
      </c>
      <c r="BC33" s="752">
        <v>0</v>
      </c>
      <c r="BD33" s="729"/>
      <c r="BE33" s="728"/>
      <c r="BF33" s="728"/>
      <c r="BG33" s="728"/>
      <c r="BH33" s="724"/>
      <c r="BM33" s="722"/>
    </row>
    <row r="34" spans="1:65" s="721" customFormat="1" ht="12.75" customHeight="1" x14ac:dyDescent="0.2">
      <c r="A34" s="733"/>
      <c r="B34" s="726"/>
      <c r="C34" s="515"/>
      <c r="D34" s="723"/>
      <c r="E34" s="741"/>
      <c r="F34" s="748"/>
      <c r="G34" s="748"/>
      <c r="H34" s="748"/>
      <c r="I34" s="746"/>
      <c r="J34" s="748"/>
      <c r="K34" s="748"/>
      <c r="L34" s="748"/>
      <c r="M34" s="746"/>
      <c r="N34" s="748"/>
      <c r="O34" s="748"/>
      <c r="P34" s="748"/>
      <c r="Q34" s="746"/>
      <c r="R34" s="816"/>
      <c r="S34" s="816"/>
      <c r="T34" s="816"/>
      <c r="U34" s="300"/>
      <c r="V34" s="816"/>
      <c r="W34" s="816"/>
      <c r="X34" s="816"/>
      <c r="Y34" s="300"/>
      <c r="Z34" s="816"/>
      <c r="AA34" s="816"/>
      <c r="AB34" s="816"/>
      <c r="AC34" s="300"/>
      <c r="AD34" s="902"/>
      <c r="AE34" s="816"/>
      <c r="AF34" s="816"/>
      <c r="AG34" s="300"/>
      <c r="AH34" s="730"/>
      <c r="AI34" s="730"/>
      <c r="AJ34" s="730"/>
      <c r="AK34" s="166"/>
      <c r="AL34" s="616"/>
      <c r="AM34" s="166"/>
      <c r="AN34" s="166"/>
      <c r="AO34" s="166"/>
      <c r="AP34" s="617"/>
      <c r="AQ34" s="212"/>
      <c r="AR34" s="211"/>
      <c r="AS34" s="251"/>
      <c r="AT34" s="901"/>
      <c r="AU34" s="211"/>
      <c r="AV34" s="744"/>
      <c r="AW34" s="270"/>
      <c r="AX34" s="270"/>
      <c r="AY34" s="270"/>
      <c r="AZ34" s="270"/>
      <c r="BA34" s="270"/>
      <c r="BB34" s="270"/>
      <c r="BC34" s="729"/>
      <c r="BD34" s="729"/>
      <c r="BE34" s="728"/>
      <c r="BF34" s="728"/>
      <c r="BG34" s="728"/>
      <c r="BH34" s="724"/>
      <c r="BM34" s="722"/>
    </row>
    <row r="35" spans="1:65" s="721" customFormat="1" ht="12.75" customHeight="1" x14ac:dyDescent="0.2">
      <c r="A35" s="733" t="s">
        <v>286</v>
      </c>
      <c r="B35" s="726"/>
      <c r="C35" s="515">
        <v>357</v>
      </c>
      <c r="D35" s="742">
        <v>0.29651162790697677</v>
      </c>
      <c r="E35" s="741"/>
      <c r="F35" s="748">
        <v>1561</v>
      </c>
      <c r="G35" s="748">
        <v>1441</v>
      </c>
      <c r="H35" s="748">
        <v>1391</v>
      </c>
      <c r="I35" s="746">
        <v>1270</v>
      </c>
      <c r="J35" s="748">
        <v>1204</v>
      </c>
      <c r="K35" s="748">
        <v>1070</v>
      </c>
      <c r="L35" s="748">
        <v>935</v>
      </c>
      <c r="M35" s="746">
        <v>880</v>
      </c>
      <c r="N35" s="748">
        <v>835</v>
      </c>
      <c r="O35" s="748">
        <v>791</v>
      </c>
      <c r="P35" s="748">
        <v>784</v>
      </c>
      <c r="Q35" s="746">
        <v>709</v>
      </c>
      <c r="R35" s="816">
        <v>677</v>
      </c>
      <c r="S35" s="816">
        <v>607</v>
      </c>
      <c r="T35" s="816">
        <v>574</v>
      </c>
      <c r="U35" s="300">
        <v>575</v>
      </c>
      <c r="V35" s="816">
        <v>546</v>
      </c>
      <c r="W35" s="816">
        <v>514</v>
      </c>
      <c r="X35" s="816">
        <v>473</v>
      </c>
      <c r="Y35" s="300">
        <v>431</v>
      </c>
      <c r="Z35" s="816">
        <v>445</v>
      </c>
      <c r="AA35" s="816"/>
      <c r="AB35" s="816"/>
      <c r="AC35" s="300"/>
      <c r="AD35" s="816"/>
      <c r="AE35" s="816"/>
      <c r="AF35" s="816"/>
      <c r="AG35" s="300"/>
      <c r="AH35" s="730"/>
      <c r="AI35" s="730"/>
      <c r="AJ35" s="730"/>
      <c r="AK35" s="166"/>
      <c r="AL35" s="616"/>
      <c r="AM35" s="166"/>
      <c r="AN35" s="166"/>
      <c r="AO35" s="166"/>
      <c r="AP35" s="617"/>
      <c r="AQ35" s="212"/>
      <c r="AR35" s="211"/>
      <c r="AS35" s="251"/>
      <c r="AT35" s="901"/>
      <c r="AU35" s="211"/>
      <c r="AV35" s="744">
        <v>1561</v>
      </c>
      <c r="AW35" s="270">
        <v>1204</v>
      </c>
      <c r="AX35" s="270">
        <v>835</v>
      </c>
      <c r="AY35" s="270">
        <v>677</v>
      </c>
      <c r="AZ35" s="270">
        <v>546</v>
      </c>
      <c r="BA35" s="270">
        <v>445</v>
      </c>
      <c r="BB35" s="270">
        <v>393</v>
      </c>
      <c r="BC35" s="729">
        <v>730</v>
      </c>
      <c r="BD35" s="729"/>
      <c r="BE35" s="728"/>
      <c r="BF35" s="728"/>
      <c r="BG35" s="728"/>
      <c r="BH35" s="724"/>
      <c r="BM35" s="722"/>
    </row>
    <row r="36" spans="1:65" s="95" customFormat="1" ht="12.75" customHeight="1" x14ac:dyDescent="0.2">
      <c r="A36" s="747" t="s">
        <v>287</v>
      </c>
      <c r="B36" s="743"/>
      <c r="C36" s="515">
        <v>569</v>
      </c>
      <c r="D36" s="30">
        <v>5.6003937007874018E-2</v>
      </c>
      <c r="E36" s="521"/>
      <c r="F36" s="369">
        <v>10729</v>
      </c>
      <c r="G36" s="369">
        <v>10310</v>
      </c>
      <c r="H36" s="369">
        <v>10757</v>
      </c>
      <c r="I36" s="746">
        <v>10958</v>
      </c>
      <c r="J36" s="369">
        <v>10160</v>
      </c>
      <c r="K36" s="369">
        <v>9536</v>
      </c>
      <c r="L36" s="369">
        <v>9427</v>
      </c>
      <c r="M36" s="746">
        <v>9325</v>
      </c>
      <c r="N36" s="369">
        <v>10429</v>
      </c>
      <c r="O36" s="369">
        <v>11403</v>
      </c>
      <c r="P36" s="369">
        <v>13344</v>
      </c>
      <c r="Q36" s="746">
        <v>13137</v>
      </c>
      <c r="R36" s="904">
        <v>14828</v>
      </c>
      <c r="S36" s="904">
        <v>14367</v>
      </c>
      <c r="T36" s="904">
        <v>14635</v>
      </c>
      <c r="U36" s="300">
        <v>15676</v>
      </c>
      <c r="V36" s="904">
        <v>16985</v>
      </c>
      <c r="W36" s="904">
        <v>16006</v>
      </c>
      <c r="X36" s="904">
        <v>13895</v>
      </c>
      <c r="Y36" s="300">
        <v>12571</v>
      </c>
      <c r="Z36" s="904">
        <v>12922</v>
      </c>
      <c r="AA36" s="904">
        <v>12210</v>
      </c>
      <c r="AB36" s="904">
        <v>11386</v>
      </c>
      <c r="AC36" s="300">
        <v>10341</v>
      </c>
      <c r="AD36" s="904">
        <v>9184</v>
      </c>
      <c r="AE36" s="904">
        <v>9030</v>
      </c>
      <c r="AF36" s="904">
        <v>11584</v>
      </c>
      <c r="AG36" s="300">
        <v>14695</v>
      </c>
      <c r="AH36" s="730">
        <v>14295</v>
      </c>
      <c r="AI36" s="730">
        <v>14860</v>
      </c>
      <c r="AJ36" s="730">
        <v>15288</v>
      </c>
      <c r="AK36" s="166">
        <v>15701</v>
      </c>
      <c r="AL36" s="616">
        <v>15014</v>
      </c>
      <c r="AM36" s="166">
        <v>14121</v>
      </c>
      <c r="AN36" s="166">
        <v>13826</v>
      </c>
      <c r="AO36" s="166">
        <v>13942</v>
      </c>
      <c r="AP36" s="905"/>
      <c r="AQ36" s="212">
        <v>9184</v>
      </c>
      <c r="AR36" s="211">
        <v>14295</v>
      </c>
      <c r="AS36" s="251">
        <v>-5111</v>
      </c>
      <c r="AT36" s="901">
        <v>-0.35753760055963624</v>
      </c>
      <c r="AU36" s="904"/>
      <c r="AV36" s="744">
        <v>10729</v>
      </c>
      <c r="AW36" s="270">
        <v>10160</v>
      </c>
      <c r="AX36" s="270">
        <v>10429</v>
      </c>
      <c r="AY36" s="270">
        <v>14828</v>
      </c>
      <c r="AZ36" s="270">
        <v>16985</v>
      </c>
      <c r="BA36" s="270">
        <v>12922</v>
      </c>
      <c r="BB36" s="270">
        <v>9184</v>
      </c>
      <c r="BC36" s="177">
        <v>14295</v>
      </c>
      <c r="BD36" s="177">
        <v>15014</v>
      </c>
      <c r="BE36" s="159">
        <v>14310</v>
      </c>
      <c r="BF36" s="159">
        <v>9967</v>
      </c>
      <c r="BG36" s="159">
        <v>8292</v>
      </c>
      <c r="BH36" s="141"/>
      <c r="BM36" s="207"/>
    </row>
    <row r="37" spans="1:65" s="95" customFormat="1" ht="12.75" customHeight="1" x14ac:dyDescent="0.2">
      <c r="A37" s="747" t="s">
        <v>296</v>
      </c>
      <c r="B37" s="743"/>
      <c r="C37" s="515">
        <v>1607</v>
      </c>
      <c r="D37" s="742">
        <v>7.9728120658860882E-2</v>
      </c>
      <c r="E37" s="521"/>
      <c r="F37" s="369">
        <v>21763</v>
      </c>
      <c r="G37" s="750">
        <v>20307</v>
      </c>
      <c r="H37" s="750">
        <v>20420</v>
      </c>
      <c r="I37" s="749">
        <v>20486</v>
      </c>
      <c r="J37" s="369">
        <v>20156</v>
      </c>
      <c r="K37" s="750">
        <v>18984</v>
      </c>
      <c r="L37" s="750">
        <v>17655</v>
      </c>
      <c r="M37" s="749">
        <v>16125</v>
      </c>
      <c r="N37" s="369">
        <v>15936</v>
      </c>
      <c r="O37" s="750">
        <v>15228</v>
      </c>
      <c r="P37" s="750">
        <v>13122</v>
      </c>
      <c r="Q37" s="749">
        <v>12583</v>
      </c>
      <c r="R37" s="904">
        <v>13087.2</v>
      </c>
      <c r="S37" s="251">
        <v>0</v>
      </c>
      <c r="T37" s="251">
        <v>0</v>
      </c>
      <c r="U37" s="300">
        <v>0</v>
      </c>
      <c r="V37" s="251">
        <v>0</v>
      </c>
      <c r="W37" s="251">
        <v>0</v>
      </c>
      <c r="X37" s="251">
        <v>0</v>
      </c>
      <c r="Y37" s="300">
        <v>0</v>
      </c>
      <c r="Z37" s="251">
        <v>0</v>
      </c>
      <c r="AA37" s="251">
        <v>0</v>
      </c>
      <c r="AB37" s="816"/>
      <c r="AC37" s="300"/>
      <c r="AD37" s="816"/>
      <c r="AE37" s="816"/>
      <c r="AF37" s="816"/>
      <c r="AG37" s="300"/>
      <c r="AH37" s="730"/>
      <c r="AI37" s="730"/>
      <c r="AJ37" s="730"/>
      <c r="AK37" s="166"/>
      <c r="AL37" s="616"/>
      <c r="AM37" s="166"/>
      <c r="AN37" s="166"/>
      <c r="AO37" s="166"/>
      <c r="AP37" s="617"/>
      <c r="AQ37" s="212"/>
      <c r="AR37" s="211"/>
      <c r="AS37" s="251"/>
      <c r="AT37" s="901"/>
      <c r="AU37" s="211"/>
      <c r="AV37" s="744">
        <v>21763</v>
      </c>
      <c r="AW37" s="270">
        <v>20156</v>
      </c>
      <c r="AX37" s="270">
        <v>15936</v>
      </c>
      <c r="AY37" s="270">
        <v>13087.2</v>
      </c>
      <c r="AZ37" s="270">
        <v>0</v>
      </c>
      <c r="BA37" s="270">
        <v>0</v>
      </c>
      <c r="BB37" s="270">
        <v>0</v>
      </c>
      <c r="BC37" s="751">
        <v>0</v>
      </c>
      <c r="BD37" s="177">
        <v>807</v>
      </c>
      <c r="BE37" s="159">
        <v>613</v>
      </c>
      <c r="BF37" s="159">
        <v>380</v>
      </c>
      <c r="BG37" s="159">
        <v>237</v>
      </c>
      <c r="BH37" s="141"/>
      <c r="BM37" s="207"/>
    </row>
    <row r="38" spans="1:65" s="95" customFormat="1" ht="12.75" customHeight="1" x14ac:dyDescent="0.2">
      <c r="A38" s="747" t="s">
        <v>315</v>
      </c>
      <c r="B38" s="743"/>
      <c r="C38" s="515">
        <v>281</v>
      </c>
      <c r="D38" s="742">
        <v>0.50630630630630635</v>
      </c>
      <c r="E38" s="521"/>
      <c r="F38" s="369">
        <v>836</v>
      </c>
      <c r="G38" s="750">
        <v>634</v>
      </c>
      <c r="H38" s="750">
        <v>569</v>
      </c>
      <c r="I38" s="749">
        <v>631</v>
      </c>
      <c r="J38" s="369">
        <v>555</v>
      </c>
      <c r="K38" s="750">
        <v>463</v>
      </c>
      <c r="L38" s="750">
        <v>411</v>
      </c>
      <c r="M38" s="749">
        <v>360</v>
      </c>
      <c r="N38" s="369">
        <v>451</v>
      </c>
      <c r="O38" s="750">
        <v>408</v>
      </c>
      <c r="P38" s="750">
        <v>354</v>
      </c>
      <c r="Q38" s="749">
        <v>305.20875765857699</v>
      </c>
      <c r="R38" s="251">
        <v>0</v>
      </c>
      <c r="S38" s="251">
        <v>0</v>
      </c>
      <c r="T38" s="251">
        <v>0</v>
      </c>
      <c r="U38" s="300">
        <v>0</v>
      </c>
      <c r="V38" s="251">
        <v>0</v>
      </c>
      <c r="W38" s="251">
        <v>0</v>
      </c>
      <c r="X38" s="251">
        <v>0</v>
      </c>
      <c r="Y38" s="300">
        <v>0</v>
      </c>
      <c r="Z38" s="251"/>
      <c r="AA38" s="251"/>
      <c r="AB38" s="816"/>
      <c r="AC38" s="300"/>
      <c r="AD38" s="816"/>
      <c r="AE38" s="816"/>
      <c r="AF38" s="816"/>
      <c r="AG38" s="300"/>
      <c r="AH38" s="730"/>
      <c r="AI38" s="730"/>
      <c r="AJ38" s="730"/>
      <c r="AK38" s="166"/>
      <c r="AL38" s="616"/>
      <c r="AM38" s="166"/>
      <c r="AN38" s="166"/>
      <c r="AO38" s="166"/>
      <c r="AP38" s="617"/>
      <c r="AQ38" s="212"/>
      <c r="AR38" s="211"/>
      <c r="AS38" s="251"/>
      <c r="AT38" s="901"/>
      <c r="AU38" s="211"/>
      <c r="AV38" s="744">
        <v>836</v>
      </c>
      <c r="AW38" s="270">
        <v>555</v>
      </c>
      <c r="AX38" s="270">
        <v>451</v>
      </c>
      <c r="AY38" s="270">
        <v>0</v>
      </c>
      <c r="AZ38" s="270">
        <v>0</v>
      </c>
      <c r="BA38" s="270">
        <v>0</v>
      </c>
      <c r="BB38" s="270">
        <v>0</v>
      </c>
      <c r="BC38" s="752">
        <v>0</v>
      </c>
      <c r="BD38" s="729"/>
      <c r="BE38" s="728"/>
      <c r="BF38" s="728"/>
      <c r="BG38" s="728"/>
      <c r="BH38" s="141"/>
      <c r="BM38" s="207"/>
    </row>
    <row r="39" spans="1:65" s="95" customFormat="1" ht="12.75" customHeight="1" x14ac:dyDescent="0.2">
      <c r="A39" s="747" t="s">
        <v>290</v>
      </c>
      <c r="B39" s="743"/>
      <c r="C39" s="515">
        <v>2457</v>
      </c>
      <c r="D39" s="30">
        <v>7.9589258527420562E-2</v>
      </c>
      <c r="E39" s="521"/>
      <c r="F39" s="369">
        <v>33328</v>
      </c>
      <c r="G39" s="369">
        <v>31251</v>
      </c>
      <c r="H39" s="369">
        <v>31746</v>
      </c>
      <c r="I39" s="746">
        <v>32075</v>
      </c>
      <c r="J39" s="369">
        <v>30871</v>
      </c>
      <c r="K39" s="369">
        <v>28983</v>
      </c>
      <c r="L39" s="369">
        <v>27493</v>
      </c>
      <c r="M39" s="746">
        <v>25810</v>
      </c>
      <c r="N39" s="369">
        <v>26816</v>
      </c>
      <c r="O39" s="369">
        <v>27039</v>
      </c>
      <c r="P39" s="369">
        <v>26820</v>
      </c>
      <c r="Q39" s="746">
        <v>26025.208757658576</v>
      </c>
      <c r="R39" s="369">
        <v>27915.200000000001</v>
      </c>
      <c r="S39" s="369">
        <v>14367</v>
      </c>
      <c r="T39" s="369">
        <v>14635</v>
      </c>
      <c r="U39" s="235">
        <v>15676</v>
      </c>
      <c r="V39" s="369">
        <v>16985</v>
      </c>
      <c r="W39" s="369">
        <v>16006</v>
      </c>
      <c r="X39" s="369">
        <v>13895</v>
      </c>
      <c r="Y39" s="235">
        <v>12571</v>
      </c>
      <c r="Z39" s="369">
        <v>12922</v>
      </c>
      <c r="AA39" s="369">
        <v>12210</v>
      </c>
      <c r="AB39" s="369">
        <v>34.08982035928144</v>
      </c>
      <c r="AC39" s="235">
        <v>30.86865671641791</v>
      </c>
      <c r="AD39" s="369">
        <v>27</v>
      </c>
      <c r="AE39" s="369">
        <v>26</v>
      </c>
      <c r="AF39" s="369">
        <v>33.970674486803517</v>
      </c>
      <c r="AG39" s="235">
        <v>41.511299435028249</v>
      </c>
      <c r="AH39" s="327">
        <v>40</v>
      </c>
      <c r="AI39" s="327">
        <v>39</v>
      </c>
      <c r="AJ39" s="327">
        <v>40</v>
      </c>
      <c r="AK39" s="368">
        <v>42</v>
      </c>
      <c r="AL39" s="177">
        <v>41</v>
      </c>
      <c r="AM39" s="368">
        <v>38</v>
      </c>
      <c r="AN39" s="368">
        <v>37</v>
      </c>
      <c r="AO39" s="368">
        <v>37</v>
      </c>
      <c r="AP39" s="431"/>
      <c r="AQ39" s="326">
        <v>9184</v>
      </c>
      <c r="AR39" s="267">
        <v>14295</v>
      </c>
      <c r="AS39" s="231">
        <v>-5111</v>
      </c>
      <c r="AT39" s="30">
        <v>-0.35753760055963624</v>
      </c>
      <c r="AU39" s="369"/>
      <c r="AV39" s="744">
        <v>33328</v>
      </c>
      <c r="AW39" s="744">
        <v>30871</v>
      </c>
      <c r="AX39" s="744">
        <v>26816</v>
      </c>
      <c r="AY39" s="198">
        <v>27915.200000000001</v>
      </c>
      <c r="AZ39" s="198">
        <v>16985</v>
      </c>
      <c r="BA39" s="198">
        <v>12922</v>
      </c>
      <c r="BB39" s="744">
        <v>9184</v>
      </c>
      <c r="BC39" s="744">
        <v>14295</v>
      </c>
      <c r="BD39" s="177">
        <v>41</v>
      </c>
      <c r="BE39" s="159">
        <v>39</v>
      </c>
      <c r="BF39" s="159">
        <v>29</v>
      </c>
      <c r="BG39" s="159">
        <v>25</v>
      </c>
      <c r="BH39" s="141"/>
      <c r="BM39" s="207"/>
    </row>
    <row r="40" spans="1:65" s="95" customFormat="1" ht="12.75" customHeight="1" x14ac:dyDescent="0.2">
      <c r="A40" s="262"/>
      <c r="B40" s="142"/>
      <c r="C40" s="515"/>
      <c r="D40" s="30"/>
      <c r="E40" s="521"/>
      <c r="F40" s="369"/>
      <c r="G40" s="369"/>
      <c r="H40" s="369"/>
      <c r="I40" s="388"/>
      <c r="J40" s="369"/>
      <c r="K40" s="369"/>
      <c r="L40" s="369"/>
      <c r="M40" s="388"/>
      <c r="N40" s="369"/>
      <c r="O40" s="369"/>
      <c r="P40" s="369"/>
      <c r="Q40" s="388"/>
      <c r="R40" s="369"/>
      <c r="S40" s="369"/>
      <c r="T40" s="369"/>
      <c r="U40" s="388"/>
      <c r="V40" s="421"/>
      <c r="W40" s="369"/>
      <c r="X40" s="369"/>
      <c r="Y40" s="388"/>
      <c r="Z40" s="421"/>
      <c r="AA40" s="369"/>
      <c r="AB40" s="369"/>
      <c r="AC40" s="388"/>
      <c r="AD40" s="35"/>
      <c r="AE40" s="369"/>
      <c r="AF40" s="369"/>
      <c r="AG40" s="388"/>
      <c r="AH40" s="327"/>
      <c r="AI40" s="327"/>
      <c r="AJ40" s="327"/>
      <c r="AK40" s="368"/>
      <c r="AL40" s="177"/>
      <c r="AM40" s="368"/>
      <c r="AN40" s="368"/>
      <c r="AO40" s="368"/>
      <c r="AP40" s="431"/>
      <c r="AQ40" s="326"/>
      <c r="AR40" s="267"/>
      <c r="AS40" s="231"/>
      <c r="AT40" s="30"/>
      <c r="AU40" s="369"/>
      <c r="AV40" s="744"/>
      <c r="AW40" s="744"/>
      <c r="AX40" s="744"/>
      <c r="AY40" s="198"/>
      <c r="AZ40" s="198"/>
      <c r="BA40" s="198"/>
      <c r="BB40" s="198"/>
      <c r="BC40" s="177"/>
      <c r="BD40" s="177"/>
      <c r="BE40" s="159"/>
      <c r="BF40" s="159"/>
      <c r="BG40" s="159"/>
      <c r="BH40" s="141"/>
      <c r="BM40" s="207"/>
    </row>
    <row r="41" spans="1:65" s="95" customFormat="1" ht="25.5" customHeight="1" x14ac:dyDescent="0.2">
      <c r="A41" s="1506" t="s">
        <v>201</v>
      </c>
      <c r="B41" s="1507"/>
      <c r="C41" s="515"/>
      <c r="D41" s="30"/>
      <c r="E41" s="521"/>
      <c r="F41" s="369"/>
      <c r="G41" s="369"/>
      <c r="H41" s="369"/>
      <c r="I41" s="388"/>
      <c r="J41" s="369"/>
      <c r="K41" s="369"/>
      <c r="L41" s="369"/>
      <c r="M41" s="388"/>
      <c r="N41" s="369"/>
      <c r="O41" s="369"/>
      <c r="P41" s="369"/>
      <c r="Q41" s="388"/>
      <c r="R41" s="369"/>
      <c r="S41" s="369"/>
      <c r="T41" s="369"/>
      <c r="U41" s="388"/>
      <c r="V41" s="35"/>
      <c r="W41" s="369"/>
      <c r="X41" s="369"/>
      <c r="Y41" s="388"/>
      <c r="Z41" s="35"/>
      <c r="AA41" s="369"/>
      <c r="AB41" s="369"/>
      <c r="AC41" s="388"/>
      <c r="AD41" s="35"/>
      <c r="AE41" s="369"/>
      <c r="AF41" s="369"/>
      <c r="AG41" s="388"/>
      <c r="AH41" s="327"/>
      <c r="AI41" s="327"/>
      <c r="AJ41" s="327"/>
      <c r="AK41" s="368"/>
      <c r="AL41" s="177"/>
      <c r="AM41" s="368"/>
      <c r="AN41" s="368"/>
      <c r="AO41" s="368"/>
      <c r="AP41" s="431"/>
      <c r="AQ41" s="326"/>
      <c r="AR41" s="267"/>
      <c r="AS41" s="231"/>
      <c r="AT41" s="30"/>
      <c r="AU41" s="369"/>
      <c r="AV41" s="744"/>
      <c r="AW41" s="744"/>
      <c r="AX41" s="744"/>
      <c r="AY41" s="198"/>
      <c r="AZ41" s="198"/>
      <c r="BA41" s="198"/>
      <c r="BB41" s="198"/>
      <c r="BC41" s="177"/>
      <c r="BD41" s="177"/>
      <c r="BE41" s="159"/>
      <c r="BF41" s="159"/>
      <c r="BG41" s="159"/>
      <c r="BH41" s="141"/>
      <c r="BM41" s="207"/>
    </row>
    <row r="42" spans="1:65" s="95" customFormat="1" ht="12.75" customHeight="1" x14ac:dyDescent="0.2">
      <c r="A42" s="262"/>
      <c r="B42" s="142" t="s">
        <v>118</v>
      </c>
      <c r="C42" s="515">
        <v>1</v>
      </c>
      <c r="D42" s="30">
        <v>1.9230769230769232E-2</v>
      </c>
      <c r="E42" s="521"/>
      <c r="F42" s="369">
        <v>53</v>
      </c>
      <c r="G42" s="369">
        <v>55</v>
      </c>
      <c r="H42" s="369">
        <v>53</v>
      </c>
      <c r="I42" s="739">
        <v>48</v>
      </c>
      <c r="J42" s="369">
        <v>52</v>
      </c>
      <c r="K42" s="369">
        <v>53</v>
      </c>
      <c r="L42" s="369">
        <v>55</v>
      </c>
      <c r="M42" s="739">
        <v>57</v>
      </c>
      <c r="N42" s="369">
        <v>55</v>
      </c>
      <c r="O42" s="369">
        <v>61</v>
      </c>
      <c r="P42" s="369">
        <v>71</v>
      </c>
      <c r="Q42" s="739">
        <v>75</v>
      </c>
      <c r="R42" s="369">
        <v>52</v>
      </c>
      <c r="S42" s="369">
        <v>31</v>
      </c>
      <c r="T42" s="369">
        <v>29</v>
      </c>
      <c r="U42" s="368">
        <v>29</v>
      </c>
      <c r="V42" s="369">
        <v>26</v>
      </c>
      <c r="W42" s="369">
        <v>24</v>
      </c>
      <c r="X42" s="369">
        <v>20</v>
      </c>
      <c r="Y42" s="368">
        <v>23</v>
      </c>
      <c r="Z42" s="369">
        <v>23</v>
      </c>
      <c r="AA42" s="369">
        <v>23</v>
      </c>
      <c r="AB42" s="369">
        <v>9</v>
      </c>
      <c r="AC42" s="368">
        <v>9</v>
      </c>
      <c r="AD42" s="369">
        <v>9</v>
      </c>
      <c r="AE42" s="369">
        <v>7</v>
      </c>
      <c r="AF42" s="369">
        <v>5</v>
      </c>
      <c r="AG42" s="368">
        <v>5</v>
      </c>
      <c r="AH42" s="327">
        <v>5</v>
      </c>
      <c r="AI42" s="327">
        <v>4</v>
      </c>
      <c r="AJ42" s="327">
        <v>4</v>
      </c>
      <c r="AK42" s="368">
        <v>3</v>
      </c>
      <c r="AL42" s="177">
        <v>1</v>
      </c>
      <c r="AM42" s="368">
        <v>2</v>
      </c>
      <c r="AN42" s="368">
        <v>2</v>
      </c>
      <c r="AO42" s="368">
        <v>1</v>
      </c>
      <c r="AP42" s="431"/>
      <c r="AQ42" s="326">
        <v>9</v>
      </c>
      <c r="AR42" s="267">
        <v>5</v>
      </c>
      <c r="AS42" s="231">
        <v>4</v>
      </c>
      <c r="AT42" s="30">
        <v>0.8</v>
      </c>
      <c r="AU42" s="369"/>
      <c r="AV42" s="744">
        <v>53</v>
      </c>
      <c r="AW42" s="744">
        <v>52</v>
      </c>
      <c r="AX42" s="744">
        <v>55</v>
      </c>
      <c r="AY42" s="198">
        <v>52</v>
      </c>
      <c r="AZ42" s="198">
        <v>26</v>
      </c>
      <c r="BA42" s="198">
        <v>23</v>
      </c>
      <c r="BB42" s="198">
        <v>9</v>
      </c>
      <c r="BC42" s="177">
        <v>5</v>
      </c>
      <c r="BD42" s="177">
        <v>1</v>
      </c>
      <c r="BE42" s="159">
        <v>1</v>
      </c>
      <c r="BF42" s="159">
        <v>6</v>
      </c>
      <c r="BG42" s="159">
        <v>5</v>
      </c>
      <c r="BH42" s="141"/>
      <c r="BM42" s="207"/>
    </row>
    <row r="43" spans="1:65" s="95" customFormat="1" ht="12.75" customHeight="1" x14ac:dyDescent="0.2">
      <c r="A43" s="262"/>
      <c r="B43" s="142" t="s">
        <v>119</v>
      </c>
      <c r="C43" s="515">
        <v>-3</v>
      </c>
      <c r="D43" s="30">
        <v>-6.9767441860465115E-2</v>
      </c>
      <c r="E43" s="520"/>
      <c r="F43" s="748">
        <v>40</v>
      </c>
      <c r="G43" s="748">
        <v>41</v>
      </c>
      <c r="H43" s="748">
        <v>42</v>
      </c>
      <c r="I43" s="213">
        <v>42</v>
      </c>
      <c r="J43" s="748">
        <v>43</v>
      </c>
      <c r="K43" s="748">
        <v>46</v>
      </c>
      <c r="L43" s="748">
        <v>50</v>
      </c>
      <c r="M43" s="213">
        <v>51</v>
      </c>
      <c r="N43" s="748">
        <v>56</v>
      </c>
      <c r="O43" s="748">
        <v>62</v>
      </c>
      <c r="P43" s="748">
        <v>65</v>
      </c>
      <c r="Q43" s="213">
        <v>68</v>
      </c>
      <c r="R43" s="748">
        <v>77</v>
      </c>
      <c r="S43" s="398">
        <v>48</v>
      </c>
      <c r="T43" s="398">
        <v>41</v>
      </c>
      <c r="U43" s="213">
        <v>41</v>
      </c>
      <c r="V43" s="398">
        <v>39</v>
      </c>
      <c r="W43" s="398">
        <v>35</v>
      </c>
      <c r="X43" s="398">
        <v>37</v>
      </c>
      <c r="Y43" s="213">
        <v>39</v>
      </c>
      <c r="Z43" s="398">
        <v>43</v>
      </c>
      <c r="AA43" s="398">
        <v>45</v>
      </c>
      <c r="AB43" s="398">
        <v>44</v>
      </c>
      <c r="AC43" s="213">
        <v>49</v>
      </c>
      <c r="AD43" s="398">
        <v>51</v>
      </c>
      <c r="AE43" s="398">
        <v>55</v>
      </c>
      <c r="AF43" s="398">
        <v>55</v>
      </c>
      <c r="AG43" s="213">
        <v>58</v>
      </c>
      <c r="AH43" s="327">
        <v>60</v>
      </c>
      <c r="AI43" s="327">
        <v>60</v>
      </c>
      <c r="AJ43" s="327">
        <v>58</v>
      </c>
      <c r="AK43" s="368">
        <v>57</v>
      </c>
      <c r="AL43" s="177">
        <v>58</v>
      </c>
      <c r="AM43" s="368">
        <v>60</v>
      </c>
      <c r="AN43" s="368">
        <v>60</v>
      </c>
      <c r="AO43" s="368">
        <v>61</v>
      </c>
      <c r="AP43" s="271"/>
      <c r="AQ43" s="326">
        <v>51</v>
      </c>
      <c r="AR43" s="267">
        <v>60</v>
      </c>
      <c r="AS43" s="231">
        <v>-9</v>
      </c>
      <c r="AT43" s="30">
        <v>-0.15</v>
      </c>
      <c r="AU43" s="267"/>
      <c r="AV43" s="744">
        <v>40</v>
      </c>
      <c r="AW43" s="744">
        <v>43</v>
      </c>
      <c r="AX43" s="744">
        <v>56</v>
      </c>
      <c r="AY43" s="198">
        <v>77</v>
      </c>
      <c r="AZ43" s="198">
        <v>39</v>
      </c>
      <c r="BA43" s="198">
        <v>43</v>
      </c>
      <c r="BB43" s="198">
        <v>51</v>
      </c>
      <c r="BC43" s="177">
        <v>60</v>
      </c>
      <c r="BD43" s="177">
        <v>58</v>
      </c>
      <c r="BE43" s="159">
        <v>53</v>
      </c>
      <c r="BF43" s="159">
        <v>51</v>
      </c>
      <c r="BG43" s="159">
        <v>31</v>
      </c>
      <c r="BH43" s="141"/>
      <c r="BM43" s="207"/>
    </row>
    <row r="44" spans="1:65" ht="12.75" customHeight="1" x14ac:dyDescent="0.2">
      <c r="A44" s="262"/>
      <c r="B44" s="142" t="s">
        <v>120</v>
      </c>
      <c r="C44" s="515">
        <v>-2</v>
      </c>
      <c r="D44" s="30">
        <v>-2.1052631578947368E-2</v>
      </c>
      <c r="E44" s="520"/>
      <c r="F44" s="399">
        <v>93</v>
      </c>
      <c r="G44" s="399">
        <v>96</v>
      </c>
      <c r="H44" s="399">
        <v>95</v>
      </c>
      <c r="I44" s="619">
        <v>90</v>
      </c>
      <c r="J44" s="399">
        <v>95</v>
      </c>
      <c r="K44" s="399">
        <v>99</v>
      </c>
      <c r="L44" s="399">
        <v>105</v>
      </c>
      <c r="M44" s="619">
        <v>108</v>
      </c>
      <c r="N44" s="399">
        <v>111</v>
      </c>
      <c r="O44" s="399">
        <v>123</v>
      </c>
      <c r="P44" s="399">
        <v>136</v>
      </c>
      <c r="Q44" s="619">
        <v>143</v>
      </c>
      <c r="R44" s="399">
        <v>129</v>
      </c>
      <c r="S44" s="399">
        <v>79</v>
      </c>
      <c r="T44" s="399">
        <v>70</v>
      </c>
      <c r="U44" s="387">
        <v>70</v>
      </c>
      <c r="V44" s="399">
        <v>65</v>
      </c>
      <c r="W44" s="399">
        <v>59</v>
      </c>
      <c r="X44" s="399">
        <v>57</v>
      </c>
      <c r="Y44" s="387">
        <v>62</v>
      </c>
      <c r="Z44" s="399">
        <v>66</v>
      </c>
      <c r="AA44" s="399">
        <v>68</v>
      </c>
      <c r="AB44" s="399">
        <v>53</v>
      </c>
      <c r="AC44" s="387">
        <v>58</v>
      </c>
      <c r="AD44" s="399">
        <v>60</v>
      </c>
      <c r="AE44" s="399">
        <v>62</v>
      </c>
      <c r="AF44" s="399">
        <v>60</v>
      </c>
      <c r="AG44" s="387">
        <v>63</v>
      </c>
      <c r="AH44" s="327">
        <v>65</v>
      </c>
      <c r="AI44" s="327">
        <v>64</v>
      </c>
      <c r="AJ44" s="327">
        <v>62</v>
      </c>
      <c r="AK44" s="368">
        <v>60</v>
      </c>
      <c r="AL44" s="177">
        <v>59</v>
      </c>
      <c r="AM44" s="368">
        <v>62</v>
      </c>
      <c r="AN44" s="368">
        <v>62</v>
      </c>
      <c r="AO44" s="368">
        <v>62</v>
      </c>
      <c r="AP44" s="271"/>
      <c r="AQ44" s="326">
        <v>60</v>
      </c>
      <c r="AR44" s="267">
        <v>65</v>
      </c>
      <c r="AS44" s="231">
        <v>-5</v>
      </c>
      <c r="AT44" s="30">
        <v>-7.6923076923076927E-2</v>
      </c>
      <c r="AU44" s="267"/>
      <c r="AV44" s="744">
        <v>93</v>
      </c>
      <c r="AW44" s="744">
        <v>95</v>
      </c>
      <c r="AX44" s="744">
        <v>111</v>
      </c>
      <c r="AY44" s="198">
        <v>129</v>
      </c>
      <c r="AZ44" s="198">
        <v>65</v>
      </c>
      <c r="BA44" s="198">
        <v>66</v>
      </c>
      <c r="BB44" s="198">
        <v>60</v>
      </c>
      <c r="BC44" s="177">
        <v>65</v>
      </c>
      <c r="BD44" s="177">
        <v>59</v>
      </c>
      <c r="BE44" s="159">
        <v>54</v>
      </c>
      <c r="BF44" s="159">
        <v>57</v>
      </c>
      <c r="BG44" s="159">
        <v>36</v>
      </c>
      <c r="BH44" s="82"/>
      <c r="BM44" s="3"/>
    </row>
    <row r="45" spans="1:65" ht="12.75" customHeight="1" x14ac:dyDescent="0.2">
      <c r="A45" s="262"/>
      <c r="B45" s="142"/>
      <c r="C45" s="515"/>
      <c r="D45" s="30"/>
      <c r="E45" s="543"/>
      <c r="F45" s="400"/>
      <c r="G45" s="400"/>
      <c r="H45" s="400"/>
      <c r="I45" s="619"/>
      <c r="J45" s="400"/>
      <c r="K45" s="400"/>
      <c r="L45" s="400"/>
      <c r="M45" s="619"/>
      <c r="N45" s="400"/>
      <c r="O45" s="400"/>
      <c r="P45" s="400"/>
      <c r="Q45" s="619"/>
      <c r="R45" s="400"/>
      <c r="S45" s="400"/>
      <c r="T45" s="400"/>
      <c r="U45" s="387"/>
      <c r="V45" s="400"/>
      <c r="W45" s="400"/>
      <c r="X45" s="400"/>
      <c r="Y45" s="387"/>
      <c r="Z45" s="400"/>
      <c r="AA45" s="400"/>
      <c r="AB45" s="400"/>
      <c r="AC45" s="387"/>
      <c r="AD45" s="400"/>
      <c r="AE45" s="400"/>
      <c r="AF45" s="400"/>
      <c r="AG45" s="387"/>
      <c r="AH45" s="327"/>
      <c r="AI45" s="327"/>
      <c r="AJ45" s="327"/>
      <c r="AK45" s="368"/>
      <c r="AL45" s="177"/>
      <c r="AM45" s="368"/>
      <c r="AN45" s="368"/>
      <c r="AO45" s="368" t="s">
        <v>44</v>
      </c>
      <c r="AP45" s="271"/>
      <c r="AQ45" s="326"/>
      <c r="AR45" s="267"/>
      <c r="AS45" s="231"/>
      <c r="AT45" s="30"/>
      <c r="AU45" s="267"/>
      <c r="AV45" s="744"/>
      <c r="AW45" s="744"/>
      <c r="AX45" s="744"/>
      <c r="AY45" s="198"/>
      <c r="AZ45" s="198"/>
      <c r="BA45" s="198"/>
      <c r="BB45" s="198"/>
      <c r="BC45" s="177"/>
      <c r="BD45" s="177"/>
      <c r="BE45" s="159"/>
      <c r="BF45" s="159"/>
      <c r="BG45" s="159"/>
      <c r="BH45" s="82"/>
    </row>
    <row r="46" spans="1:65" ht="27" customHeight="1" x14ac:dyDescent="0.2">
      <c r="A46" s="1506" t="s">
        <v>326</v>
      </c>
      <c r="B46" s="1507"/>
      <c r="C46" s="515"/>
      <c r="D46" s="30"/>
      <c r="E46" s="200"/>
      <c r="F46" s="400"/>
      <c r="G46" s="400"/>
      <c r="H46" s="734"/>
      <c r="I46" s="619"/>
      <c r="J46" s="400"/>
      <c r="K46" s="400"/>
      <c r="L46" s="734"/>
      <c r="M46" s="619"/>
      <c r="N46" s="400"/>
      <c r="O46" s="400"/>
      <c r="P46" s="734"/>
      <c r="Q46" s="619"/>
      <c r="R46" s="400"/>
      <c r="S46" s="267"/>
      <c r="T46" s="267"/>
      <c r="U46" s="387"/>
      <c r="V46" s="267"/>
      <c r="W46" s="267"/>
      <c r="X46" s="267"/>
      <c r="Y46" s="387"/>
      <c r="Z46" s="267"/>
      <c r="AA46" s="267"/>
      <c r="AB46" s="267"/>
      <c r="AC46" s="387"/>
      <c r="AD46" s="267"/>
      <c r="AE46" s="267"/>
      <c r="AF46" s="267"/>
      <c r="AG46" s="387"/>
      <c r="AH46" s="327"/>
      <c r="AI46" s="327"/>
      <c r="AJ46" s="327"/>
      <c r="AK46" s="368"/>
      <c r="AL46" s="177"/>
      <c r="AM46" s="368"/>
      <c r="AN46" s="368"/>
      <c r="AO46" s="368"/>
      <c r="AP46" s="271"/>
      <c r="AQ46" s="326"/>
      <c r="AR46" s="267"/>
      <c r="AS46" s="231"/>
      <c r="AT46" s="30"/>
      <c r="AU46" s="267"/>
      <c r="AV46" s="744"/>
      <c r="AW46" s="744"/>
      <c r="AX46" s="744"/>
      <c r="AY46" s="198"/>
      <c r="AZ46" s="198"/>
      <c r="BA46" s="198"/>
      <c r="BB46" s="198"/>
      <c r="BC46" s="177"/>
      <c r="BD46" s="177"/>
      <c r="BE46" s="159"/>
      <c r="BF46" s="159"/>
      <c r="BG46" s="159"/>
      <c r="BH46" s="82"/>
    </row>
    <row r="47" spans="1:65" x14ac:dyDescent="0.2">
      <c r="A47" s="262"/>
      <c r="B47" s="142" t="s">
        <v>121</v>
      </c>
      <c r="C47" s="515">
        <v>1</v>
      </c>
      <c r="D47" s="742">
        <v>0</v>
      </c>
      <c r="E47" s="88"/>
      <c r="F47" s="421">
        <v>1</v>
      </c>
      <c r="G47" s="151">
        <v>1</v>
      </c>
      <c r="H47" s="828">
        <v>1</v>
      </c>
      <c r="I47" s="830">
        <v>1</v>
      </c>
      <c r="J47" s="1404">
        <v>0</v>
      </c>
      <c r="K47" s="151">
        <v>0</v>
      </c>
      <c r="L47" s="828">
        <v>0</v>
      </c>
      <c r="M47" s="830">
        <v>0</v>
      </c>
      <c r="N47" s="686">
        <v>0</v>
      </c>
      <c r="O47" s="151">
        <v>0</v>
      </c>
      <c r="P47" s="251">
        <v>0</v>
      </c>
      <c r="Q47" s="829">
        <v>0</v>
      </c>
      <c r="R47" s="830">
        <v>0</v>
      </c>
      <c r="S47" s="327">
        <v>2</v>
      </c>
      <c r="T47" s="547">
        <v>2</v>
      </c>
      <c r="U47" s="544">
        <v>1</v>
      </c>
      <c r="V47" s="327">
        <v>1</v>
      </c>
      <c r="W47" s="327">
        <v>1</v>
      </c>
      <c r="X47" s="547">
        <v>1</v>
      </c>
      <c r="Y47" s="544">
        <v>1</v>
      </c>
      <c r="Z47" s="327">
        <v>1</v>
      </c>
      <c r="AA47" s="546">
        <v>0</v>
      </c>
      <c r="AB47" s="546">
        <v>0</v>
      </c>
      <c r="AC47" s="546">
        <v>0</v>
      </c>
      <c r="AD47" s="524">
        <v>0</v>
      </c>
      <c r="AE47" s="545">
        <v>0</v>
      </c>
      <c r="AF47" s="545">
        <v>0</v>
      </c>
      <c r="AG47" s="30">
        <v>0</v>
      </c>
      <c r="AH47" s="327">
        <v>1</v>
      </c>
      <c r="AI47" s="327">
        <v>1</v>
      </c>
      <c r="AJ47" s="327">
        <v>0</v>
      </c>
      <c r="AK47" s="368">
        <v>1</v>
      </c>
      <c r="AL47" s="159">
        <v>0</v>
      </c>
      <c r="AM47" s="368">
        <v>1</v>
      </c>
      <c r="AN47" s="368">
        <v>1</v>
      </c>
      <c r="AO47" s="368">
        <v>1</v>
      </c>
      <c r="AP47" s="177"/>
      <c r="AQ47" s="326">
        <v>0</v>
      </c>
      <c r="AR47" s="267">
        <v>1</v>
      </c>
      <c r="AS47" s="231">
        <v>-1</v>
      </c>
      <c r="AT47" s="30" t="s">
        <v>42</v>
      </c>
      <c r="AU47" s="327"/>
      <c r="AV47" s="744">
        <v>1</v>
      </c>
      <c r="AW47" s="889">
        <v>0</v>
      </c>
      <c r="AX47" s="889">
        <v>0</v>
      </c>
      <c r="AY47" s="830">
        <v>0</v>
      </c>
      <c r="AZ47" s="198">
        <v>1</v>
      </c>
      <c r="BA47" s="198">
        <v>1</v>
      </c>
      <c r="BB47" s="707">
        <v>0</v>
      </c>
      <c r="BC47" s="588">
        <v>1</v>
      </c>
      <c r="BD47" s="177">
        <v>0</v>
      </c>
      <c r="BE47" s="159">
        <v>1</v>
      </c>
      <c r="BF47" s="159">
        <v>4</v>
      </c>
      <c r="BG47" s="159">
        <v>3</v>
      </c>
      <c r="BH47" s="82"/>
    </row>
    <row r="48" spans="1:65" x14ac:dyDescent="0.2">
      <c r="A48" s="262"/>
      <c r="B48" s="142" t="s">
        <v>122</v>
      </c>
      <c r="C48" s="515">
        <v>-3</v>
      </c>
      <c r="D48" s="30">
        <v>-9.0909090909090912E-2</v>
      </c>
      <c r="E48" s="88"/>
      <c r="F48" s="399">
        <v>30</v>
      </c>
      <c r="G48" s="399">
        <v>31</v>
      </c>
      <c r="H48" s="738">
        <v>32</v>
      </c>
      <c r="I48" s="739">
        <v>33</v>
      </c>
      <c r="J48" s="399">
        <v>33</v>
      </c>
      <c r="K48" s="399">
        <v>36</v>
      </c>
      <c r="L48" s="738">
        <v>40</v>
      </c>
      <c r="M48" s="739">
        <v>43</v>
      </c>
      <c r="N48" s="399">
        <v>45</v>
      </c>
      <c r="O48" s="399">
        <v>50</v>
      </c>
      <c r="P48" s="738">
        <v>52</v>
      </c>
      <c r="Q48" s="739">
        <v>53</v>
      </c>
      <c r="R48" s="399">
        <v>62</v>
      </c>
      <c r="S48" s="327">
        <v>35</v>
      </c>
      <c r="T48" s="327">
        <v>32</v>
      </c>
      <c r="U48" s="368">
        <v>31</v>
      </c>
      <c r="V48" s="327">
        <v>30</v>
      </c>
      <c r="W48" s="327">
        <v>29</v>
      </c>
      <c r="X48" s="327">
        <v>30</v>
      </c>
      <c r="Y48" s="368">
        <v>32</v>
      </c>
      <c r="Z48" s="327">
        <v>35</v>
      </c>
      <c r="AA48" s="327">
        <v>37</v>
      </c>
      <c r="AB48" s="327">
        <v>36</v>
      </c>
      <c r="AC48" s="368">
        <v>41</v>
      </c>
      <c r="AD48" s="327">
        <v>42</v>
      </c>
      <c r="AE48" s="327">
        <v>46</v>
      </c>
      <c r="AF48" s="327">
        <v>45</v>
      </c>
      <c r="AG48" s="368">
        <v>48</v>
      </c>
      <c r="AH48" s="327">
        <v>51</v>
      </c>
      <c r="AI48" s="327">
        <v>50</v>
      </c>
      <c r="AJ48" s="327">
        <v>51</v>
      </c>
      <c r="AK48" s="368">
        <v>49</v>
      </c>
      <c r="AL48" s="177">
        <v>50</v>
      </c>
      <c r="AM48" s="368">
        <v>51</v>
      </c>
      <c r="AN48" s="368">
        <v>52</v>
      </c>
      <c r="AO48" s="368">
        <v>55</v>
      </c>
      <c r="AP48" s="177"/>
      <c r="AQ48" s="326">
        <v>42</v>
      </c>
      <c r="AR48" s="267">
        <v>51</v>
      </c>
      <c r="AS48" s="231">
        <v>-9</v>
      </c>
      <c r="AT48" s="30">
        <v>-0.17647058823529413</v>
      </c>
      <c r="AU48" s="178"/>
      <c r="AV48" s="744">
        <v>30</v>
      </c>
      <c r="AW48" s="744">
        <v>33</v>
      </c>
      <c r="AX48" s="744">
        <v>45</v>
      </c>
      <c r="AY48" s="198">
        <v>62</v>
      </c>
      <c r="AZ48" s="198">
        <v>30</v>
      </c>
      <c r="BA48" s="198">
        <v>35</v>
      </c>
      <c r="BB48" s="198">
        <v>42</v>
      </c>
      <c r="BC48" s="177">
        <v>51</v>
      </c>
      <c r="BD48" s="177">
        <v>50</v>
      </c>
      <c r="BE48" s="159">
        <v>49</v>
      </c>
      <c r="BF48" s="159">
        <v>47</v>
      </c>
      <c r="BG48" s="159">
        <v>24</v>
      </c>
      <c r="BH48" s="82"/>
    </row>
    <row r="49" spans="1:60" x14ac:dyDescent="0.2">
      <c r="A49" s="142"/>
      <c r="B49" s="142" t="s">
        <v>205</v>
      </c>
      <c r="C49" s="515">
        <v>-2</v>
      </c>
      <c r="D49" s="30">
        <v>-6.0606060606060608E-2</v>
      </c>
      <c r="E49" s="88"/>
      <c r="F49" s="399">
        <v>31</v>
      </c>
      <c r="G49" s="399">
        <v>32</v>
      </c>
      <c r="H49" s="738">
        <v>33</v>
      </c>
      <c r="I49" s="619">
        <v>34</v>
      </c>
      <c r="J49" s="399">
        <v>33</v>
      </c>
      <c r="K49" s="399">
        <v>36</v>
      </c>
      <c r="L49" s="738">
        <v>40</v>
      </c>
      <c r="M49" s="739">
        <v>43</v>
      </c>
      <c r="N49" s="399">
        <v>45</v>
      </c>
      <c r="O49" s="399">
        <v>50</v>
      </c>
      <c r="P49" s="738">
        <v>52</v>
      </c>
      <c r="Q49" s="739">
        <v>53</v>
      </c>
      <c r="R49" s="399">
        <v>62</v>
      </c>
      <c r="S49" s="327">
        <v>37</v>
      </c>
      <c r="T49" s="327">
        <v>34</v>
      </c>
      <c r="U49" s="368">
        <v>32</v>
      </c>
      <c r="V49" s="327">
        <v>31</v>
      </c>
      <c r="W49" s="327">
        <v>30</v>
      </c>
      <c r="X49" s="327">
        <v>31</v>
      </c>
      <c r="Y49" s="368">
        <v>33</v>
      </c>
      <c r="Z49" s="327">
        <v>36</v>
      </c>
      <c r="AA49" s="327">
        <v>37</v>
      </c>
      <c r="AB49" s="327">
        <v>36</v>
      </c>
      <c r="AC49" s="368">
        <v>41</v>
      </c>
      <c r="AD49" s="327">
        <v>42</v>
      </c>
      <c r="AE49" s="327">
        <v>46</v>
      </c>
      <c r="AF49" s="327">
        <v>45</v>
      </c>
      <c r="AG49" s="368">
        <v>48</v>
      </c>
      <c r="AH49" s="327">
        <v>52</v>
      </c>
      <c r="AI49" s="327">
        <v>51</v>
      </c>
      <c r="AJ49" s="327">
        <v>51</v>
      </c>
      <c r="AK49" s="368">
        <v>50</v>
      </c>
      <c r="AL49" s="177">
        <v>50</v>
      </c>
      <c r="AM49" s="368">
        <v>52</v>
      </c>
      <c r="AN49" s="368">
        <v>53</v>
      </c>
      <c r="AO49" s="368">
        <v>56</v>
      </c>
      <c r="AP49" s="177"/>
      <c r="AQ49" s="326">
        <v>42</v>
      </c>
      <c r="AR49" s="267">
        <v>52</v>
      </c>
      <c r="AS49" s="231">
        <v>-10</v>
      </c>
      <c r="AT49" s="30">
        <v>-0.19230769230769232</v>
      </c>
      <c r="AU49" s="178"/>
      <c r="AV49" s="744">
        <v>31</v>
      </c>
      <c r="AW49" s="744">
        <v>33</v>
      </c>
      <c r="AX49" s="744">
        <v>45</v>
      </c>
      <c r="AY49" s="198">
        <v>62</v>
      </c>
      <c r="AZ49" s="198">
        <v>31</v>
      </c>
      <c r="BA49" s="198">
        <v>36</v>
      </c>
      <c r="BB49" s="235">
        <v>42</v>
      </c>
      <c r="BC49" s="177">
        <v>52</v>
      </c>
      <c r="BD49" s="177">
        <v>50</v>
      </c>
      <c r="BE49" s="159">
        <v>50</v>
      </c>
      <c r="BF49" s="159">
        <v>51</v>
      </c>
      <c r="BG49" s="159">
        <v>27</v>
      </c>
      <c r="BH49" s="82"/>
    </row>
    <row r="50" spans="1:60" x14ac:dyDescent="0.2">
      <c r="A50" s="103"/>
      <c r="B50" s="103"/>
      <c r="C50" s="324"/>
      <c r="D50" s="367"/>
      <c r="E50" s="88"/>
      <c r="F50" s="401"/>
      <c r="G50" s="401"/>
      <c r="H50" s="401"/>
      <c r="I50" s="370"/>
      <c r="J50" s="401"/>
      <c r="K50" s="401"/>
      <c r="L50" s="401"/>
      <c r="M50" s="370"/>
      <c r="N50" s="401"/>
      <c r="O50" s="401"/>
      <c r="P50" s="401"/>
      <c r="Q50" s="370"/>
      <c r="R50" s="401"/>
      <c r="S50" s="401"/>
      <c r="T50" s="401"/>
      <c r="U50" s="370"/>
      <c r="V50" s="401"/>
      <c r="W50" s="401"/>
      <c r="X50" s="401"/>
      <c r="Y50" s="370"/>
      <c r="Z50" s="401"/>
      <c r="AA50" s="401"/>
      <c r="AB50" s="401"/>
      <c r="AC50" s="370"/>
      <c r="AD50" s="401"/>
      <c r="AE50" s="401"/>
      <c r="AF50" s="401"/>
      <c r="AG50" s="370"/>
      <c r="AH50" s="335"/>
      <c r="AI50" s="335"/>
      <c r="AJ50" s="335"/>
      <c r="AK50" s="370"/>
      <c r="AL50" s="195"/>
      <c r="AM50" s="370"/>
      <c r="AN50" s="370"/>
      <c r="AO50" s="371"/>
      <c r="AP50" s="177"/>
      <c r="AQ50" s="226"/>
      <c r="AR50" s="335"/>
      <c r="AS50" s="335"/>
      <c r="AT50" s="389"/>
      <c r="AU50" s="178"/>
      <c r="AV50" s="23"/>
      <c r="AW50" s="23"/>
      <c r="AX50" s="23"/>
      <c r="AY50" s="23"/>
      <c r="AZ50" s="23"/>
      <c r="BA50" s="23"/>
      <c r="BB50" s="195"/>
      <c r="BC50" s="372"/>
      <c r="BD50" s="195"/>
      <c r="BE50" s="372"/>
      <c r="BF50" s="372"/>
      <c r="BG50" s="372"/>
      <c r="BH50" s="82"/>
    </row>
    <row r="51" spans="1:60" ht="14.25" x14ac:dyDescent="0.2">
      <c r="A51" s="142" t="s">
        <v>258</v>
      </c>
      <c r="B51" s="139"/>
      <c r="C51" s="3"/>
      <c r="D51" s="3"/>
      <c r="AG51" s="3"/>
      <c r="AH51" s="3"/>
      <c r="AI51" s="3"/>
      <c r="AJ51" s="3"/>
      <c r="AK51" s="3"/>
      <c r="AL51" s="3"/>
      <c r="AM51" s="3"/>
      <c r="AN51" s="3"/>
      <c r="AO51" s="11"/>
      <c r="AP51" s="3"/>
      <c r="AQ51" s="3"/>
      <c r="AR51" s="3"/>
      <c r="AS51" s="3"/>
      <c r="AT51" s="3"/>
      <c r="AV51" s="722"/>
      <c r="AW51" s="722"/>
      <c r="AX51" s="722"/>
      <c r="AY51" s="3"/>
      <c r="AZ51" s="3"/>
      <c r="BA51" s="3"/>
      <c r="BB51" s="3"/>
      <c r="BC51" s="32"/>
      <c r="BD51" s="3"/>
    </row>
    <row r="52" spans="1:60" x14ac:dyDescent="0.2">
      <c r="B52" s="264"/>
      <c r="I52" s="721"/>
      <c r="M52" s="721"/>
      <c r="Q52" s="721"/>
      <c r="U52"/>
      <c r="Y52"/>
      <c r="AC52"/>
      <c r="AO52" s="33"/>
      <c r="AP52" s="3"/>
      <c r="AQ52" s="3"/>
      <c r="AR52" s="3"/>
      <c r="BC52" s="2"/>
      <c r="BD52" s="2"/>
    </row>
    <row r="53" spans="1:60" x14ac:dyDescent="0.2">
      <c r="A53" s="7" t="s">
        <v>339</v>
      </c>
      <c r="B53" s="613"/>
      <c r="I53" s="591"/>
      <c r="M53" s="591"/>
      <c r="Q53" s="591"/>
      <c r="U53" s="591"/>
      <c r="Y53"/>
      <c r="AC53"/>
      <c r="AO53" s="150"/>
      <c r="AP53" s="3"/>
      <c r="AQ53" s="3"/>
      <c r="AR53" s="3"/>
      <c r="BC53" s="2"/>
      <c r="BD53" s="2"/>
    </row>
    <row r="54" spans="1:60" x14ac:dyDescent="0.2">
      <c r="C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O54" s="2"/>
      <c r="AP54" s="3"/>
      <c r="AQ54" s="3"/>
      <c r="AR54" s="3"/>
      <c r="BC54" s="51"/>
      <c r="BD54" s="51"/>
    </row>
    <row r="55" spans="1:60" x14ac:dyDescent="0.2">
      <c r="G55" s="523"/>
      <c r="K55" s="523"/>
      <c r="O55" s="523"/>
      <c r="AG55" s="3"/>
      <c r="AH55" s="3"/>
      <c r="AL55" s="3"/>
      <c r="AO55" s="1"/>
      <c r="AP55" s="3"/>
      <c r="AQ55" s="3"/>
      <c r="AR55" s="3"/>
      <c r="BC55" s="51"/>
      <c r="BD55" s="51"/>
    </row>
    <row r="56" spans="1:60" x14ac:dyDescent="0.2">
      <c r="I56" s="721"/>
      <c r="M56" s="721"/>
      <c r="Q56" s="721"/>
      <c r="U56"/>
      <c r="Y56"/>
      <c r="AC56"/>
      <c r="AO56" s="32"/>
      <c r="AP56" s="3"/>
      <c r="AQ56" s="3"/>
      <c r="AR56" s="3"/>
      <c r="BC56" s="52"/>
      <c r="BD56" s="52"/>
    </row>
    <row r="57" spans="1:60" x14ac:dyDescent="0.2">
      <c r="H57" s="394"/>
      <c r="I57" s="721"/>
      <c r="L57" s="394"/>
      <c r="M57" s="721"/>
      <c r="P57" s="394"/>
      <c r="Q57" s="721"/>
      <c r="T57" s="394"/>
      <c r="U57"/>
      <c r="X57" s="394"/>
      <c r="Y57"/>
      <c r="AB57" s="394"/>
      <c r="AC57"/>
      <c r="AF57" s="394"/>
      <c r="AO57" s="47"/>
      <c r="AP57" s="3"/>
      <c r="AQ57" s="3"/>
      <c r="AR57" s="3"/>
      <c r="BC57" s="53"/>
      <c r="BD57" s="53"/>
    </row>
    <row r="58" spans="1:60" x14ac:dyDescent="0.2">
      <c r="I58" s="721"/>
      <c r="M58" s="721"/>
      <c r="Q58" s="721"/>
      <c r="U58"/>
      <c r="Y58"/>
      <c r="AC58"/>
      <c r="AO58" s="47"/>
      <c r="AP58" s="3"/>
      <c r="AQ58" s="3"/>
      <c r="AR58" s="3"/>
      <c r="BC58" s="35"/>
      <c r="BD58" s="35"/>
    </row>
    <row r="59" spans="1:60" x14ac:dyDescent="0.2">
      <c r="I59" s="721"/>
      <c r="M59" s="721"/>
      <c r="Q59" s="721"/>
      <c r="U59"/>
      <c r="Y59"/>
      <c r="AC59"/>
      <c r="AO59" s="41"/>
      <c r="AP59" s="3"/>
      <c r="AQ59" s="3"/>
      <c r="AR59" s="3"/>
      <c r="BC59" s="35"/>
      <c r="BD59" s="35"/>
    </row>
    <row r="60" spans="1:60" x14ac:dyDescent="0.2">
      <c r="I60" s="721"/>
      <c r="M60" s="721"/>
      <c r="Q60" s="721"/>
      <c r="U60"/>
      <c r="Y60"/>
      <c r="AC60"/>
      <c r="AO60" s="35"/>
      <c r="AP60" s="3"/>
      <c r="AQ60" s="3"/>
      <c r="AR60" s="3"/>
      <c r="BC60" s="36"/>
      <c r="BD60" s="36"/>
    </row>
    <row r="61" spans="1:60" x14ac:dyDescent="0.2">
      <c r="I61" s="721"/>
      <c r="M61" s="721"/>
      <c r="Q61" s="721"/>
      <c r="U61"/>
      <c r="Y61"/>
      <c r="AC61"/>
      <c r="AO61" s="36"/>
      <c r="AP61" s="3"/>
      <c r="AQ61" s="3"/>
      <c r="AR61" s="3"/>
      <c r="BC61" s="36"/>
      <c r="BD61" s="36"/>
    </row>
    <row r="62" spans="1:60" x14ac:dyDescent="0.2">
      <c r="I62" s="721"/>
      <c r="M62" s="721"/>
      <c r="Q62" s="721"/>
      <c r="U62"/>
      <c r="Y62"/>
      <c r="AC62"/>
      <c r="AO62" s="36"/>
      <c r="AP62" s="3"/>
      <c r="AQ62" s="3"/>
      <c r="AR62" s="3"/>
      <c r="BC62" s="3"/>
      <c r="BD62" s="3"/>
    </row>
    <row r="63" spans="1:60" x14ac:dyDescent="0.2">
      <c r="I63" s="721"/>
      <c r="M63" s="721"/>
      <c r="Q63" s="721"/>
      <c r="U63"/>
      <c r="Y63"/>
      <c r="AC63"/>
      <c r="AO63" s="3"/>
      <c r="AP63" s="3"/>
      <c r="AQ63" s="3"/>
      <c r="AR63" s="3"/>
      <c r="BC63" s="3"/>
      <c r="BD63" s="3"/>
    </row>
    <row r="64" spans="1:60" x14ac:dyDescent="0.2">
      <c r="I64" s="721"/>
      <c r="M64" s="721"/>
      <c r="Q64" s="721"/>
      <c r="U64"/>
      <c r="Y64"/>
      <c r="AC64"/>
      <c r="AO64" s="3"/>
      <c r="AP64" s="3"/>
      <c r="AQ64" s="3"/>
      <c r="AR64" s="3"/>
      <c r="BC64" s="3"/>
      <c r="BD64" s="3"/>
    </row>
    <row r="65" spans="9:56" x14ac:dyDescent="0.2">
      <c r="I65" s="721"/>
      <c r="M65" s="721"/>
      <c r="Q65" s="721"/>
      <c r="U65"/>
      <c r="Y65"/>
      <c r="AC65"/>
      <c r="AO65" s="3"/>
      <c r="AP65" s="3"/>
      <c r="AQ65" s="3"/>
      <c r="AR65" s="3"/>
      <c r="BC65" s="3"/>
      <c r="BD65" s="3"/>
    </row>
    <row r="66" spans="9:56" x14ac:dyDescent="0.2">
      <c r="I66" s="721"/>
      <c r="M66" s="721"/>
      <c r="Q66" s="721"/>
      <c r="U66"/>
      <c r="Y66"/>
      <c r="AC66"/>
      <c r="AO66" s="3"/>
      <c r="AP66" s="3"/>
      <c r="AQ66" s="3"/>
      <c r="AR66" s="3"/>
      <c r="BC66" s="3"/>
      <c r="BD66" s="3"/>
    </row>
    <row r="67" spans="9:56" x14ac:dyDescent="0.2">
      <c r="I67" s="721"/>
      <c r="M67" s="721"/>
      <c r="Q67" s="721"/>
      <c r="U67"/>
      <c r="Y67"/>
      <c r="AC67"/>
      <c r="AO67" s="3"/>
      <c r="AP67" s="3"/>
      <c r="AQ67" s="3"/>
      <c r="AR67" s="3"/>
    </row>
    <row r="68" spans="9:56" x14ac:dyDescent="0.2">
      <c r="I68" s="721"/>
      <c r="M68" s="721"/>
      <c r="Q68" s="721"/>
      <c r="U68"/>
      <c r="Y68"/>
      <c r="AC68"/>
    </row>
    <row r="69" spans="9:56" x14ac:dyDescent="0.2">
      <c r="I69" s="721"/>
      <c r="M69" s="721"/>
      <c r="Q69" s="721"/>
      <c r="U69"/>
      <c r="Y69"/>
      <c r="AC69"/>
    </row>
    <row r="70" spans="9:56" x14ac:dyDescent="0.2">
      <c r="I70" s="721"/>
      <c r="M70" s="721"/>
      <c r="Q70" s="721"/>
      <c r="U70"/>
      <c r="Y70"/>
      <c r="AC70"/>
    </row>
    <row r="71" spans="9:56" x14ac:dyDescent="0.2">
      <c r="I71" s="721"/>
      <c r="M71" s="721"/>
      <c r="Q71" s="721"/>
      <c r="U71"/>
      <c r="Y71"/>
      <c r="AC71"/>
    </row>
    <row r="72" spans="9:56" x14ac:dyDescent="0.2">
      <c r="I72" s="721"/>
      <c r="M72" s="721"/>
      <c r="Q72" s="721"/>
      <c r="U72"/>
      <c r="Y72"/>
      <c r="AC72"/>
    </row>
    <row r="73" spans="9:56" x14ac:dyDescent="0.2">
      <c r="I73" s="721"/>
      <c r="M73" s="721"/>
      <c r="Q73" s="721"/>
      <c r="U73"/>
      <c r="Y73"/>
      <c r="AC73"/>
    </row>
    <row r="74" spans="9:56" x14ac:dyDescent="0.2">
      <c r="I74" s="721"/>
      <c r="M74" s="721"/>
      <c r="Q74" s="721"/>
      <c r="U74"/>
      <c r="Y74"/>
      <c r="AC74"/>
    </row>
    <row r="75" spans="9:56" x14ac:dyDescent="0.2">
      <c r="I75" s="721"/>
      <c r="M75" s="721"/>
      <c r="Q75" s="721"/>
      <c r="U75"/>
      <c r="Y75"/>
      <c r="AC75"/>
    </row>
    <row r="76" spans="9:56" x14ac:dyDescent="0.2">
      <c r="I76" s="721"/>
      <c r="M76" s="721"/>
      <c r="Q76" s="721"/>
      <c r="U76"/>
      <c r="Y76"/>
      <c r="AC76"/>
    </row>
    <row r="77" spans="9:56" x14ac:dyDescent="0.2">
      <c r="I77" s="721"/>
      <c r="M77" s="721"/>
      <c r="Q77" s="721"/>
      <c r="U77"/>
      <c r="Y77"/>
      <c r="AC77"/>
    </row>
  </sheetData>
  <mergeCells count="7">
    <mergeCell ref="AS9:AT9"/>
    <mergeCell ref="A41:B41"/>
    <mergeCell ref="A46:B46"/>
    <mergeCell ref="C9:D9"/>
    <mergeCell ref="AQ8:AT8"/>
    <mergeCell ref="C8:D8"/>
    <mergeCell ref="A32:B32"/>
  </mergeCells>
  <phoneticPr fontId="6" type="noConversion"/>
  <conditionalFormatting sqref="A44:B44 AG40:AG41 AD39:AF42 AU39:AU42 AC40:AC41 S36:AB36 AU36 AD36:AF36 AP36 AP39:AP42 A36:A38 R36:R37 R39:AB42 E36:E42 N36:Q42">
    <cfRule type="cellIs" dxfId="2" priority="3" stopIfTrue="1" operator="equal">
      <formula>0</formula>
    </cfRule>
  </conditionalFormatting>
  <conditionalFormatting sqref="J36:M42">
    <cfRule type="cellIs" dxfId="1" priority="2" stopIfTrue="1" operator="equal">
      <formula>0</formula>
    </cfRule>
  </conditionalFormatting>
  <conditionalFormatting sqref="F36:I42">
    <cfRule type="cellIs" dxfId="0" priority="1" stopIfTrue="1" operator="equal">
      <formula>0</formula>
    </cfRule>
  </conditionalFormatting>
  <printOptions horizontalCentered="1"/>
  <pageMargins left="0.3" right="0.3" top="0.4" bottom="0.6" header="0" footer="0.3"/>
  <pageSetup scale="67" orientation="landscape" r:id="rId1"/>
  <headerFooter alignWithMargins="0">
    <oddFooter>&amp;CPage 12</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51"/>
  <sheetViews>
    <sheetView topLeftCell="A28" zoomScaleNormal="100" zoomScaleSheetLayoutView="80" workbookViewId="0">
      <selection activeCell="A41" sqref="A41:XFD43"/>
    </sheetView>
  </sheetViews>
  <sheetFormatPr defaultRowHeight="12.75" x14ac:dyDescent="0.2"/>
  <cols>
    <col min="1" max="1" width="5" style="128" customWidth="1"/>
    <col min="2" max="2" width="2.7109375" style="129" customWidth="1"/>
    <col min="3" max="3" width="1.7109375" style="129" customWidth="1"/>
    <col min="4" max="10" width="23.28515625" style="129" customWidth="1"/>
    <col min="11" max="11" width="26.85546875" style="129" customWidth="1"/>
    <col min="12" max="12" width="38.140625" style="129" customWidth="1"/>
    <col min="13" max="15" width="10" style="129" customWidth="1"/>
    <col min="16" max="17" width="23.28515625" style="129" customWidth="1"/>
    <col min="18" max="18" width="20.5703125" style="129" bestFit="1" customWidth="1"/>
    <col min="19" max="19" width="16" style="129" customWidth="1"/>
    <col min="20" max="20" width="12.140625" style="129" customWidth="1"/>
    <col min="21" max="21" width="14.5703125" style="131" bestFit="1" customWidth="1"/>
    <col min="22" max="22" width="1.7109375" style="129" customWidth="1"/>
    <col min="23" max="23" width="2.7109375" style="129" customWidth="1"/>
    <col min="24" max="16384" width="9.140625" style="129"/>
  </cols>
  <sheetData>
    <row r="2" spans="1:35" ht="20.25" x14ac:dyDescent="0.3">
      <c r="E2" s="130"/>
    </row>
    <row r="5" spans="1:35" ht="15" x14ac:dyDescent="0.2">
      <c r="B5" s="132" t="s">
        <v>457</v>
      </c>
      <c r="C5" s="114"/>
      <c r="D5" s="114"/>
      <c r="E5" s="114"/>
      <c r="F5" s="114"/>
      <c r="G5" s="114"/>
      <c r="H5" s="114"/>
      <c r="I5" s="114"/>
      <c r="J5" s="114"/>
      <c r="K5" s="114"/>
      <c r="L5" s="114"/>
      <c r="M5" s="121"/>
      <c r="V5" s="114"/>
    </row>
    <row r="6" spans="1:35" ht="15" x14ac:dyDescent="0.2">
      <c r="B6" s="132" t="s">
        <v>58</v>
      </c>
      <c r="C6" s="114"/>
      <c r="D6" s="114"/>
      <c r="E6" s="114"/>
      <c r="F6" s="114"/>
      <c r="G6" s="114"/>
      <c r="H6" s="114"/>
      <c r="I6" s="114"/>
      <c r="J6" s="114"/>
      <c r="K6" s="114"/>
      <c r="L6" s="127"/>
      <c r="M6" s="121"/>
      <c r="P6" s="121"/>
      <c r="V6" s="114"/>
    </row>
    <row r="7" spans="1:35" x14ac:dyDescent="0.2">
      <c r="C7" s="114"/>
      <c r="D7" s="114"/>
      <c r="E7" s="114"/>
      <c r="F7" s="114"/>
      <c r="G7" s="114"/>
      <c r="H7" s="114"/>
      <c r="I7" s="114"/>
      <c r="J7" s="114"/>
      <c r="K7" s="114"/>
      <c r="L7" s="127"/>
      <c r="M7" s="114"/>
      <c r="P7" s="114"/>
      <c r="V7" s="114"/>
    </row>
    <row r="8" spans="1:35" ht="18" customHeight="1" x14ac:dyDescent="0.2">
      <c r="A8" s="133">
        <v>-1</v>
      </c>
      <c r="B8" s="759" t="s">
        <v>295</v>
      </c>
      <c r="C8" s="759"/>
      <c r="D8" s="759"/>
      <c r="E8" s="759"/>
      <c r="F8" s="759"/>
      <c r="G8" s="759"/>
      <c r="H8" s="759"/>
      <c r="I8" s="759"/>
      <c r="J8" s="759"/>
      <c r="K8" s="759"/>
      <c r="L8" s="759"/>
      <c r="M8" s="98"/>
      <c r="N8" s="98"/>
      <c r="O8" s="98"/>
      <c r="P8" s="98"/>
      <c r="Q8" s="98"/>
      <c r="R8" s="98"/>
      <c r="S8" s="98"/>
      <c r="T8" s="98"/>
      <c r="U8" s="98"/>
      <c r="V8" s="98"/>
      <c r="W8" s="98"/>
      <c r="X8" s="98"/>
      <c r="Y8" s="98"/>
      <c r="Z8" s="98"/>
      <c r="AA8" s="98"/>
      <c r="AB8" s="98"/>
      <c r="AC8" s="98"/>
      <c r="AD8" s="98"/>
      <c r="AE8" s="98"/>
      <c r="AF8" s="98"/>
      <c r="AG8" s="98"/>
      <c r="AH8" s="98"/>
      <c r="AI8" s="98"/>
    </row>
    <row r="9" spans="1:35" ht="18" customHeight="1" x14ac:dyDescent="0.2">
      <c r="A9" s="133"/>
      <c r="B9" s="759" t="s">
        <v>330</v>
      </c>
      <c r="C9" s="759"/>
      <c r="D9" s="759"/>
      <c r="E9" s="759"/>
      <c r="F9" s="759"/>
      <c r="G9" s="759"/>
      <c r="H9" s="759"/>
      <c r="I9" s="759"/>
      <c r="J9" s="759"/>
      <c r="K9" s="759"/>
      <c r="L9" s="759"/>
      <c r="M9" s="761"/>
      <c r="N9" s="761"/>
      <c r="O9" s="761"/>
      <c r="P9" s="761"/>
      <c r="Q9" s="761"/>
      <c r="R9" s="761"/>
      <c r="S9" s="761"/>
      <c r="T9" s="761"/>
      <c r="U9" s="761"/>
      <c r="V9" s="761"/>
      <c r="W9" s="761"/>
      <c r="X9" s="761"/>
      <c r="Y9" s="761"/>
      <c r="Z9" s="761"/>
      <c r="AA9" s="761"/>
      <c r="AB9" s="761"/>
      <c r="AC9" s="761"/>
      <c r="AD9" s="761"/>
      <c r="AE9" s="761"/>
      <c r="AF9" s="761"/>
      <c r="AG9" s="761"/>
      <c r="AH9" s="761"/>
      <c r="AI9" s="761"/>
    </row>
    <row r="10" spans="1:35" s="137" customFormat="1" ht="17.25" customHeight="1" x14ac:dyDescent="0.2">
      <c r="A10" s="133">
        <v>-2</v>
      </c>
      <c r="B10" s="139" t="s">
        <v>407</v>
      </c>
      <c r="L10" s="759"/>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766"/>
    </row>
    <row r="11" spans="1:35" s="137" customFormat="1" ht="16.5" customHeight="1" x14ac:dyDescent="0.2">
      <c r="A11" s="133"/>
      <c r="B11" s="815" t="s">
        <v>408</v>
      </c>
      <c r="L11" s="759"/>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766"/>
    </row>
    <row r="12" spans="1:35" s="137" customFormat="1" ht="15.75" customHeight="1" x14ac:dyDescent="0.2">
      <c r="A12" s="133"/>
      <c r="B12" s="139" t="s">
        <v>318</v>
      </c>
      <c r="L12" s="759"/>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766"/>
    </row>
    <row r="13" spans="1:35" ht="15" customHeight="1" x14ac:dyDescent="0.2">
      <c r="A13" s="133">
        <v>-3</v>
      </c>
      <c r="B13" s="1512" t="s">
        <v>331</v>
      </c>
      <c r="C13" s="1512"/>
      <c r="D13" s="1512"/>
      <c r="E13" s="1512"/>
      <c r="F13" s="1512"/>
      <c r="G13" s="1512"/>
      <c r="H13" s="1512"/>
      <c r="I13" s="1512"/>
      <c r="J13" s="1512"/>
      <c r="K13" s="1512"/>
      <c r="L13" s="1512"/>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6"/>
    </row>
    <row r="14" spans="1:35" ht="30" customHeight="1" x14ac:dyDescent="0.2">
      <c r="A14" s="691">
        <v>-4</v>
      </c>
      <c r="B14" s="1512" t="s">
        <v>411</v>
      </c>
      <c r="C14" s="1512"/>
      <c r="D14" s="1512"/>
      <c r="E14" s="1512"/>
      <c r="F14" s="1512"/>
      <c r="G14" s="1512"/>
      <c r="H14" s="1512"/>
      <c r="I14" s="1512"/>
      <c r="J14" s="1512"/>
      <c r="K14" s="1512"/>
      <c r="L14" s="1512"/>
      <c r="M14" s="98"/>
      <c r="N14" s="98"/>
      <c r="O14" s="98"/>
      <c r="P14" s="98"/>
      <c r="Q14" s="98"/>
      <c r="R14" s="98"/>
      <c r="S14" s="98"/>
      <c r="T14" s="98"/>
      <c r="U14" s="98"/>
      <c r="V14" s="98"/>
      <c r="W14" s="98"/>
      <c r="X14" s="98"/>
      <c r="Y14" s="98"/>
      <c r="Z14" s="98"/>
      <c r="AA14" s="98"/>
      <c r="AB14" s="98"/>
      <c r="AC14" s="98"/>
      <c r="AD14" s="98"/>
      <c r="AE14" s="98"/>
      <c r="AF14" s="98"/>
      <c r="AG14" s="98"/>
      <c r="AH14" s="98"/>
      <c r="AI14" s="98"/>
    </row>
    <row r="15" spans="1:35" ht="15.75" customHeight="1" x14ac:dyDescent="0.2">
      <c r="A15" s="133">
        <v>-5</v>
      </c>
      <c r="B15" s="1512" t="s">
        <v>413</v>
      </c>
      <c r="C15" s="1512"/>
      <c r="D15" s="1512"/>
      <c r="E15" s="1512"/>
      <c r="F15" s="1512"/>
      <c r="G15" s="1512"/>
      <c r="H15" s="1512"/>
      <c r="I15" s="1512"/>
      <c r="J15" s="1512"/>
      <c r="K15" s="1512"/>
      <c r="L15" s="1512"/>
      <c r="M15" s="1392"/>
      <c r="N15" s="1392"/>
      <c r="O15" s="1392"/>
      <c r="P15" s="1392"/>
      <c r="Q15" s="1392"/>
      <c r="R15" s="1392"/>
      <c r="S15" s="1392"/>
      <c r="T15" s="1392"/>
      <c r="U15" s="1392"/>
      <c r="V15" s="1392"/>
      <c r="W15" s="1392"/>
      <c r="X15" s="1392"/>
      <c r="Y15" s="1392"/>
      <c r="Z15" s="1392"/>
      <c r="AA15" s="1392"/>
      <c r="AB15" s="1392"/>
      <c r="AC15" s="1392"/>
      <c r="AD15" s="1392"/>
      <c r="AE15" s="1392"/>
      <c r="AF15" s="1392"/>
      <c r="AG15" s="1392"/>
      <c r="AH15" s="1392"/>
      <c r="AI15" s="1392"/>
    </row>
    <row r="16" spans="1:35" ht="18" customHeight="1" x14ac:dyDescent="0.2">
      <c r="A16" s="133">
        <v>-6</v>
      </c>
      <c r="B16" s="1512" t="s">
        <v>414</v>
      </c>
      <c r="C16" s="1512"/>
      <c r="D16" s="1512"/>
      <c r="E16" s="1512"/>
      <c r="F16" s="1512"/>
      <c r="G16" s="1512"/>
      <c r="H16" s="1512"/>
      <c r="I16" s="1512"/>
      <c r="J16" s="1512"/>
      <c r="K16" s="1512"/>
      <c r="L16" s="1512"/>
      <c r="M16" s="1392"/>
      <c r="N16" s="1392"/>
      <c r="O16" s="1392"/>
      <c r="P16" s="1392"/>
      <c r="Q16" s="1392"/>
      <c r="R16" s="1392"/>
      <c r="S16" s="1392"/>
      <c r="T16" s="1392"/>
      <c r="U16" s="1392"/>
      <c r="V16" s="1392"/>
      <c r="W16" s="1392"/>
      <c r="X16" s="1392"/>
      <c r="Y16" s="1392"/>
      <c r="Z16" s="1392"/>
      <c r="AA16" s="1392"/>
      <c r="AB16" s="1392"/>
      <c r="AC16" s="1392"/>
      <c r="AD16" s="1392"/>
      <c r="AE16" s="1392"/>
      <c r="AF16" s="1392"/>
      <c r="AG16" s="1392"/>
      <c r="AH16" s="1392"/>
      <c r="AI16" s="1392"/>
    </row>
    <row r="17" spans="1:37" ht="28.5" customHeight="1" x14ac:dyDescent="0.2">
      <c r="A17" s="691">
        <v>-7</v>
      </c>
      <c r="B17" s="1512" t="s">
        <v>415</v>
      </c>
      <c r="C17" s="1512"/>
      <c r="D17" s="1512"/>
      <c r="E17" s="1512"/>
      <c r="F17" s="1512"/>
      <c r="G17" s="1512"/>
      <c r="H17" s="1512"/>
      <c r="I17" s="1512"/>
      <c r="J17" s="1512"/>
      <c r="K17" s="1512"/>
      <c r="L17" s="1512"/>
      <c r="M17" s="1392"/>
      <c r="N17" s="1392"/>
      <c r="O17" s="1392"/>
      <c r="P17" s="1392"/>
      <c r="Q17" s="1392"/>
      <c r="R17" s="1392"/>
      <c r="S17" s="1392"/>
      <c r="T17" s="1392"/>
      <c r="U17" s="1392"/>
      <c r="V17" s="1392"/>
      <c r="W17" s="1392"/>
      <c r="X17" s="1392"/>
      <c r="Y17" s="1392"/>
      <c r="Z17" s="1392"/>
      <c r="AA17" s="1392"/>
      <c r="AB17" s="1392"/>
      <c r="AC17" s="1392"/>
      <c r="AD17" s="1392"/>
      <c r="AE17" s="1392"/>
      <c r="AF17" s="1392"/>
      <c r="AG17" s="1392"/>
      <c r="AH17" s="1392"/>
      <c r="AI17" s="1392"/>
    </row>
    <row r="18" spans="1:37" ht="15.75" customHeight="1" x14ac:dyDescent="0.2">
      <c r="A18" s="133">
        <v>-8</v>
      </c>
      <c r="B18" s="1512" t="s">
        <v>422</v>
      </c>
      <c r="C18" s="1512"/>
      <c r="D18" s="1512"/>
      <c r="E18" s="1512"/>
      <c r="F18" s="1512"/>
      <c r="G18" s="1512"/>
      <c r="H18" s="1512"/>
      <c r="I18" s="1512"/>
      <c r="J18" s="1512"/>
      <c r="K18" s="1512"/>
      <c r="L18" s="1512"/>
      <c r="M18" s="98"/>
      <c r="N18" s="98"/>
      <c r="O18" s="98"/>
      <c r="P18" s="98"/>
      <c r="Q18" s="98"/>
      <c r="R18" s="98"/>
      <c r="S18" s="98"/>
      <c r="T18" s="98"/>
      <c r="U18" s="98"/>
      <c r="V18" s="98"/>
      <c r="W18" s="98"/>
      <c r="X18" s="98"/>
      <c r="Y18" s="98"/>
      <c r="Z18" s="98"/>
      <c r="AA18" s="98"/>
      <c r="AB18" s="98"/>
      <c r="AC18" s="98"/>
      <c r="AD18" s="98"/>
      <c r="AE18" s="98"/>
      <c r="AF18" s="98"/>
      <c r="AG18" s="98"/>
      <c r="AH18" s="98"/>
      <c r="AI18" s="98"/>
    </row>
    <row r="19" spans="1:37" ht="18" customHeight="1" x14ac:dyDescent="0.2">
      <c r="A19" s="133">
        <v>-9</v>
      </c>
      <c r="B19" s="1512" t="s">
        <v>245</v>
      </c>
      <c r="C19" s="1512"/>
      <c r="D19" s="1512"/>
      <c r="E19" s="1512"/>
      <c r="F19" s="1512"/>
      <c r="G19" s="1512"/>
      <c r="H19" s="1512"/>
      <c r="I19" s="1512"/>
      <c r="J19" s="1512"/>
      <c r="K19" s="1512"/>
      <c r="L19" s="1512"/>
      <c r="M19" s="98"/>
      <c r="N19" s="98"/>
      <c r="O19" s="98"/>
      <c r="P19" s="98"/>
      <c r="Q19" s="98"/>
      <c r="R19" s="98"/>
      <c r="S19" s="98"/>
      <c r="T19" s="98"/>
      <c r="U19" s="98"/>
      <c r="V19" s="98"/>
      <c r="W19" s="98"/>
      <c r="X19" s="98"/>
      <c r="Y19" s="98"/>
      <c r="Z19" s="98"/>
      <c r="AA19" s="98"/>
      <c r="AB19" s="98"/>
      <c r="AC19" s="98"/>
      <c r="AD19" s="98"/>
      <c r="AE19" s="98"/>
      <c r="AF19" s="98"/>
      <c r="AG19" s="98"/>
      <c r="AH19" s="98"/>
      <c r="AI19" s="98"/>
    </row>
    <row r="20" spans="1:37" ht="15.75" customHeight="1" x14ac:dyDescent="0.2">
      <c r="A20" s="133">
        <v>-10</v>
      </c>
      <c r="B20" s="1512" t="s">
        <v>247</v>
      </c>
      <c r="C20" s="1512"/>
      <c r="D20" s="1512"/>
      <c r="E20" s="1512"/>
      <c r="F20" s="1512"/>
      <c r="G20" s="1512"/>
      <c r="H20" s="1512"/>
      <c r="I20" s="1512"/>
      <c r="J20" s="1512"/>
      <c r="K20" s="1512"/>
      <c r="L20" s="1512"/>
      <c r="M20" s="98"/>
      <c r="N20" s="98"/>
      <c r="O20" s="98"/>
      <c r="P20" s="98"/>
      <c r="Q20" s="98"/>
      <c r="R20" s="98"/>
      <c r="S20" s="98"/>
      <c r="T20" s="98"/>
      <c r="U20" s="98"/>
      <c r="V20" s="98"/>
      <c r="W20" s="98"/>
      <c r="X20" s="98"/>
      <c r="Y20" s="98"/>
      <c r="Z20" s="98"/>
      <c r="AA20" s="98"/>
      <c r="AB20" s="98"/>
      <c r="AC20" s="98"/>
      <c r="AD20" s="98"/>
      <c r="AE20" s="98"/>
      <c r="AF20" s="98"/>
      <c r="AG20" s="98"/>
      <c r="AH20" s="98"/>
      <c r="AI20" s="98"/>
    </row>
    <row r="21" spans="1:37" ht="15.75" customHeight="1" x14ac:dyDescent="0.2">
      <c r="A21" s="133"/>
      <c r="B21" s="1512" t="s">
        <v>59</v>
      </c>
      <c r="C21" s="1512"/>
      <c r="D21" s="1512"/>
      <c r="E21" s="1512"/>
      <c r="F21" s="1512"/>
      <c r="G21" s="1512"/>
      <c r="H21" s="1512"/>
      <c r="I21" s="1512"/>
      <c r="J21" s="1512"/>
      <c r="K21" s="1512"/>
      <c r="L21" s="1512"/>
      <c r="M21" s="98"/>
      <c r="N21" s="98"/>
      <c r="O21" s="98"/>
      <c r="P21" s="98"/>
      <c r="Q21" s="98"/>
      <c r="R21" s="98"/>
      <c r="S21" s="98"/>
      <c r="T21" s="98"/>
      <c r="U21" s="98"/>
      <c r="V21" s="98"/>
      <c r="W21" s="98"/>
      <c r="X21" s="98"/>
      <c r="Y21" s="98"/>
      <c r="Z21" s="98"/>
      <c r="AA21" s="98"/>
      <c r="AB21" s="98"/>
      <c r="AC21" s="98"/>
      <c r="AD21" s="98"/>
      <c r="AE21" s="98"/>
      <c r="AF21" s="98"/>
      <c r="AG21" s="98"/>
      <c r="AH21" s="98"/>
      <c r="AI21" s="98"/>
    </row>
    <row r="22" spans="1:37" ht="18" customHeight="1" x14ac:dyDescent="0.2">
      <c r="A22" s="133">
        <v>-11</v>
      </c>
      <c r="B22" s="1512" t="s">
        <v>248</v>
      </c>
      <c r="C22" s="1512"/>
      <c r="D22" s="1512"/>
      <c r="E22" s="1512"/>
      <c r="F22" s="1512"/>
      <c r="G22" s="1512"/>
      <c r="H22" s="1512"/>
      <c r="I22" s="1512"/>
      <c r="J22" s="1512"/>
      <c r="K22" s="1512"/>
      <c r="L22" s="1512"/>
      <c r="M22" s="98"/>
      <c r="N22" s="98"/>
      <c r="O22" s="98"/>
      <c r="P22" s="98"/>
      <c r="Q22" s="98"/>
      <c r="R22" s="98"/>
      <c r="S22" s="98"/>
      <c r="T22" s="98"/>
      <c r="U22" s="98"/>
      <c r="V22" s="98"/>
      <c r="W22" s="98"/>
      <c r="X22" s="98"/>
      <c r="Y22" s="98"/>
      <c r="Z22" s="98"/>
      <c r="AA22" s="98"/>
      <c r="AB22" s="98"/>
      <c r="AC22" s="98"/>
      <c r="AD22" s="98"/>
      <c r="AE22" s="98"/>
      <c r="AF22" s="98"/>
      <c r="AG22" s="98"/>
      <c r="AH22" s="98"/>
      <c r="AI22" s="98"/>
    </row>
    <row r="23" spans="1:37" ht="18" customHeight="1" x14ac:dyDescent="0.2">
      <c r="A23" s="133">
        <v>-12</v>
      </c>
      <c r="B23" s="1512" t="s">
        <v>60</v>
      </c>
      <c r="C23" s="1512"/>
      <c r="D23" s="1512"/>
      <c r="E23" s="1512"/>
      <c r="F23" s="1512"/>
      <c r="G23" s="1512"/>
      <c r="H23" s="1512"/>
      <c r="I23" s="1512"/>
      <c r="J23" s="1512"/>
      <c r="K23" s="1512"/>
      <c r="L23" s="1512"/>
      <c r="M23" s="98"/>
      <c r="N23" s="98"/>
      <c r="O23" s="98"/>
      <c r="P23" s="98"/>
      <c r="Q23" s="98"/>
      <c r="R23" s="98"/>
      <c r="S23" s="98"/>
      <c r="T23" s="98"/>
      <c r="U23" s="98"/>
      <c r="V23" s="98"/>
      <c r="W23" s="98"/>
      <c r="X23" s="98"/>
      <c r="Y23" s="98"/>
      <c r="Z23" s="98"/>
      <c r="AA23" s="98"/>
      <c r="AB23" s="98"/>
      <c r="AC23" s="98"/>
      <c r="AD23" s="98"/>
      <c r="AE23" s="98"/>
      <c r="AF23" s="98"/>
      <c r="AG23" s="98"/>
      <c r="AH23" s="98"/>
      <c r="AI23" s="98"/>
    </row>
    <row r="24" spans="1:37" ht="18" customHeight="1" x14ac:dyDescent="0.2">
      <c r="A24" s="133">
        <v>-13</v>
      </c>
      <c r="B24" s="1512" t="s">
        <v>249</v>
      </c>
      <c r="C24" s="1512"/>
      <c r="D24" s="1512"/>
      <c r="E24" s="1512"/>
      <c r="F24" s="1512"/>
      <c r="G24" s="1512"/>
      <c r="H24" s="1512"/>
      <c r="I24" s="1512"/>
      <c r="J24" s="1512"/>
      <c r="K24" s="1512"/>
      <c r="L24" s="1512"/>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row>
    <row r="25" spans="1:37" ht="14.25" x14ac:dyDescent="0.2">
      <c r="A25" s="691">
        <v>-14</v>
      </c>
      <c r="B25" s="1512" t="s">
        <v>421</v>
      </c>
      <c r="C25" s="1512"/>
      <c r="D25" s="1512"/>
      <c r="E25" s="1512"/>
      <c r="F25" s="1512"/>
      <c r="G25" s="1512"/>
      <c r="H25" s="1512"/>
      <c r="I25" s="1512"/>
      <c r="J25" s="1512"/>
      <c r="K25" s="1512"/>
      <c r="L25" s="1512"/>
      <c r="M25" s="1513"/>
      <c r="N25" s="1458"/>
      <c r="O25" s="1458"/>
      <c r="P25" s="1458"/>
      <c r="Q25" s="1458"/>
      <c r="R25" s="1458"/>
      <c r="S25" s="1458"/>
      <c r="T25" s="1458"/>
      <c r="U25" s="1458"/>
      <c r="V25" s="1458"/>
      <c r="W25" s="1458"/>
      <c r="X25" s="1513"/>
      <c r="Y25" s="1458"/>
      <c r="Z25" s="1458"/>
      <c r="AA25" s="1458"/>
      <c r="AB25" s="1458"/>
      <c r="AC25" s="1458"/>
      <c r="AD25" s="1458"/>
      <c r="AE25" s="1458"/>
      <c r="AF25" s="1458"/>
      <c r="AG25" s="1458"/>
      <c r="AH25" s="1458"/>
      <c r="AI25" s="112"/>
    </row>
    <row r="26" spans="1:37" ht="18" customHeight="1" x14ac:dyDescent="0.2">
      <c r="A26" s="133">
        <v>-15</v>
      </c>
      <c r="B26" s="1512" t="s">
        <v>61</v>
      </c>
      <c r="C26" s="1512"/>
      <c r="D26" s="1512"/>
      <c r="E26" s="1512"/>
      <c r="F26" s="1512"/>
      <c r="G26" s="1512"/>
      <c r="H26" s="1512"/>
      <c r="I26" s="1512"/>
      <c r="J26" s="1512"/>
      <c r="K26" s="1512"/>
      <c r="L26" s="1512"/>
      <c r="M26" s="1513"/>
      <c r="N26" s="1458"/>
      <c r="O26" s="1458"/>
      <c r="P26" s="1458"/>
      <c r="Q26" s="1458"/>
      <c r="R26" s="1458"/>
      <c r="S26" s="1458"/>
      <c r="T26" s="1458"/>
      <c r="U26" s="1458"/>
      <c r="V26" s="1458"/>
      <c r="W26" s="1458"/>
      <c r="X26" s="1513"/>
      <c r="Y26" s="1458"/>
      <c r="Z26" s="1458"/>
      <c r="AA26" s="1458"/>
      <c r="AB26" s="1458"/>
      <c r="AC26" s="1458"/>
      <c r="AD26" s="1458"/>
      <c r="AE26" s="1458"/>
      <c r="AF26" s="1458"/>
      <c r="AG26" s="1458"/>
      <c r="AH26" s="1458"/>
      <c r="AI26" s="112"/>
    </row>
    <row r="27" spans="1:37" ht="18" customHeight="1" x14ac:dyDescent="0.2">
      <c r="B27" s="759" t="s">
        <v>208</v>
      </c>
      <c r="C27" s="1411"/>
      <c r="D27" s="1411"/>
      <c r="E27" s="1414"/>
      <c r="F27" s="1411"/>
      <c r="G27" s="1411"/>
      <c r="H27" s="1411"/>
      <c r="I27" s="1411"/>
      <c r="J27" s="1411"/>
      <c r="K27" s="1411"/>
      <c r="L27" s="1411"/>
      <c r="M27" s="112"/>
      <c r="N27" s="92"/>
      <c r="O27" s="92"/>
      <c r="P27" s="92"/>
      <c r="Q27" s="92"/>
      <c r="R27" s="92"/>
      <c r="S27" s="92"/>
      <c r="T27" s="92"/>
      <c r="U27" s="92"/>
      <c r="V27" s="92"/>
      <c r="W27" s="92"/>
      <c r="X27" s="112"/>
      <c r="Y27" s="92"/>
      <c r="Z27" s="92"/>
      <c r="AA27" s="92"/>
      <c r="AB27" s="92"/>
      <c r="AC27" s="92"/>
      <c r="AD27" s="92"/>
      <c r="AE27" s="92"/>
      <c r="AF27" s="92"/>
      <c r="AG27" s="92"/>
      <c r="AH27" s="92"/>
      <c r="AI27" s="112"/>
    </row>
    <row r="28" spans="1:37" ht="15" customHeight="1" x14ac:dyDescent="0.2">
      <c r="A28" s="691">
        <v>-16</v>
      </c>
      <c r="B28" s="1515" t="s">
        <v>442</v>
      </c>
      <c r="C28" s="1515"/>
      <c r="D28" s="1515"/>
      <c r="E28" s="1515"/>
      <c r="F28" s="1515"/>
      <c r="G28" s="1515"/>
      <c r="H28" s="1515"/>
      <c r="I28" s="1515"/>
      <c r="J28" s="1515"/>
      <c r="K28" s="1515"/>
      <c r="L28" s="1515"/>
      <c r="M28" s="1513"/>
      <c r="N28" s="1458"/>
      <c r="O28" s="1458"/>
      <c r="P28" s="1458"/>
      <c r="Q28" s="1458"/>
      <c r="R28" s="1458"/>
      <c r="S28" s="1458"/>
      <c r="T28" s="1458"/>
      <c r="U28" s="1458"/>
      <c r="V28" s="1458"/>
      <c r="W28" s="1458"/>
      <c r="X28" s="1513"/>
      <c r="Y28" s="1458"/>
      <c r="Z28" s="1458"/>
      <c r="AA28" s="1458"/>
      <c r="AB28" s="1458"/>
      <c r="AC28" s="1458"/>
      <c r="AD28" s="1458"/>
      <c r="AE28" s="1458"/>
      <c r="AF28" s="1458"/>
      <c r="AG28" s="1458"/>
      <c r="AH28" s="1458"/>
      <c r="AI28" s="112"/>
    </row>
    <row r="29" spans="1:37" ht="18" customHeight="1" x14ac:dyDescent="0.2">
      <c r="A29" s="691">
        <v>-17</v>
      </c>
      <c r="B29" s="1515" t="s">
        <v>291</v>
      </c>
      <c r="C29" s="1515"/>
      <c r="D29" s="1515"/>
      <c r="E29" s="1515"/>
      <c r="F29" s="1515"/>
      <c r="G29" s="1515"/>
      <c r="H29" s="1515"/>
      <c r="I29" s="1515"/>
      <c r="J29" s="1515"/>
      <c r="K29" s="1515"/>
      <c r="L29" s="1515"/>
      <c r="M29" s="1513"/>
      <c r="N29" s="1458"/>
      <c r="O29" s="1458"/>
      <c r="P29" s="1458"/>
      <c r="Q29" s="1458"/>
      <c r="R29" s="1458"/>
      <c r="S29" s="1458"/>
      <c r="T29" s="1458"/>
      <c r="U29" s="1458"/>
      <c r="V29" s="1458"/>
      <c r="W29" s="1458"/>
      <c r="X29" s="1513"/>
      <c r="Y29" s="1458"/>
      <c r="Z29" s="1458"/>
      <c r="AA29" s="1458"/>
      <c r="AB29" s="1458"/>
      <c r="AC29" s="1458"/>
      <c r="AD29" s="1458"/>
      <c r="AE29" s="1458"/>
      <c r="AF29" s="1458"/>
      <c r="AG29" s="1458"/>
      <c r="AH29" s="1458"/>
      <c r="AI29" s="112"/>
    </row>
    <row r="30" spans="1:37" ht="29.25" customHeight="1" x14ac:dyDescent="0.2">
      <c r="A30" s="691">
        <v>-18</v>
      </c>
      <c r="B30" s="1512" t="s">
        <v>394</v>
      </c>
      <c r="C30" s="1512"/>
      <c r="D30" s="1512"/>
      <c r="E30" s="1512"/>
      <c r="F30" s="1512"/>
      <c r="G30" s="1512"/>
      <c r="H30" s="1512"/>
      <c r="I30" s="1512"/>
      <c r="J30" s="1512"/>
      <c r="K30" s="1512"/>
      <c r="L30" s="1512"/>
      <c r="M30" s="1513"/>
      <c r="N30" s="1458"/>
      <c r="O30" s="1458"/>
      <c r="P30" s="1458"/>
      <c r="Q30" s="1458"/>
      <c r="R30" s="1458"/>
      <c r="S30" s="1458"/>
      <c r="T30" s="1458"/>
      <c r="U30" s="1458"/>
      <c r="V30" s="1458"/>
      <c r="W30" s="1458"/>
      <c r="X30" s="1513"/>
      <c r="Y30" s="1458"/>
      <c r="Z30" s="1458"/>
      <c r="AA30" s="1458"/>
      <c r="AB30" s="1458"/>
      <c r="AC30" s="1458"/>
      <c r="AD30" s="1458"/>
      <c r="AE30" s="1458"/>
      <c r="AF30" s="1458"/>
      <c r="AG30" s="1458"/>
      <c r="AH30" s="1458"/>
      <c r="AI30" s="1513"/>
      <c r="AJ30" s="1458"/>
      <c r="AK30" s="1458"/>
    </row>
    <row r="31" spans="1:37" ht="18" customHeight="1" x14ac:dyDescent="0.2">
      <c r="A31" s="133">
        <v>-19</v>
      </c>
      <c r="B31" s="1512" t="s">
        <v>226</v>
      </c>
      <c r="C31" s="1514"/>
      <c r="D31" s="1514"/>
      <c r="E31" s="1514"/>
      <c r="F31" s="1514"/>
      <c r="G31" s="1514"/>
      <c r="H31" s="1514"/>
      <c r="I31" s="1514"/>
      <c r="J31" s="1514"/>
      <c r="K31" s="1514"/>
      <c r="L31" s="1514"/>
      <c r="M31" s="1513"/>
      <c r="N31" s="1458"/>
      <c r="O31" s="1458"/>
      <c r="P31" s="1458"/>
      <c r="Q31" s="1458"/>
      <c r="R31" s="1458"/>
      <c r="S31" s="1458"/>
      <c r="T31" s="1458"/>
      <c r="U31" s="1458"/>
      <c r="V31" s="1458"/>
      <c r="W31" s="1458"/>
      <c r="X31" s="1513"/>
      <c r="Y31" s="1458"/>
      <c r="Z31" s="1458"/>
      <c r="AA31" s="1458"/>
      <c r="AB31" s="1458"/>
      <c r="AC31" s="1458"/>
      <c r="AD31" s="1458"/>
      <c r="AE31" s="1458"/>
      <c r="AF31" s="1458"/>
      <c r="AG31" s="1458"/>
      <c r="AH31" s="1458"/>
      <c r="AI31" s="1513"/>
      <c r="AJ31" s="1458"/>
      <c r="AK31" s="1458"/>
    </row>
    <row r="32" spans="1:37" ht="18" customHeight="1" x14ac:dyDescent="0.2">
      <c r="A32" s="129"/>
      <c r="B32" s="1512" t="s">
        <v>227</v>
      </c>
      <c r="C32" s="1514"/>
      <c r="D32" s="1514"/>
      <c r="E32" s="1514"/>
      <c r="F32" s="1514"/>
      <c r="G32" s="1514"/>
      <c r="H32" s="1514"/>
      <c r="I32" s="1514"/>
      <c r="J32" s="1514"/>
      <c r="K32" s="1514"/>
      <c r="L32" s="1514"/>
      <c r="M32" s="112"/>
      <c r="N32" s="92"/>
      <c r="O32" s="92"/>
      <c r="P32" s="92"/>
      <c r="Q32" s="92"/>
      <c r="R32" s="92"/>
      <c r="S32" s="92"/>
      <c r="T32" s="92"/>
      <c r="U32" s="92"/>
      <c r="V32" s="92"/>
      <c r="W32" s="92"/>
      <c r="X32" s="112"/>
      <c r="Y32" s="92"/>
      <c r="Z32" s="92"/>
      <c r="AA32" s="92"/>
      <c r="AB32" s="92"/>
      <c r="AC32" s="92"/>
      <c r="AD32" s="92"/>
      <c r="AE32" s="92"/>
      <c r="AF32" s="92"/>
      <c r="AG32" s="92"/>
      <c r="AH32" s="92"/>
      <c r="AI32" s="112"/>
      <c r="AJ32" s="92"/>
      <c r="AK32" s="92"/>
    </row>
    <row r="33" spans="1:35" ht="31.5" customHeight="1" x14ac:dyDescent="0.2">
      <c r="A33" s="691">
        <v>-20</v>
      </c>
      <c r="B33" s="1512" t="s">
        <v>459</v>
      </c>
      <c r="C33" s="1512"/>
      <c r="D33" s="1512"/>
      <c r="E33" s="1512"/>
      <c r="F33" s="1512"/>
      <c r="G33" s="1512"/>
      <c r="H33" s="1512"/>
      <c r="I33" s="1512"/>
      <c r="J33" s="1512"/>
      <c r="K33" s="1512"/>
      <c r="L33" s="1512"/>
      <c r="M33" s="1513"/>
      <c r="N33" s="1458"/>
      <c r="O33" s="1458"/>
      <c r="P33" s="1458"/>
      <c r="Q33" s="1458"/>
      <c r="R33" s="1458"/>
      <c r="S33" s="1458"/>
      <c r="T33" s="1458"/>
      <c r="U33" s="1458"/>
      <c r="V33" s="1458"/>
      <c r="W33" s="1458"/>
      <c r="X33" s="1513"/>
      <c r="Y33" s="1458"/>
      <c r="Z33" s="1458"/>
      <c r="AA33" s="1458"/>
      <c r="AB33" s="1458"/>
      <c r="AC33" s="1458"/>
      <c r="AD33" s="1458"/>
      <c r="AE33" s="1458"/>
      <c r="AF33" s="1458"/>
      <c r="AG33" s="1458"/>
      <c r="AH33" s="1458"/>
    </row>
    <row r="34" spans="1:35" ht="32.25" hidden="1" customHeight="1" x14ac:dyDescent="0.2">
      <c r="A34" s="129"/>
      <c r="B34" s="1512" t="s">
        <v>277</v>
      </c>
      <c r="C34" s="1512"/>
      <c r="D34" s="1512"/>
      <c r="E34" s="1512"/>
      <c r="F34" s="1512"/>
      <c r="G34" s="1512"/>
      <c r="H34" s="1512"/>
      <c r="I34" s="1512"/>
      <c r="J34" s="1512"/>
      <c r="K34" s="1512"/>
      <c r="L34" s="1512"/>
      <c r="M34" s="112"/>
      <c r="N34" s="92"/>
      <c r="O34" s="92"/>
      <c r="P34" s="92"/>
      <c r="Q34" s="92"/>
      <c r="R34" s="92"/>
      <c r="S34" s="92"/>
      <c r="T34" s="92"/>
      <c r="U34" s="92"/>
      <c r="V34" s="92"/>
      <c r="W34" s="92"/>
      <c r="X34" s="112"/>
      <c r="Y34" s="92"/>
      <c r="Z34" s="92"/>
      <c r="AA34" s="92"/>
      <c r="AB34" s="92"/>
      <c r="AC34" s="92"/>
      <c r="AD34" s="92"/>
      <c r="AE34" s="92"/>
      <c r="AF34" s="92"/>
      <c r="AG34" s="92"/>
      <c r="AH34" s="92"/>
    </row>
    <row r="35" spans="1:35" ht="14.25" customHeight="1" x14ac:dyDescent="0.2">
      <c r="A35" s="691">
        <v>-21</v>
      </c>
      <c r="B35" s="1512" t="s">
        <v>348</v>
      </c>
      <c r="C35" s="1512"/>
      <c r="D35" s="1512"/>
      <c r="E35" s="1512"/>
      <c r="F35" s="1512"/>
      <c r="G35" s="1512"/>
      <c r="H35" s="1512"/>
      <c r="I35" s="1512"/>
      <c r="J35" s="1512"/>
      <c r="K35" s="1512"/>
      <c r="L35" s="1512"/>
      <c r="M35" s="1513"/>
      <c r="N35" s="1458"/>
      <c r="O35" s="1458"/>
      <c r="P35" s="1458"/>
      <c r="Q35" s="1458"/>
      <c r="R35" s="1458"/>
      <c r="S35" s="1458"/>
      <c r="T35" s="1458"/>
      <c r="U35" s="1458"/>
      <c r="V35" s="1458"/>
      <c r="W35" s="1458"/>
      <c r="X35" s="1513"/>
      <c r="Y35" s="1458"/>
      <c r="Z35" s="1458"/>
      <c r="AA35" s="1458"/>
      <c r="AB35" s="1458"/>
      <c r="AC35" s="1458"/>
      <c r="AD35" s="1458"/>
      <c r="AE35" s="1458"/>
      <c r="AF35" s="1458"/>
      <c r="AG35" s="1458"/>
      <c r="AH35" s="1458"/>
      <c r="AI35" s="112"/>
    </row>
    <row r="36" spans="1:35" ht="15.75" customHeight="1" x14ac:dyDescent="0.2">
      <c r="A36" s="133"/>
      <c r="B36" s="1512" t="s">
        <v>349</v>
      </c>
      <c r="C36" s="1514"/>
      <c r="D36" s="1514"/>
      <c r="E36" s="1514"/>
      <c r="F36" s="1514"/>
      <c r="G36" s="1514"/>
      <c r="H36" s="1514"/>
      <c r="I36" s="1514"/>
      <c r="J36" s="1514"/>
      <c r="K36" s="1514"/>
      <c r="L36" s="1514"/>
      <c r="M36" s="112"/>
      <c r="N36" s="92"/>
      <c r="O36" s="92"/>
      <c r="P36" s="92"/>
      <c r="Q36" s="92"/>
      <c r="R36" s="92"/>
      <c r="S36" s="92"/>
      <c r="T36" s="92"/>
      <c r="U36" s="92"/>
      <c r="V36" s="92"/>
      <c r="W36" s="92"/>
      <c r="X36" s="112"/>
      <c r="Y36" s="92"/>
      <c r="Z36" s="92"/>
      <c r="AA36" s="92"/>
      <c r="AB36" s="92"/>
      <c r="AC36" s="92"/>
      <c r="AD36" s="92"/>
      <c r="AE36" s="92"/>
      <c r="AF36" s="92"/>
      <c r="AG36" s="92"/>
      <c r="AH36" s="92"/>
      <c r="AI36" s="112"/>
    </row>
    <row r="37" spans="1:35" ht="18" customHeight="1" x14ac:dyDescent="0.2">
      <c r="A37" s="133">
        <v>-22</v>
      </c>
      <c r="B37" s="1512" t="s">
        <v>62</v>
      </c>
      <c r="C37" s="1514"/>
      <c r="D37" s="1514"/>
      <c r="E37" s="1514"/>
      <c r="F37" s="1514"/>
      <c r="G37" s="1514"/>
      <c r="H37" s="1514"/>
      <c r="I37" s="1514"/>
      <c r="J37" s="1514"/>
      <c r="K37" s="1514"/>
      <c r="L37" s="1514"/>
      <c r="M37" s="1513"/>
      <c r="N37" s="1458"/>
      <c r="O37" s="1458"/>
      <c r="P37" s="1458"/>
      <c r="Q37" s="1458"/>
      <c r="R37" s="1458"/>
      <c r="S37" s="1458"/>
      <c r="T37" s="1458"/>
      <c r="U37" s="1458"/>
      <c r="V37" s="1458"/>
      <c r="W37" s="1458"/>
      <c r="X37" s="1513"/>
      <c r="Y37" s="1458"/>
      <c r="Z37" s="1458"/>
      <c r="AA37" s="1458"/>
      <c r="AB37" s="1458"/>
      <c r="AC37" s="1458"/>
      <c r="AD37" s="1458"/>
      <c r="AE37" s="1458"/>
      <c r="AF37" s="1458"/>
      <c r="AG37" s="1458"/>
      <c r="AH37" s="1458"/>
    </row>
    <row r="38" spans="1:35" ht="18" customHeight="1" x14ac:dyDescent="0.2">
      <c r="B38" s="1512" t="s">
        <v>228</v>
      </c>
      <c r="C38" s="1514"/>
      <c r="D38" s="1514"/>
      <c r="E38" s="1514"/>
      <c r="F38" s="1514"/>
      <c r="G38" s="1514"/>
      <c r="H38" s="1514"/>
      <c r="I38" s="1514"/>
      <c r="J38" s="1514"/>
      <c r="K38" s="1514"/>
      <c r="L38" s="1514"/>
      <c r="M38" s="112"/>
      <c r="N38" s="92"/>
      <c r="O38" s="92"/>
      <c r="P38" s="92"/>
      <c r="Q38" s="92"/>
      <c r="R38" s="92"/>
      <c r="S38" s="92"/>
      <c r="T38" s="92"/>
      <c r="U38" s="92"/>
      <c r="V38" s="92"/>
      <c r="W38" s="92"/>
      <c r="X38" s="112"/>
      <c r="Y38" s="92"/>
      <c r="Z38" s="92"/>
      <c r="AA38" s="92"/>
      <c r="AB38" s="92"/>
      <c r="AC38" s="92"/>
      <c r="AD38" s="92"/>
      <c r="AE38" s="92"/>
      <c r="AF38" s="92"/>
      <c r="AG38" s="92"/>
      <c r="AH38" s="92"/>
    </row>
    <row r="39" spans="1:35" ht="18" customHeight="1" x14ac:dyDescent="0.2">
      <c r="A39" s="133">
        <v>-23</v>
      </c>
      <c r="B39" s="1512" t="s">
        <v>157</v>
      </c>
      <c r="C39" s="1514"/>
      <c r="D39" s="1514"/>
      <c r="E39" s="1514"/>
      <c r="F39" s="1514"/>
      <c r="G39" s="1514"/>
      <c r="H39" s="1514"/>
      <c r="I39" s="1514"/>
      <c r="J39" s="1514"/>
      <c r="K39" s="1514"/>
      <c r="L39" s="1514"/>
      <c r="M39" s="112"/>
    </row>
    <row r="40" spans="1:35" s="137" customFormat="1" ht="18" customHeight="1" x14ac:dyDescent="0.2">
      <c r="A40" s="133">
        <v>-24</v>
      </c>
      <c r="B40" s="1512" t="s">
        <v>262</v>
      </c>
      <c r="C40" s="1512"/>
      <c r="D40" s="1512"/>
      <c r="E40" s="1512"/>
      <c r="F40" s="1512"/>
      <c r="G40" s="1512"/>
      <c r="H40" s="1512"/>
      <c r="I40" s="1512"/>
      <c r="J40" s="1512"/>
      <c r="K40" s="1512"/>
      <c r="L40" s="1512"/>
      <c r="U40" s="550"/>
    </row>
    <row r="41" spans="1:35" ht="15.75" customHeight="1" x14ac:dyDescent="0.2">
      <c r="A41" s="133">
        <v>-25</v>
      </c>
      <c r="B41" s="756" t="s">
        <v>417</v>
      </c>
      <c r="C41" s="753"/>
      <c r="D41" s="753"/>
      <c r="E41" s="753"/>
      <c r="F41" s="753"/>
      <c r="G41" s="753"/>
      <c r="H41" s="753"/>
      <c r="I41" s="753"/>
      <c r="J41" s="753"/>
      <c r="K41" s="753"/>
      <c r="L41" s="753"/>
    </row>
    <row r="42" spans="1:35" ht="15.75" customHeight="1" x14ac:dyDescent="0.2">
      <c r="A42" s="133"/>
      <c r="B42" s="756" t="s">
        <v>452</v>
      </c>
      <c r="C42" s="753"/>
      <c r="D42" s="753"/>
      <c r="E42" s="753"/>
      <c r="F42" s="753"/>
      <c r="G42" s="753"/>
      <c r="H42" s="753"/>
      <c r="I42" s="753"/>
      <c r="J42" s="753"/>
      <c r="K42" s="753"/>
      <c r="L42" s="753"/>
    </row>
    <row r="43" spans="1:35" ht="15.75" customHeight="1" x14ac:dyDescent="0.2">
      <c r="A43" s="133"/>
      <c r="B43" s="756" t="s">
        <v>458</v>
      </c>
      <c r="C43" s="753"/>
      <c r="D43" s="753"/>
      <c r="E43" s="753"/>
      <c r="F43" s="753"/>
      <c r="G43" s="753"/>
      <c r="H43" s="753"/>
      <c r="I43" s="753"/>
      <c r="J43" s="753"/>
      <c r="K43" s="753"/>
      <c r="L43" s="753"/>
    </row>
    <row r="44" spans="1:35" ht="14.25" customHeight="1" x14ac:dyDescent="0.2">
      <c r="A44" s="133">
        <v>-26</v>
      </c>
      <c r="B44" s="756" t="s">
        <v>420</v>
      </c>
      <c r="C44" s="753"/>
      <c r="D44" s="753"/>
      <c r="E44" s="753"/>
      <c r="F44" s="753"/>
      <c r="G44" s="753"/>
      <c r="H44" s="753"/>
      <c r="I44" s="753"/>
      <c r="J44" s="753"/>
      <c r="K44" s="753"/>
      <c r="L44" s="753"/>
    </row>
    <row r="45" spans="1:35" ht="14.25" customHeight="1" x14ac:dyDescent="0.2">
      <c r="B45" s="756" t="s">
        <v>424</v>
      </c>
      <c r="C45" s="753"/>
      <c r="D45" s="753"/>
      <c r="E45" s="753"/>
      <c r="F45" s="753"/>
      <c r="G45" s="753"/>
      <c r="H45" s="753"/>
      <c r="I45" s="753"/>
      <c r="J45" s="753"/>
      <c r="K45" s="753"/>
      <c r="L45" s="753"/>
    </row>
    <row r="46" spans="1:35" ht="14.25" customHeight="1" x14ac:dyDescent="0.2">
      <c r="B46" s="756" t="s">
        <v>350</v>
      </c>
      <c r="C46" s="753"/>
      <c r="D46" s="753"/>
      <c r="E46" s="753"/>
      <c r="F46" s="753"/>
      <c r="G46" s="753"/>
      <c r="H46" s="753"/>
      <c r="I46" s="753"/>
      <c r="J46" s="753"/>
      <c r="K46" s="753"/>
      <c r="L46" s="753"/>
    </row>
    <row r="47" spans="1:35" ht="18" customHeight="1" x14ac:dyDescent="0.2">
      <c r="A47" s="133">
        <v>-27</v>
      </c>
      <c r="B47" s="756" t="s">
        <v>393</v>
      </c>
      <c r="C47" s="758"/>
      <c r="D47" s="758"/>
      <c r="E47" s="758"/>
      <c r="F47" s="758"/>
      <c r="G47" s="758"/>
      <c r="H47" s="758"/>
      <c r="I47" s="758"/>
      <c r="J47" s="758"/>
      <c r="K47" s="753"/>
      <c r="L47" s="753"/>
    </row>
    <row r="48" spans="1:35" s="137" customFormat="1" ht="18" customHeight="1" x14ac:dyDescent="0.2">
      <c r="A48" s="133">
        <v>-28</v>
      </c>
      <c r="B48" s="757" t="s">
        <v>418</v>
      </c>
      <c r="C48" s="758"/>
      <c r="D48" s="758"/>
      <c r="E48" s="758"/>
      <c r="F48" s="758"/>
      <c r="G48" s="767"/>
      <c r="H48" s="767"/>
      <c r="I48" s="767"/>
      <c r="J48" s="767"/>
      <c r="K48" s="767"/>
      <c r="L48" s="767"/>
      <c r="U48" s="550"/>
    </row>
    <row r="49" spans="1:2" ht="17.25" customHeight="1" x14ac:dyDescent="0.2">
      <c r="A49" s="133">
        <v>-29</v>
      </c>
      <c r="B49" s="757" t="s">
        <v>354</v>
      </c>
    </row>
    <row r="50" spans="1:2" ht="17.25" customHeight="1" x14ac:dyDescent="0.2">
      <c r="A50" s="873">
        <v>-30</v>
      </c>
      <c r="B50" s="757" t="s">
        <v>342</v>
      </c>
    </row>
    <row r="51" spans="1:2" ht="17.25" customHeight="1" x14ac:dyDescent="0.2">
      <c r="A51" s="873">
        <v>-31</v>
      </c>
      <c r="B51" s="757" t="s">
        <v>440</v>
      </c>
    </row>
  </sheetData>
  <mergeCells count="47">
    <mergeCell ref="X35:AH35"/>
    <mergeCell ref="B18:L18"/>
    <mergeCell ref="B16:L16"/>
    <mergeCell ref="B23:L23"/>
    <mergeCell ref="B34:L34"/>
    <mergeCell ref="B28:L28"/>
    <mergeCell ref="B17:L17"/>
    <mergeCell ref="B26:L26"/>
    <mergeCell ref="B36:L36"/>
    <mergeCell ref="B32:L32"/>
    <mergeCell ref="B35:L35"/>
    <mergeCell ref="B29:L29"/>
    <mergeCell ref="B30:L30"/>
    <mergeCell ref="B13:L13"/>
    <mergeCell ref="B14:L14"/>
    <mergeCell ref="M25:W25"/>
    <mergeCell ref="B22:L22"/>
    <mergeCell ref="B15:L15"/>
    <mergeCell ref="B21:L21"/>
    <mergeCell ref="B19:L19"/>
    <mergeCell ref="B24:L24"/>
    <mergeCell ref="B20:L20"/>
    <mergeCell ref="B25:L25"/>
    <mergeCell ref="AI31:AK31"/>
    <mergeCell ref="X29:AH29"/>
    <mergeCell ref="M29:W29"/>
    <mergeCell ref="X31:AH31"/>
    <mergeCell ref="X30:AH30"/>
    <mergeCell ref="M30:W30"/>
    <mergeCell ref="M31:W31"/>
    <mergeCell ref="AI30:AK30"/>
    <mergeCell ref="B40:L40"/>
    <mergeCell ref="X25:AH25"/>
    <mergeCell ref="M26:W26"/>
    <mergeCell ref="X26:AH26"/>
    <mergeCell ref="B39:L39"/>
    <mergeCell ref="B33:L33"/>
    <mergeCell ref="B31:L31"/>
    <mergeCell ref="B37:L37"/>
    <mergeCell ref="B38:L38"/>
    <mergeCell ref="X33:AH33"/>
    <mergeCell ref="M33:W33"/>
    <mergeCell ref="M28:W28"/>
    <mergeCell ref="X28:AH28"/>
    <mergeCell ref="M37:W37"/>
    <mergeCell ref="X37:AH37"/>
    <mergeCell ref="M35:W35"/>
  </mergeCells>
  <phoneticPr fontId="6" type="noConversion"/>
  <printOptions horizontalCentered="1"/>
  <pageMargins left="0.3" right="0.3" top="0.4" bottom="0.6" header="0" footer="0.3"/>
  <pageSetup scale="55" orientation="landscape" r:id="rId1"/>
  <headerFooter alignWithMargins="0">
    <oddFooter>&amp;CPage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opLeftCell="A13" zoomScaleNormal="100" zoomScaleSheetLayoutView="90" workbookViewId="0">
      <selection activeCell="A41" sqref="A41:XFD43"/>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6" ht="15" x14ac:dyDescent="0.2">
      <c r="A1" s="109"/>
      <c r="B1" s="109"/>
      <c r="C1" s="109"/>
      <c r="D1" s="109"/>
      <c r="E1" s="109"/>
      <c r="F1" s="109"/>
    </row>
    <row r="2" spans="1:6" ht="15" x14ac:dyDescent="0.2">
      <c r="A2" s="109"/>
      <c r="B2" s="109"/>
      <c r="C2" s="109"/>
      <c r="D2" s="109"/>
      <c r="E2" s="109"/>
      <c r="F2" s="109"/>
    </row>
    <row r="3" spans="1:6" ht="15" x14ac:dyDescent="0.2">
      <c r="A3" s="109"/>
      <c r="B3" s="109"/>
      <c r="C3" s="109"/>
      <c r="D3" s="109"/>
      <c r="E3" s="109"/>
      <c r="F3" s="109"/>
    </row>
    <row r="4" spans="1:6" ht="21" customHeight="1" x14ac:dyDescent="0.2">
      <c r="A4" s="109"/>
      <c r="B4" s="109"/>
      <c r="C4" s="109"/>
      <c r="D4" s="109"/>
      <c r="E4" s="109"/>
      <c r="F4" s="109"/>
    </row>
    <row r="5" spans="1:6" ht="15" x14ac:dyDescent="0.2">
      <c r="A5" s="114"/>
      <c r="B5" s="110" t="s">
        <v>49</v>
      </c>
      <c r="C5" s="111"/>
      <c r="D5" s="111"/>
      <c r="E5" s="113"/>
      <c r="F5" s="114"/>
    </row>
    <row r="6" spans="1:6" ht="16.5" customHeight="1" x14ac:dyDescent="0.2">
      <c r="A6" s="114"/>
      <c r="B6" s="115"/>
      <c r="C6" s="116"/>
      <c r="D6" s="117" t="s">
        <v>50</v>
      </c>
      <c r="E6" s="118"/>
      <c r="F6" s="114"/>
    </row>
    <row r="7" spans="1:6" ht="16.5" customHeight="1" x14ac:dyDescent="0.2">
      <c r="A7" s="114"/>
      <c r="B7" s="1462" t="s">
        <v>51</v>
      </c>
      <c r="C7" s="1463"/>
      <c r="D7" s="662">
        <v>1</v>
      </c>
      <c r="E7" s="119"/>
      <c r="F7" s="114"/>
    </row>
    <row r="8" spans="1:6" ht="16.5" customHeight="1" x14ac:dyDescent="0.2">
      <c r="A8" s="114"/>
      <c r="B8" s="1464" t="s">
        <v>52</v>
      </c>
      <c r="C8" s="1463"/>
      <c r="D8" s="662">
        <v>2</v>
      </c>
      <c r="E8" s="119"/>
      <c r="F8" s="114"/>
    </row>
    <row r="9" spans="1:6" ht="16.5" customHeight="1" x14ac:dyDescent="0.2">
      <c r="A9" s="114"/>
      <c r="B9" s="1465" t="s">
        <v>193</v>
      </c>
      <c r="C9" s="1461"/>
      <c r="D9" s="662">
        <v>3</v>
      </c>
      <c r="E9" s="119"/>
      <c r="F9" s="114"/>
    </row>
    <row r="10" spans="1:6" ht="16.5" customHeight="1" x14ac:dyDescent="0.2">
      <c r="A10" s="114"/>
      <c r="B10" s="1279" t="s">
        <v>453</v>
      </c>
      <c r="C10" s="722"/>
      <c r="D10" s="662">
        <v>4</v>
      </c>
      <c r="E10" s="119"/>
      <c r="F10" s="114"/>
    </row>
    <row r="11" spans="1:6" ht="16.5" customHeight="1" x14ac:dyDescent="0.2">
      <c r="A11" s="114"/>
      <c r="B11" s="1279" t="s">
        <v>454</v>
      </c>
      <c r="C11" s="722"/>
      <c r="D11" s="662">
        <v>5</v>
      </c>
      <c r="E11" s="119"/>
      <c r="F11" s="114"/>
    </row>
    <row r="12" spans="1:6" s="721" customFormat="1" ht="16.5" customHeight="1" x14ac:dyDescent="0.2">
      <c r="A12" s="114"/>
      <c r="B12" s="1279" t="s">
        <v>455</v>
      </c>
      <c r="C12" s="722"/>
      <c r="D12" s="662">
        <v>6</v>
      </c>
      <c r="E12" s="119"/>
      <c r="F12" s="114"/>
    </row>
    <row r="13" spans="1:6" ht="16.5" customHeight="1" x14ac:dyDescent="0.2">
      <c r="A13" s="114"/>
      <c r="B13" s="1460" t="s">
        <v>391</v>
      </c>
      <c r="C13" s="1461"/>
      <c r="D13" s="662">
        <v>7</v>
      </c>
      <c r="E13" s="120"/>
      <c r="F13" s="114"/>
    </row>
    <row r="14" spans="1:6" ht="16.5" customHeight="1" x14ac:dyDescent="0.2">
      <c r="A14" s="114"/>
      <c r="B14" s="1460" t="s">
        <v>347</v>
      </c>
      <c r="C14" s="1461"/>
      <c r="D14" s="662">
        <v>8</v>
      </c>
      <c r="E14" s="119"/>
      <c r="F14" s="114"/>
    </row>
    <row r="15" spans="1:6" ht="16.5" customHeight="1" x14ac:dyDescent="0.2">
      <c r="A15" s="114"/>
      <c r="B15" s="1279" t="s">
        <v>445</v>
      </c>
      <c r="C15" s="1278"/>
      <c r="D15" s="662">
        <v>9</v>
      </c>
      <c r="E15" s="119"/>
      <c r="F15" s="114"/>
    </row>
    <row r="16" spans="1:6" s="613" customFormat="1" ht="16.5" customHeight="1" x14ac:dyDescent="0.2">
      <c r="A16" s="114"/>
      <c r="B16" s="934" t="s">
        <v>53</v>
      </c>
      <c r="C16" s="1278"/>
      <c r="D16" s="662">
        <v>10</v>
      </c>
      <c r="E16" s="119"/>
      <c r="F16" s="114"/>
    </row>
    <row r="17" spans="1:6" ht="16.5" customHeight="1" x14ac:dyDescent="0.2">
      <c r="A17" s="114"/>
      <c r="B17" s="1460" t="s">
        <v>327</v>
      </c>
      <c r="C17" s="1461"/>
      <c r="D17" s="662">
        <v>11</v>
      </c>
      <c r="E17" s="119"/>
      <c r="F17" s="114"/>
    </row>
    <row r="18" spans="1:6" ht="16.5" customHeight="1" x14ac:dyDescent="0.2">
      <c r="A18" s="114"/>
      <c r="B18" s="1465" t="s">
        <v>54</v>
      </c>
      <c r="C18" s="1461"/>
      <c r="D18" s="662">
        <v>12</v>
      </c>
      <c r="E18" s="119"/>
      <c r="F18" s="114"/>
    </row>
    <row r="19" spans="1:6" ht="16.5" customHeight="1" x14ac:dyDescent="0.2">
      <c r="A19" s="114"/>
      <c r="B19" s="1475" t="s">
        <v>55</v>
      </c>
      <c r="C19" s="1476"/>
      <c r="D19" s="663">
        <v>13</v>
      </c>
      <c r="E19" s="122"/>
      <c r="F19" s="114"/>
    </row>
    <row r="20" spans="1:6" x14ac:dyDescent="0.2">
      <c r="A20" s="114"/>
      <c r="B20" s="114"/>
      <c r="C20" s="114"/>
      <c r="D20" s="114"/>
      <c r="E20" s="114"/>
      <c r="F20" s="114"/>
    </row>
    <row r="21" spans="1:6" x14ac:dyDescent="0.2">
      <c r="A21" s="114"/>
      <c r="B21" s="114"/>
      <c r="C21" s="114"/>
      <c r="D21" s="114"/>
      <c r="E21" s="114"/>
      <c r="F21" s="114"/>
    </row>
    <row r="22" spans="1:6" ht="14.25" x14ac:dyDescent="0.2">
      <c r="A22" s="606" t="s">
        <v>56</v>
      </c>
      <c r="B22" s="606"/>
      <c r="C22" s="606"/>
      <c r="D22" s="605"/>
      <c r="E22" s="605"/>
      <c r="F22" s="605"/>
    </row>
    <row r="23" spans="1:6" ht="30" customHeight="1" x14ac:dyDescent="0.2">
      <c r="A23" s="1466" t="s">
        <v>456</v>
      </c>
      <c r="B23" s="1467"/>
      <c r="C23" s="1468"/>
      <c r="D23" s="1468"/>
      <c r="E23" s="1468"/>
      <c r="F23" s="1468"/>
    </row>
    <row r="24" spans="1:6" ht="12.75" customHeight="1" x14ac:dyDescent="0.2">
      <c r="A24" s="602"/>
      <c r="B24" s="603"/>
      <c r="C24" s="604"/>
      <c r="D24" s="604"/>
      <c r="E24" s="604"/>
      <c r="F24" s="604"/>
    </row>
    <row r="25" spans="1:6" ht="14.25" x14ac:dyDescent="0.2">
      <c r="A25" s="609" t="s">
        <v>240</v>
      </c>
      <c r="B25" s="608"/>
      <c r="C25" s="608"/>
      <c r="D25" s="608"/>
      <c r="E25" s="608"/>
      <c r="F25" s="608"/>
    </row>
    <row r="26" spans="1:6" ht="50.25" customHeight="1" x14ac:dyDescent="0.2">
      <c r="A26" s="1466" t="s">
        <v>260</v>
      </c>
      <c r="B26" s="1467"/>
      <c r="C26" s="1468"/>
      <c r="D26" s="1468"/>
      <c r="E26" s="1468"/>
      <c r="F26" s="1468"/>
    </row>
    <row r="27" spans="1:6" x14ac:dyDescent="0.2">
      <c r="A27" s="607"/>
      <c r="B27" s="607"/>
      <c r="C27" s="607"/>
      <c r="D27" s="607"/>
      <c r="E27" s="1419"/>
      <c r="F27" s="607"/>
    </row>
    <row r="28" spans="1:6" ht="14.25" x14ac:dyDescent="0.2">
      <c r="A28" s="606" t="s">
        <v>450</v>
      </c>
      <c r="B28" s="606"/>
      <c r="C28" s="606"/>
      <c r="D28" s="605"/>
      <c r="E28" s="605"/>
      <c r="F28" s="605"/>
    </row>
    <row r="29" spans="1:6" s="103" customFormat="1" ht="67.5" customHeight="1" x14ac:dyDescent="0.2">
      <c r="A29" s="1469" t="s">
        <v>451</v>
      </c>
      <c r="B29" s="1470"/>
      <c r="C29" s="1471"/>
      <c r="D29" s="1471"/>
      <c r="E29" s="1471"/>
      <c r="F29" s="1471"/>
    </row>
    <row r="30" spans="1:6" x14ac:dyDescent="0.2">
      <c r="A30" s="125"/>
      <c r="B30" s="125"/>
      <c r="C30" s="92"/>
      <c r="D30" s="106"/>
      <c r="E30" s="92"/>
      <c r="F30" s="92"/>
    </row>
    <row r="31" spans="1:6" ht="14.25" x14ac:dyDescent="0.2">
      <c r="A31" s="123" t="s">
        <v>57</v>
      </c>
      <c r="B31" s="123"/>
      <c r="C31" s="123"/>
      <c r="D31" s="124"/>
      <c r="E31" s="124"/>
      <c r="F31" s="124"/>
    </row>
    <row r="32" spans="1:6" x14ac:dyDescent="0.2">
      <c r="A32" s="1472" t="s">
        <v>261</v>
      </c>
      <c r="B32" s="1473"/>
      <c r="C32" s="1474"/>
      <c r="D32" s="1474"/>
      <c r="E32" s="1474"/>
      <c r="F32" s="1474"/>
    </row>
    <row r="45" spans="2:2" ht="14.25" x14ac:dyDescent="0.2">
      <c r="B45" s="124"/>
    </row>
    <row r="46" spans="2:2" x14ac:dyDescent="0.2">
      <c r="B46" s="613"/>
    </row>
    <row r="47" spans="2:2" x14ac:dyDescent="0.2">
      <c r="B47" s="613"/>
    </row>
  </sheetData>
  <mergeCells count="12">
    <mergeCell ref="A23:F23"/>
    <mergeCell ref="A29:F29"/>
    <mergeCell ref="A32:F32"/>
    <mergeCell ref="B17:C17"/>
    <mergeCell ref="B18:C18"/>
    <mergeCell ref="B19:C19"/>
    <mergeCell ref="A26:F26"/>
    <mergeCell ref="B14:C14"/>
    <mergeCell ref="B7:C7"/>
    <mergeCell ref="B8:C8"/>
    <mergeCell ref="B9:C9"/>
    <mergeCell ref="B13:C13"/>
  </mergeCells>
  <phoneticPr fontId="6" type="noConversion"/>
  <printOptions horizontalCentered="1"/>
  <pageMargins left="0.3" right="0.3" top="0.4" bottom="0.6" header="0" footer="0.3"/>
  <pageSetup scale="91"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8"/>
  <sheetViews>
    <sheetView topLeftCell="A82" workbookViewId="0">
      <selection activeCell="D92" activeCellId="1" sqref="D101 D92"/>
    </sheetView>
  </sheetViews>
  <sheetFormatPr defaultRowHeight="12.75" x14ac:dyDescent="0.2"/>
  <cols>
    <col min="1" max="1" width="25" customWidth="1"/>
    <col min="2" max="5" width="11.7109375" customWidth="1"/>
    <col min="6" max="6" width="16" customWidth="1"/>
    <col min="9" max="9" width="10.85546875" customWidth="1"/>
  </cols>
  <sheetData>
    <row r="1" spans="1:12" ht="18" x14ac:dyDescent="0.25">
      <c r="A1" s="138" t="s">
        <v>144</v>
      </c>
    </row>
    <row r="2" spans="1:12" ht="13.5" thickBot="1" x14ac:dyDescent="0.25"/>
    <row r="3" spans="1:12" hidden="1" x14ac:dyDescent="0.2">
      <c r="A3" s="284" t="s">
        <v>129</v>
      </c>
      <c r="B3" s="274"/>
      <c r="C3" s="274"/>
      <c r="D3" s="274"/>
      <c r="E3" s="275"/>
    </row>
    <row r="4" spans="1:12" hidden="1" x14ac:dyDescent="0.2">
      <c r="A4" s="285" t="s">
        <v>131</v>
      </c>
      <c r="B4" s="3"/>
      <c r="C4" s="3"/>
      <c r="D4" s="3"/>
      <c r="E4" s="278"/>
    </row>
    <row r="5" spans="1:12" hidden="1" x14ac:dyDescent="0.2">
      <c r="A5" s="277"/>
      <c r="B5" s="207" t="s">
        <v>132</v>
      </c>
      <c r="C5" s="207" t="s">
        <v>133</v>
      </c>
      <c r="D5" s="207" t="s">
        <v>134</v>
      </c>
      <c r="E5" s="286" t="s">
        <v>135</v>
      </c>
    </row>
    <row r="6" spans="1:12" hidden="1" x14ac:dyDescent="0.2">
      <c r="A6" s="268" t="s">
        <v>136</v>
      </c>
      <c r="B6" s="280">
        <v>69110.62</v>
      </c>
      <c r="C6" s="280">
        <f>65567.91-1621.56</f>
        <v>63946.350000000006</v>
      </c>
      <c r="D6" s="280">
        <v>61729.19</v>
      </c>
      <c r="E6" s="278">
        <v>61646.74</v>
      </c>
    </row>
    <row r="7" spans="1:12" hidden="1" x14ac:dyDescent="0.2">
      <c r="A7" s="268" t="s">
        <v>137</v>
      </c>
      <c r="B7" s="280">
        <v>3985.92</v>
      </c>
      <c r="C7" s="280">
        <v>3985.92</v>
      </c>
      <c r="D7" s="280">
        <v>3985.92</v>
      </c>
      <c r="E7" s="287">
        <v>3985.92</v>
      </c>
    </row>
    <row r="8" spans="1:12" hidden="1" x14ac:dyDescent="0.2">
      <c r="A8" s="268" t="s">
        <v>138</v>
      </c>
      <c r="B8" s="280">
        <v>37664.800000000003</v>
      </c>
      <c r="C8" s="280">
        <f>42567.8</f>
        <v>42567.8</v>
      </c>
      <c r="D8" s="280">
        <v>42115.28</v>
      </c>
      <c r="E8" s="278">
        <v>40378.97</v>
      </c>
    </row>
    <row r="9" spans="1:12" hidden="1" x14ac:dyDescent="0.2">
      <c r="A9" s="268" t="s">
        <v>139</v>
      </c>
      <c r="B9" s="280">
        <v>43219.18</v>
      </c>
      <c r="C9" s="280">
        <f>41895.58</f>
        <v>41895.58</v>
      </c>
      <c r="D9" s="280">
        <v>51471.24</v>
      </c>
      <c r="E9" s="278">
        <v>61308.55</v>
      </c>
    </row>
    <row r="10" spans="1:12" hidden="1" x14ac:dyDescent="0.2">
      <c r="A10" s="268" t="s">
        <v>140</v>
      </c>
      <c r="B10" s="280">
        <v>29054.58</v>
      </c>
      <c r="C10" s="280">
        <f>37699.48+1621.56</f>
        <v>39321.040000000001</v>
      </c>
      <c r="D10" s="280">
        <v>37180.9</v>
      </c>
      <c r="E10" s="278">
        <v>44248.31</v>
      </c>
    </row>
    <row r="11" spans="1:12" hidden="1" x14ac:dyDescent="0.2">
      <c r="A11" s="268" t="s">
        <v>63</v>
      </c>
      <c r="B11" s="281">
        <f>SUM(B6:B10)</f>
        <v>183035.09999999998</v>
      </c>
      <c r="C11" s="281">
        <f>SUM(C6:C10)</f>
        <v>191716.69000000003</v>
      </c>
      <c r="D11" s="281">
        <f>SUM(D6:D10)</f>
        <v>196482.53</v>
      </c>
      <c r="E11" s="288">
        <f>SUM(E6:E10)</f>
        <v>211568.49</v>
      </c>
    </row>
    <row r="12" spans="1:12" hidden="1" x14ac:dyDescent="0.2">
      <c r="A12" s="277"/>
      <c r="B12" s="3"/>
      <c r="C12" s="3"/>
      <c r="D12" s="3"/>
      <c r="E12" s="278"/>
    </row>
    <row r="13" spans="1:12" hidden="1" x14ac:dyDescent="0.2">
      <c r="A13" s="277" t="s">
        <v>141</v>
      </c>
      <c r="B13" s="282">
        <v>2.1225999999999998</v>
      </c>
      <c r="C13" s="289">
        <v>2.0223</v>
      </c>
      <c r="D13" s="289">
        <v>1.9971000000000001</v>
      </c>
      <c r="E13" s="290">
        <v>1.9943</v>
      </c>
    </row>
    <row r="14" spans="1:12" ht="13.5" hidden="1" thickBot="1" x14ac:dyDescent="0.25">
      <c r="A14" s="276" t="s">
        <v>142</v>
      </c>
      <c r="B14" s="283">
        <f>B11*B13</f>
        <v>388510.3032599999</v>
      </c>
      <c r="C14" s="283">
        <f>C11*C13</f>
        <v>387708.66218700004</v>
      </c>
      <c r="D14" s="283">
        <f>D11*D13</f>
        <v>392395.26066299999</v>
      </c>
      <c r="E14" s="291">
        <f>E11*E13</f>
        <v>421931.03960699996</v>
      </c>
      <c r="G14" s="374"/>
      <c r="H14" s="374"/>
      <c r="I14" s="374"/>
      <c r="J14" s="374"/>
      <c r="K14" s="374"/>
      <c r="L14" s="374"/>
    </row>
    <row r="15" spans="1:12" ht="13.5" hidden="1" thickTop="1" x14ac:dyDescent="0.2">
      <c r="A15" s="277"/>
      <c r="B15" s="3"/>
      <c r="C15" s="3"/>
      <c r="D15" s="3"/>
      <c r="E15" s="278"/>
    </row>
    <row r="16" spans="1:12" hidden="1" x14ac:dyDescent="0.2">
      <c r="A16" s="277" t="s">
        <v>149</v>
      </c>
      <c r="B16" s="292">
        <f>B14</f>
        <v>388510.3032599999</v>
      </c>
      <c r="C16" s="292">
        <f>C14</f>
        <v>387708.66218700004</v>
      </c>
      <c r="D16" s="292">
        <f>D14</f>
        <v>392395.26066299999</v>
      </c>
      <c r="E16" s="293">
        <f>E14</f>
        <v>421931.03960699996</v>
      </c>
    </row>
    <row r="17" spans="1:11" hidden="1" x14ac:dyDescent="0.2">
      <c r="A17" s="277"/>
      <c r="B17" s="207"/>
      <c r="C17" s="207"/>
      <c r="D17" s="207"/>
      <c r="E17" s="286"/>
    </row>
    <row r="18" spans="1:11" ht="13.5" hidden="1" thickBot="1" x14ac:dyDescent="0.25">
      <c r="A18" s="279" t="s">
        <v>143</v>
      </c>
      <c r="B18" s="294">
        <f>B16+C16+D16+E16</f>
        <v>1590545.2657169998</v>
      </c>
      <c r="C18" s="295"/>
      <c r="D18" s="295"/>
      <c r="E18" s="296"/>
    </row>
    <row r="19" spans="1:11" x14ac:dyDescent="0.2">
      <c r="A19" s="439" t="s">
        <v>130</v>
      </c>
      <c r="B19" s="440"/>
      <c r="C19" s="440"/>
      <c r="D19" s="440"/>
      <c r="E19" s="441"/>
      <c r="F19" s="93"/>
      <c r="G19" s="93"/>
      <c r="H19" s="93"/>
      <c r="I19" s="93"/>
      <c r="J19" s="93"/>
      <c r="K19" s="93"/>
    </row>
    <row r="20" spans="1:11" x14ac:dyDescent="0.2">
      <c r="A20" s="442" t="s">
        <v>131</v>
      </c>
      <c r="B20" s="443"/>
      <c r="C20" s="443"/>
      <c r="D20" s="443"/>
      <c r="E20" s="444"/>
      <c r="F20" s="93"/>
      <c r="G20" s="445" t="s">
        <v>150</v>
      </c>
      <c r="H20" s="93" t="s">
        <v>151</v>
      </c>
      <c r="I20" s="93" t="s">
        <v>152</v>
      </c>
      <c r="J20" s="93" t="s">
        <v>153</v>
      </c>
      <c r="K20" s="93" t="s">
        <v>154</v>
      </c>
    </row>
    <row r="21" spans="1:11" x14ac:dyDescent="0.2">
      <c r="A21" s="446"/>
      <c r="B21" s="445" t="s">
        <v>179</v>
      </c>
      <c r="C21" s="445" t="s">
        <v>180</v>
      </c>
      <c r="D21" s="445" t="s">
        <v>181</v>
      </c>
      <c r="E21" s="447" t="s">
        <v>182</v>
      </c>
      <c r="F21" s="93"/>
      <c r="G21" s="445" t="s">
        <v>155</v>
      </c>
      <c r="H21" s="448">
        <v>2.0024000000000002</v>
      </c>
      <c r="I21" s="448">
        <v>1.9671000000000001</v>
      </c>
      <c r="J21" s="448">
        <v>2.0274000000000001</v>
      </c>
      <c r="K21" s="449">
        <f>(H21+I21+J21)/3</f>
        <v>1.9989666666666668</v>
      </c>
    </row>
    <row r="22" spans="1:11" x14ac:dyDescent="0.2">
      <c r="A22" s="450" t="s">
        <v>136</v>
      </c>
      <c r="B22" s="451">
        <v>42241.81</v>
      </c>
      <c r="C22" s="451">
        <v>44761.61</v>
      </c>
      <c r="D22" s="451">
        <v>57738.55</v>
      </c>
      <c r="E22" s="452">
        <v>58401.53</v>
      </c>
      <c r="F22" s="93"/>
      <c r="G22" s="93"/>
      <c r="H22" s="93"/>
      <c r="I22" s="93"/>
      <c r="J22" s="93"/>
      <c r="K22" s="93"/>
    </row>
    <row r="23" spans="1:11" x14ac:dyDescent="0.2">
      <c r="A23" s="450" t="s">
        <v>137</v>
      </c>
      <c r="B23" s="451">
        <v>3972.06</v>
      </c>
      <c r="C23" s="451">
        <v>3979.83</v>
      </c>
      <c r="D23" s="451">
        <v>3998.21</v>
      </c>
      <c r="E23" s="452">
        <v>4064.13</v>
      </c>
      <c r="F23" s="93"/>
      <c r="G23" s="445" t="s">
        <v>158</v>
      </c>
      <c r="H23" s="93" t="s">
        <v>161</v>
      </c>
      <c r="I23" s="93" t="s">
        <v>162</v>
      </c>
      <c r="J23" s="93" t="s">
        <v>163</v>
      </c>
      <c r="K23" s="93" t="s">
        <v>154</v>
      </c>
    </row>
    <row r="24" spans="1:11" x14ac:dyDescent="0.2">
      <c r="A24" s="450" t="s">
        <v>138</v>
      </c>
      <c r="B24" s="451">
        <v>34282.94</v>
      </c>
      <c r="C24" s="451">
        <v>43139.94</v>
      </c>
      <c r="D24" s="451">
        <v>52588.45</v>
      </c>
      <c r="E24" s="452">
        <v>37986.35</v>
      </c>
      <c r="F24" s="93"/>
      <c r="G24" s="445" t="s">
        <v>155</v>
      </c>
      <c r="H24" s="448">
        <v>2.0301</v>
      </c>
      <c r="I24" s="448">
        <v>1.9355</v>
      </c>
      <c r="J24" s="448">
        <v>1.8902000000000001</v>
      </c>
      <c r="K24" s="449">
        <f>(H24+I24+J24)/3</f>
        <v>1.9519333333333335</v>
      </c>
    </row>
    <row r="25" spans="1:11" x14ac:dyDescent="0.2">
      <c r="A25" s="450" t="s">
        <v>139</v>
      </c>
      <c r="B25" s="451">
        <v>64639.45</v>
      </c>
      <c r="C25" s="451">
        <v>70116.929999999993</v>
      </c>
      <c r="D25" s="451">
        <v>72200.73</v>
      </c>
      <c r="E25" s="452">
        <v>63457.98</v>
      </c>
      <c r="F25" s="93"/>
      <c r="G25" s="93"/>
      <c r="H25" s="93"/>
      <c r="I25" s="93"/>
      <c r="J25" s="93"/>
      <c r="K25" s="93"/>
    </row>
    <row r="26" spans="1:11" x14ac:dyDescent="0.2">
      <c r="A26" s="450" t="s">
        <v>140</v>
      </c>
      <c r="B26" s="451">
        <v>46327.59</v>
      </c>
      <c r="C26" s="451">
        <v>45747.519999999997</v>
      </c>
      <c r="D26" s="451">
        <v>38874.15</v>
      </c>
      <c r="E26" s="452">
        <v>31006.880000000001</v>
      </c>
      <c r="F26" s="93"/>
      <c r="G26" s="445" t="s">
        <v>160</v>
      </c>
      <c r="H26" s="93" t="s">
        <v>164</v>
      </c>
      <c r="I26" s="93" t="s">
        <v>165</v>
      </c>
      <c r="J26" s="93" t="s">
        <v>166</v>
      </c>
      <c r="K26" s="93" t="s">
        <v>154</v>
      </c>
    </row>
    <row r="27" spans="1:11" x14ac:dyDescent="0.2">
      <c r="A27" s="450" t="s">
        <v>63</v>
      </c>
      <c r="B27" s="453">
        <f>SUM(B22:B26)</f>
        <v>191463.85</v>
      </c>
      <c r="C27" s="453">
        <f>SUM(C22:C26)</f>
        <v>207745.83</v>
      </c>
      <c r="D27" s="453">
        <f>SUM(D22:D26)</f>
        <v>225400.09</v>
      </c>
      <c r="E27" s="454">
        <f>SUM(E22:E26)</f>
        <v>194916.87</v>
      </c>
      <c r="F27" s="93"/>
      <c r="G27" s="445" t="s">
        <v>155</v>
      </c>
      <c r="H27" s="448">
        <v>1.9411</v>
      </c>
      <c r="I27" s="448">
        <v>1.8942000000000001</v>
      </c>
      <c r="J27" s="448">
        <v>1.7811999999999999</v>
      </c>
      <c r="K27" s="449">
        <f>(H27+I27+J27)/3</f>
        <v>1.8721666666666668</v>
      </c>
    </row>
    <row r="28" spans="1:11" x14ac:dyDescent="0.2">
      <c r="A28" s="446"/>
      <c r="B28" s="443"/>
      <c r="C28" s="443"/>
      <c r="D28" s="443"/>
      <c r="E28" s="444"/>
      <c r="F28" s="93"/>
      <c r="G28" s="93"/>
      <c r="H28" s="93"/>
      <c r="I28" s="93"/>
      <c r="J28" s="93"/>
      <c r="K28" s="93"/>
    </row>
    <row r="29" spans="1:11" x14ac:dyDescent="0.2">
      <c r="A29" s="446" t="s">
        <v>141</v>
      </c>
      <c r="B29" s="455">
        <v>1.9990000000000001</v>
      </c>
      <c r="C29" s="455">
        <v>1.9519</v>
      </c>
      <c r="D29" s="455">
        <v>1.8722000000000001</v>
      </c>
      <c r="E29" s="456">
        <f>K30</f>
        <v>1.7925666666666666</v>
      </c>
      <c r="F29" s="93"/>
      <c r="G29" s="445" t="s">
        <v>170</v>
      </c>
      <c r="H29" s="93" t="s">
        <v>171</v>
      </c>
      <c r="I29" s="93" t="s">
        <v>172</v>
      </c>
      <c r="J29" s="93" t="s">
        <v>173</v>
      </c>
      <c r="K29" s="93" t="s">
        <v>154</v>
      </c>
    </row>
    <row r="30" spans="1:11" ht="13.5" thickBot="1" x14ac:dyDescent="0.25">
      <c r="A30" s="457" t="s">
        <v>142</v>
      </c>
      <c r="B30" s="458">
        <f>B27*B29</f>
        <v>382736.23615000001</v>
      </c>
      <c r="C30" s="458">
        <f>C27*C29</f>
        <v>405499.08557699999</v>
      </c>
      <c r="D30" s="458">
        <f>D27*D29</f>
        <v>421994.04849800002</v>
      </c>
      <c r="E30" s="459">
        <f>E27*E29</f>
        <v>349401.48393300001</v>
      </c>
      <c r="F30" s="93"/>
      <c r="G30" s="445" t="s">
        <v>155</v>
      </c>
      <c r="H30" s="93">
        <v>1.7767999999999999</v>
      </c>
      <c r="I30" s="93">
        <v>1.7927999999999999</v>
      </c>
      <c r="J30" s="93">
        <v>1.8081</v>
      </c>
      <c r="K30" s="93">
        <f>(H30+I30+J30)/3</f>
        <v>1.7925666666666666</v>
      </c>
    </row>
    <row r="31" spans="1:11" ht="13.5" thickTop="1" x14ac:dyDescent="0.2">
      <c r="A31" s="446"/>
      <c r="B31" s="443"/>
      <c r="C31" s="443"/>
      <c r="D31" s="443"/>
      <c r="E31" s="444"/>
      <c r="F31" s="93"/>
      <c r="G31" s="93"/>
      <c r="H31" s="93"/>
      <c r="I31" s="93"/>
      <c r="J31" s="93"/>
      <c r="K31" s="93"/>
    </row>
    <row r="32" spans="1:11" x14ac:dyDescent="0.2">
      <c r="A32" s="446" t="s">
        <v>149</v>
      </c>
      <c r="B32" s="460">
        <f>B30</f>
        <v>382736.23615000001</v>
      </c>
      <c r="C32" s="460">
        <f>C30</f>
        <v>405499.08557699999</v>
      </c>
      <c r="D32" s="460">
        <f>D30</f>
        <v>421994.04849800002</v>
      </c>
      <c r="E32" s="461">
        <f>E30</f>
        <v>349401.48393300001</v>
      </c>
      <c r="F32" s="93"/>
      <c r="G32" s="93"/>
      <c r="H32" s="93"/>
      <c r="I32" s="93"/>
      <c r="J32" s="93"/>
      <c r="K32" s="93"/>
    </row>
    <row r="33" spans="1:11" x14ac:dyDescent="0.2">
      <c r="A33" s="446"/>
      <c r="B33" s="445"/>
      <c r="C33" s="445"/>
      <c r="D33" s="445"/>
      <c r="E33" s="447"/>
      <c r="F33" s="93"/>
      <c r="G33" s="93"/>
      <c r="H33" s="93"/>
      <c r="I33" s="93"/>
      <c r="J33" s="93"/>
      <c r="K33" s="93"/>
    </row>
    <row r="34" spans="1:11" ht="13.5" thickBot="1" x14ac:dyDescent="0.25">
      <c r="A34" s="462" t="s">
        <v>143</v>
      </c>
      <c r="B34" s="463">
        <f>B32+C32+D32+E32</f>
        <v>1559630.8541580001</v>
      </c>
      <c r="C34" s="464"/>
      <c r="D34" s="464"/>
      <c r="E34" s="465"/>
      <c r="F34" s="93"/>
      <c r="G34" s="93"/>
      <c r="H34" s="93"/>
      <c r="I34" s="93"/>
      <c r="J34" s="93"/>
      <c r="K34" s="93"/>
    </row>
    <row r="35" spans="1:11" ht="13.5" thickBot="1" x14ac:dyDescent="0.25"/>
    <row r="36" spans="1:11" x14ac:dyDescent="0.2">
      <c r="A36" s="284" t="s">
        <v>177</v>
      </c>
      <c r="B36" s="274"/>
      <c r="C36" s="274"/>
      <c r="D36" s="274"/>
      <c r="E36" s="275"/>
    </row>
    <row r="37" spans="1:11" x14ac:dyDescent="0.2">
      <c r="A37" s="285" t="s">
        <v>131</v>
      </c>
      <c r="B37" s="3"/>
      <c r="C37" s="3"/>
      <c r="D37" s="3"/>
      <c r="E37" s="278"/>
      <c r="G37" s="373" t="s">
        <v>150</v>
      </c>
      <c r="H37" t="s">
        <v>151</v>
      </c>
      <c r="I37" t="s">
        <v>152</v>
      </c>
      <c r="J37" t="s">
        <v>153</v>
      </c>
      <c r="K37" t="s">
        <v>154</v>
      </c>
    </row>
    <row r="38" spans="1:11" x14ac:dyDescent="0.2">
      <c r="A38" s="277"/>
      <c r="B38" s="207" t="s">
        <v>178</v>
      </c>
      <c r="C38" s="207" t="s">
        <v>183</v>
      </c>
      <c r="D38" s="207" t="s">
        <v>184</v>
      </c>
      <c r="E38" s="286" t="s">
        <v>185</v>
      </c>
      <c r="G38" s="373" t="s">
        <v>155</v>
      </c>
      <c r="H38" s="374">
        <v>1.7619</v>
      </c>
      <c r="I38" s="374">
        <v>1.7617</v>
      </c>
      <c r="J38" s="374">
        <v>1.9123000000000001</v>
      </c>
      <c r="K38" s="375">
        <f>(H38+I38+J38)/3</f>
        <v>1.8119666666666667</v>
      </c>
    </row>
    <row r="39" spans="1:11" x14ac:dyDescent="0.2">
      <c r="A39" s="268" t="s">
        <v>136</v>
      </c>
      <c r="B39" s="280">
        <v>44163</v>
      </c>
      <c r="C39" s="280">
        <v>44697</v>
      </c>
      <c r="D39" s="280">
        <v>53518</v>
      </c>
      <c r="E39" s="434">
        <v>46465</v>
      </c>
    </row>
    <row r="40" spans="1:11" x14ac:dyDescent="0.2">
      <c r="A40" s="268" t="s">
        <v>137</v>
      </c>
      <c r="B40" s="280"/>
      <c r="C40" s="280"/>
      <c r="D40" s="280"/>
      <c r="E40" s="434"/>
      <c r="G40" s="373" t="s">
        <v>158</v>
      </c>
      <c r="H40" t="s">
        <v>161</v>
      </c>
      <c r="I40" t="s">
        <v>162</v>
      </c>
      <c r="J40" t="s">
        <v>163</v>
      </c>
      <c r="K40" t="s">
        <v>154</v>
      </c>
    </row>
    <row r="41" spans="1:11" x14ac:dyDescent="0.2">
      <c r="A41" s="268" t="s">
        <v>138</v>
      </c>
      <c r="B41" s="280">
        <v>38938</v>
      </c>
      <c r="C41" s="280">
        <v>55084</v>
      </c>
      <c r="D41" s="280">
        <v>61573</v>
      </c>
      <c r="E41" s="434">
        <v>50482</v>
      </c>
      <c r="G41" s="373" t="s">
        <v>155</v>
      </c>
      <c r="H41" s="374">
        <v>1.7991999999999999</v>
      </c>
      <c r="I41" s="374">
        <v>1.7821</v>
      </c>
      <c r="J41" s="374">
        <v>1.712</v>
      </c>
      <c r="K41" s="375">
        <f>(H41+I41+J41)/3</f>
        <v>1.7644333333333331</v>
      </c>
    </row>
    <row r="42" spans="1:11" x14ac:dyDescent="0.2">
      <c r="A42" s="268" t="s">
        <v>139</v>
      </c>
      <c r="B42" s="280">
        <v>64745</v>
      </c>
      <c r="C42" s="280">
        <v>55683</v>
      </c>
      <c r="D42" s="280">
        <v>82268</v>
      </c>
      <c r="E42" s="434">
        <v>67775</v>
      </c>
    </row>
    <row r="43" spans="1:11" x14ac:dyDescent="0.2">
      <c r="A43" s="268" t="s">
        <v>140</v>
      </c>
      <c r="B43" s="280">
        <v>51796</v>
      </c>
      <c r="C43" s="280">
        <v>54711</v>
      </c>
      <c r="D43" s="280">
        <v>65364</v>
      </c>
      <c r="E43" s="434">
        <v>70778</v>
      </c>
      <c r="G43" s="373" t="s">
        <v>160</v>
      </c>
      <c r="H43" t="s">
        <v>164</v>
      </c>
      <c r="I43" t="s">
        <v>165</v>
      </c>
      <c r="J43" t="s">
        <v>166</v>
      </c>
      <c r="K43" t="s">
        <v>154</v>
      </c>
    </row>
    <row r="44" spans="1:11" x14ac:dyDescent="0.2">
      <c r="A44" s="268" t="s">
        <v>63</v>
      </c>
      <c r="B44" s="281">
        <f>SUM(B39:B43)</f>
        <v>199642</v>
      </c>
      <c r="C44" s="281">
        <f>SUM(C39:C43)</f>
        <v>210175</v>
      </c>
      <c r="D44" s="281">
        <f>SUM(D39:D43)</f>
        <v>262723</v>
      </c>
      <c r="E44" s="288">
        <f>SUM(E39:E43)</f>
        <v>235500</v>
      </c>
      <c r="G44" s="373" t="s">
        <v>155</v>
      </c>
      <c r="H44" s="374">
        <v>1.7723</v>
      </c>
      <c r="I44" s="374">
        <v>1.7355</v>
      </c>
      <c r="J44" s="374">
        <v>1.6958</v>
      </c>
      <c r="K44" s="375">
        <f>(H44+I44+J44)/3</f>
        <v>1.7345333333333333</v>
      </c>
    </row>
    <row r="45" spans="1:11" x14ac:dyDescent="0.2">
      <c r="A45" s="277"/>
      <c r="B45" s="3"/>
      <c r="C45" s="3"/>
      <c r="D45" s="3"/>
      <c r="E45" s="278"/>
    </row>
    <row r="46" spans="1:11" x14ac:dyDescent="0.2">
      <c r="A46" s="277" t="s">
        <v>141</v>
      </c>
      <c r="B46" s="282">
        <v>1.8120000000000001</v>
      </c>
      <c r="C46" s="289">
        <v>1.7644</v>
      </c>
      <c r="D46" s="289">
        <v>1.7344999999999999</v>
      </c>
      <c r="E46" s="290">
        <v>1.6157999999999999</v>
      </c>
      <c r="G46" s="373" t="s">
        <v>170</v>
      </c>
      <c r="H46" t="s">
        <v>171</v>
      </c>
      <c r="I46" t="s">
        <v>172</v>
      </c>
      <c r="J46" t="s">
        <v>173</v>
      </c>
      <c r="K46" t="s">
        <v>154</v>
      </c>
    </row>
    <row r="47" spans="1:11" ht="13.5" thickBot="1" x14ac:dyDescent="0.25">
      <c r="A47" s="276" t="s">
        <v>142</v>
      </c>
      <c r="B47" s="283">
        <f>B44*B46</f>
        <v>361751.304</v>
      </c>
      <c r="C47" s="283">
        <f>C44*C46</f>
        <v>370832.77</v>
      </c>
      <c r="D47" s="283">
        <f>D44*D46</f>
        <v>455693.04349999997</v>
      </c>
      <c r="E47" s="291">
        <f>E44*E46</f>
        <v>380520.89999999997</v>
      </c>
      <c r="G47" s="373" t="s">
        <v>155</v>
      </c>
      <c r="H47">
        <v>1.708</v>
      </c>
      <c r="I47">
        <v>1.599</v>
      </c>
      <c r="J47">
        <v>1.5403</v>
      </c>
      <c r="K47" s="375">
        <f>(H47+I47+J47)/3</f>
        <v>1.6157666666666666</v>
      </c>
    </row>
    <row r="48" spans="1:11" ht="13.5" thickTop="1" x14ac:dyDescent="0.2">
      <c r="A48" s="277"/>
      <c r="B48" s="3"/>
      <c r="C48" s="3"/>
      <c r="D48" s="3"/>
      <c r="E48" s="278"/>
    </row>
    <row r="49" spans="1:11" x14ac:dyDescent="0.2">
      <c r="A49" s="277" t="s">
        <v>149</v>
      </c>
      <c r="B49" s="292">
        <f>B47</f>
        <v>361751.304</v>
      </c>
      <c r="C49" s="292">
        <f>C47</f>
        <v>370832.77</v>
      </c>
      <c r="D49" s="292">
        <f>D47</f>
        <v>455693.04349999997</v>
      </c>
      <c r="E49" s="293">
        <f>E47</f>
        <v>380520.89999999997</v>
      </c>
    </row>
    <row r="50" spans="1:11" x14ac:dyDescent="0.2">
      <c r="A50" s="277"/>
      <c r="B50" s="207"/>
      <c r="C50" s="207"/>
      <c r="D50" s="207"/>
      <c r="E50" s="286"/>
    </row>
    <row r="51" spans="1:11" ht="13.5" thickBot="1" x14ac:dyDescent="0.25">
      <c r="A51" s="279" t="s">
        <v>143</v>
      </c>
      <c r="B51" s="294">
        <f>B49+C49+D49+E49</f>
        <v>1568798.0174999998</v>
      </c>
      <c r="C51" s="295"/>
      <c r="D51" s="295"/>
      <c r="E51" s="296"/>
    </row>
    <row r="52" spans="1:11" ht="13.5" thickBot="1" x14ac:dyDescent="0.25"/>
    <row r="53" spans="1:11" x14ac:dyDescent="0.2">
      <c r="A53" s="284" t="s">
        <v>202</v>
      </c>
      <c r="B53" s="274"/>
      <c r="C53" s="274"/>
      <c r="D53" s="274"/>
      <c r="E53" s="275"/>
    </row>
    <row r="54" spans="1:11" x14ac:dyDescent="0.2">
      <c r="A54" s="285" t="s">
        <v>131</v>
      </c>
      <c r="B54" s="3"/>
      <c r="C54" s="3"/>
      <c r="D54" s="3"/>
      <c r="E54" s="278"/>
      <c r="G54" s="373" t="s">
        <v>150</v>
      </c>
      <c r="H54" t="s">
        <v>151</v>
      </c>
      <c r="I54" t="s">
        <v>152</v>
      </c>
      <c r="J54" t="s">
        <v>153</v>
      </c>
      <c r="K54" t="s">
        <v>154</v>
      </c>
    </row>
    <row r="55" spans="1:11" x14ac:dyDescent="0.2">
      <c r="A55" s="277"/>
      <c r="B55" s="207" t="s">
        <v>209</v>
      </c>
      <c r="C55" s="207" t="s">
        <v>210</v>
      </c>
      <c r="D55" s="207" t="s">
        <v>211</v>
      </c>
      <c r="E55" s="286" t="s">
        <v>212</v>
      </c>
      <c r="G55" s="373" t="s">
        <v>155</v>
      </c>
      <c r="H55" s="522">
        <v>1.5529999999999999</v>
      </c>
      <c r="I55" s="374">
        <v>1.5179</v>
      </c>
      <c r="J55" s="710">
        <v>1.5907</v>
      </c>
      <c r="K55" s="375">
        <f>(H55+I55+J55)/3</f>
        <v>1.5538666666666667</v>
      </c>
    </row>
    <row r="56" spans="1:11" x14ac:dyDescent="0.2">
      <c r="A56" s="268" t="s">
        <v>136</v>
      </c>
      <c r="B56" s="280">
        <v>43383</v>
      </c>
      <c r="C56" s="280">
        <v>52950</v>
      </c>
      <c r="D56" s="280">
        <v>58734</v>
      </c>
      <c r="E56" s="434">
        <v>57510</v>
      </c>
    </row>
    <row r="57" spans="1:11" x14ac:dyDescent="0.2">
      <c r="A57" s="268" t="s">
        <v>137</v>
      </c>
      <c r="B57" s="280"/>
      <c r="C57" s="280">
        <f>3676+1414</f>
        <v>5090</v>
      </c>
      <c r="D57" s="280">
        <v>3132</v>
      </c>
      <c r="E57" s="434"/>
      <c r="G57" s="373" t="s">
        <v>158</v>
      </c>
      <c r="H57" t="s">
        <v>161</v>
      </c>
      <c r="I57" t="s">
        <v>162</v>
      </c>
      <c r="J57" t="s">
        <v>163</v>
      </c>
      <c r="K57" t="s">
        <v>154</v>
      </c>
    </row>
    <row r="58" spans="1:11" x14ac:dyDescent="0.2">
      <c r="A58" s="268" t="s">
        <v>138</v>
      </c>
      <c r="B58" s="280">
        <v>50039</v>
      </c>
      <c r="C58" s="280">
        <v>47480</v>
      </c>
      <c r="D58" s="280">
        <v>52259</v>
      </c>
      <c r="E58" s="434">
        <v>49927</v>
      </c>
      <c r="G58" s="373" t="s">
        <v>155</v>
      </c>
      <c r="H58" s="710">
        <v>1.6122000000000001</v>
      </c>
      <c r="I58" s="548">
        <v>1.6348</v>
      </c>
      <c r="J58" s="548">
        <v>1.6132</v>
      </c>
      <c r="K58" s="375">
        <f>(H58+I58+J58)/3</f>
        <v>1.6200666666666665</v>
      </c>
    </row>
    <row r="59" spans="1:11" x14ac:dyDescent="0.2">
      <c r="A59" s="268" t="s">
        <v>139</v>
      </c>
      <c r="B59" s="280">
        <v>74214</v>
      </c>
      <c r="C59" s="280">
        <v>73351</v>
      </c>
      <c r="D59" s="280">
        <v>63950</v>
      </c>
      <c r="E59" s="434">
        <v>62135</v>
      </c>
    </row>
    <row r="60" spans="1:11" x14ac:dyDescent="0.2">
      <c r="A60" s="590" t="s">
        <v>229</v>
      </c>
      <c r="B60" s="280">
        <v>82090</v>
      </c>
      <c r="C60" s="280">
        <v>86813</v>
      </c>
      <c r="D60" s="280">
        <v>87052</v>
      </c>
      <c r="E60" s="434">
        <v>95173</v>
      </c>
      <c r="G60" s="373" t="s">
        <v>160</v>
      </c>
      <c r="K60" t="s">
        <v>154</v>
      </c>
    </row>
    <row r="61" spans="1:11" x14ac:dyDescent="0.2">
      <c r="A61" s="268" t="s">
        <v>63</v>
      </c>
      <c r="B61" s="281">
        <f>SUM(B56:B60)</f>
        <v>249726</v>
      </c>
      <c r="C61" s="281">
        <f>SUM(C56:C60)</f>
        <v>265684</v>
      </c>
      <c r="D61" s="281">
        <f>SUM(D56:D60)</f>
        <v>265127</v>
      </c>
      <c r="E61" s="288">
        <f>SUM(E56:E60)</f>
        <v>264745</v>
      </c>
      <c r="G61" s="373" t="s">
        <v>155</v>
      </c>
      <c r="H61" s="374">
        <v>1.6271</v>
      </c>
      <c r="I61" s="374">
        <v>1.5978000000000001</v>
      </c>
      <c r="J61" s="374">
        <v>1.5561</v>
      </c>
      <c r="K61" s="375">
        <f>(H61+I61+J61)/3</f>
        <v>1.5936666666666666</v>
      </c>
    </row>
    <row r="62" spans="1:11" x14ac:dyDescent="0.2">
      <c r="A62" s="277"/>
      <c r="B62" s="3"/>
      <c r="C62" s="3"/>
      <c r="D62" s="3"/>
      <c r="E62" s="278"/>
    </row>
    <row r="63" spans="1:11" x14ac:dyDescent="0.2">
      <c r="A63" s="277" t="s">
        <v>141</v>
      </c>
      <c r="B63" s="282">
        <f>K55</f>
        <v>1.5538666666666667</v>
      </c>
      <c r="C63" s="289">
        <f>K58</f>
        <v>1.6200666666666665</v>
      </c>
      <c r="D63" s="289">
        <f>K61</f>
        <v>1.5936666666666666</v>
      </c>
      <c r="E63" s="290">
        <f>K64</f>
        <v>1.5808</v>
      </c>
      <c r="G63" s="373" t="s">
        <v>170</v>
      </c>
      <c r="K63" t="s">
        <v>154</v>
      </c>
    </row>
    <row r="64" spans="1:11" ht="13.5" thickBot="1" x14ac:dyDescent="0.25">
      <c r="A64" s="276" t="s">
        <v>142</v>
      </c>
      <c r="B64" s="283">
        <f>B61*B63</f>
        <v>388040.90720000002</v>
      </c>
      <c r="C64" s="283">
        <f>C61*C63</f>
        <v>430425.79226666666</v>
      </c>
      <c r="D64" s="283">
        <f>D61*D63</f>
        <v>422524.06233333331</v>
      </c>
      <c r="E64" s="291">
        <f>E61*E63</f>
        <v>418508.89600000001</v>
      </c>
      <c r="G64" s="373" t="s">
        <v>155</v>
      </c>
      <c r="H64" s="374">
        <v>1.6040000000000001</v>
      </c>
      <c r="I64" s="710">
        <v>1.5801000000000001</v>
      </c>
      <c r="J64" s="374">
        <v>1.5583</v>
      </c>
      <c r="K64" s="375">
        <f>(H64+I64+J64)/3</f>
        <v>1.5808</v>
      </c>
    </row>
    <row r="65" spans="1:11" ht="13.5" thickTop="1" x14ac:dyDescent="0.2">
      <c r="A65" s="277"/>
      <c r="B65" s="3"/>
      <c r="C65" s="3"/>
      <c r="D65" s="3"/>
      <c r="E65" s="278"/>
    </row>
    <row r="66" spans="1:11" x14ac:dyDescent="0.2">
      <c r="A66" s="277" t="s">
        <v>149</v>
      </c>
      <c r="B66" s="292">
        <f>B64</f>
        <v>388040.90720000002</v>
      </c>
      <c r="C66" s="292">
        <f>C64</f>
        <v>430425.79226666666</v>
      </c>
      <c r="D66" s="292">
        <f>D64</f>
        <v>422524.06233333331</v>
      </c>
      <c r="E66" s="293">
        <f>E64</f>
        <v>418508.89600000001</v>
      </c>
    </row>
    <row r="67" spans="1:11" x14ac:dyDescent="0.2">
      <c r="A67" s="277"/>
      <c r="B67" s="207"/>
      <c r="C67" s="207"/>
      <c r="D67" s="207"/>
      <c r="E67" s="286"/>
    </row>
    <row r="68" spans="1:11" ht="13.5" thickBot="1" x14ac:dyDescent="0.25">
      <c r="A68" s="279" t="s">
        <v>143</v>
      </c>
      <c r="B68" s="294">
        <f>B66+C66+D66+E66</f>
        <v>1659499.6577999999</v>
      </c>
      <c r="C68" s="295"/>
      <c r="D68" s="295"/>
      <c r="E68" s="296"/>
    </row>
    <row r="69" spans="1:11" ht="13.5" thickBot="1" x14ac:dyDescent="0.25"/>
    <row r="70" spans="1:11" x14ac:dyDescent="0.2">
      <c r="A70" s="284" t="s">
        <v>234</v>
      </c>
      <c r="B70" s="274"/>
      <c r="C70" s="274"/>
      <c r="D70" s="274"/>
      <c r="E70" s="275"/>
    </row>
    <row r="71" spans="1:11" x14ac:dyDescent="0.2">
      <c r="A71" s="285" t="s">
        <v>131</v>
      </c>
      <c r="B71" s="3"/>
      <c r="C71" s="3"/>
      <c r="D71" s="3"/>
      <c r="E71" s="278"/>
      <c r="G71" s="373" t="s">
        <v>150</v>
      </c>
      <c r="H71" t="s">
        <v>151</v>
      </c>
      <c r="I71" t="s">
        <v>152</v>
      </c>
      <c r="J71" t="s">
        <v>153</v>
      </c>
      <c r="K71" t="s">
        <v>154</v>
      </c>
    </row>
    <row r="72" spans="1:11" x14ac:dyDescent="0.2">
      <c r="A72" s="277"/>
      <c r="B72" s="207" t="s">
        <v>236</v>
      </c>
      <c r="C72" s="207" t="s">
        <v>237</v>
      </c>
      <c r="D72" s="207" t="s">
        <v>238</v>
      </c>
      <c r="E72" s="286" t="s">
        <v>239</v>
      </c>
      <c r="F72" s="373" t="s">
        <v>272</v>
      </c>
      <c r="G72" s="373" t="s">
        <v>155</v>
      </c>
      <c r="H72" s="522">
        <v>1.5823</v>
      </c>
      <c r="I72" s="374">
        <v>1.5940000000000001</v>
      </c>
      <c r="J72" s="710">
        <v>1.5474000000000001</v>
      </c>
      <c r="K72" s="375">
        <f>(H72+I72+J72)/3</f>
        <v>1.5745666666666669</v>
      </c>
    </row>
    <row r="73" spans="1:11" x14ac:dyDescent="0.2">
      <c r="A73" s="590" t="s">
        <v>251</v>
      </c>
      <c r="B73" s="280">
        <v>73040</v>
      </c>
      <c r="C73" s="280">
        <v>76527</v>
      </c>
      <c r="D73" s="280">
        <v>70303</v>
      </c>
      <c r="E73" s="434">
        <f>F73-SUM(B73:D73)</f>
        <v>64093</v>
      </c>
      <c r="F73" s="709">
        <v>283963</v>
      </c>
    </row>
    <row r="74" spans="1:11" x14ac:dyDescent="0.2">
      <c r="A74" s="590" t="s">
        <v>250</v>
      </c>
      <c r="B74" s="280">
        <v>2472</v>
      </c>
      <c r="C74" s="280">
        <v>2724</v>
      </c>
      <c r="D74" s="280">
        <v>2776</v>
      </c>
      <c r="E74" s="434">
        <f>F74-SUM(B74:D74)</f>
        <v>2756</v>
      </c>
      <c r="F74" s="709">
        <v>10728</v>
      </c>
      <c r="G74" s="373" t="s">
        <v>158</v>
      </c>
      <c r="H74" t="s">
        <v>161</v>
      </c>
      <c r="I74" t="s">
        <v>162</v>
      </c>
      <c r="J74" t="s">
        <v>163</v>
      </c>
      <c r="K74" t="s">
        <v>154</v>
      </c>
    </row>
    <row r="75" spans="1:11" x14ac:dyDescent="0.2">
      <c r="A75" s="268" t="s">
        <v>138</v>
      </c>
      <c r="B75" s="280">
        <v>63896</v>
      </c>
      <c r="C75" s="280">
        <v>65464</v>
      </c>
      <c r="D75" s="280">
        <v>57467</v>
      </c>
      <c r="E75" s="434">
        <f>F75-SUM(B75:D75)</f>
        <v>58420</v>
      </c>
      <c r="F75" s="709">
        <v>245247</v>
      </c>
      <c r="G75" s="373" t="s">
        <v>155</v>
      </c>
      <c r="H75" s="710">
        <v>1.5686</v>
      </c>
      <c r="I75" s="374">
        <v>1.5925</v>
      </c>
      <c r="J75" s="374">
        <v>1.6286</v>
      </c>
      <c r="K75" s="375">
        <f>(H75+I75+J75)/3</f>
        <v>1.5965666666666667</v>
      </c>
    </row>
    <row r="76" spans="1:11" x14ac:dyDescent="0.2">
      <c r="A76" s="268" t="s">
        <v>139</v>
      </c>
      <c r="B76" s="280">
        <v>92392</v>
      </c>
      <c r="C76" s="280">
        <v>91766</v>
      </c>
      <c r="D76" s="280">
        <v>88020</v>
      </c>
      <c r="E76" s="434">
        <f>F76-SUM(B76:D76)</f>
        <v>83559</v>
      </c>
      <c r="F76" s="709">
        <v>355737</v>
      </c>
    </row>
    <row r="77" spans="1:11" x14ac:dyDescent="0.2">
      <c r="A77" s="590" t="s">
        <v>229</v>
      </c>
      <c r="B77" s="280">
        <v>103249</v>
      </c>
      <c r="C77" s="280">
        <v>103058</v>
      </c>
      <c r="D77" s="280">
        <v>94119</v>
      </c>
      <c r="E77" s="434">
        <f>F77-SUM(B77:D77)</f>
        <v>85407</v>
      </c>
      <c r="F77" s="709">
        <v>385833</v>
      </c>
      <c r="G77" s="373" t="s">
        <v>160</v>
      </c>
      <c r="H77" s="613" t="s">
        <v>164</v>
      </c>
      <c r="I77" s="613" t="s">
        <v>165</v>
      </c>
      <c r="J77" s="2" t="s">
        <v>166</v>
      </c>
      <c r="K77" t="s">
        <v>154</v>
      </c>
    </row>
    <row r="78" spans="1:11" x14ac:dyDescent="0.2">
      <c r="A78" s="268" t="s">
        <v>63</v>
      </c>
      <c r="B78" s="281">
        <f>SUM(B73:B77)</f>
        <v>335049</v>
      </c>
      <c r="C78" s="281">
        <f>SUM(C73:C77)</f>
        <v>339539</v>
      </c>
      <c r="D78" s="281">
        <f>SUM(D73:D77)</f>
        <v>312685</v>
      </c>
      <c r="E78" s="288">
        <f>SUM(E73:E77)</f>
        <v>294235</v>
      </c>
      <c r="G78" s="373" t="s">
        <v>155</v>
      </c>
      <c r="H78" s="374">
        <v>1.6014999999999999</v>
      </c>
      <c r="I78" s="374">
        <v>1.6013999999999999</v>
      </c>
      <c r="J78" s="374">
        <v>1.5822000000000001</v>
      </c>
      <c r="K78" s="375">
        <f>(H78+I78+J78)/3</f>
        <v>1.5950333333333333</v>
      </c>
    </row>
    <row r="79" spans="1:11" x14ac:dyDescent="0.2">
      <c r="A79" s="268"/>
      <c r="B79" s="714"/>
      <c r="C79" s="714"/>
      <c r="D79" s="714"/>
      <c r="E79" s="715"/>
    </row>
    <row r="80" spans="1:11" x14ac:dyDescent="0.2">
      <c r="A80" s="590" t="s">
        <v>275</v>
      </c>
      <c r="B80" s="714">
        <v>0</v>
      </c>
      <c r="C80" s="714">
        <v>0</v>
      </c>
      <c r="D80" s="714">
        <v>0</v>
      </c>
      <c r="E80" s="715">
        <v>448523</v>
      </c>
      <c r="G80" s="373" t="s">
        <v>170</v>
      </c>
      <c r="H80" s="713" t="s">
        <v>175</v>
      </c>
      <c r="I80" s="713" t="s">
        <v>176</v>
      </c>
      <c r="J80" s="713" t="s">
        <v>174</v>
      </c>
      <c r="K80" t="s">
        <v>154</v>
      </c>
    </row>
    <row r="81" spans="1:11" x14ac:dyDescent="0.2">
      <c r="A81" s="277"/>
      <c r="B81" s="3"/>
      <c r="C81" s="3"/>
      <c r="D81" s="3"/>
      <c r="E81" s="278"/>
      <c r="G81" s="373" t="s">
        <v>155</v>
      </c>
      <c r="H81" s="712">
        <v>1.5789</v>
      </c>
      <c r="I81" s="711">
        <v>1.5758000000000001</v>
      </c>
      <c r="J81" s="712">
        <v>1.5960000000000001</v>
      </c>
      <c r="K81" s="375">
        <f>(H81+I81+J81)/3</f>
        <v>1.5835666666666668</v>
      </c>
    </row>
    <row r="82" spans="1:11" x14ac:dyDescent="0.2">
      <c r="A82" s="277" t="s">
        <v>141</v>
      </c>
      <c r="B82" s="282">
        <f>K72</f>
        <v>1.5745666666666669</v>
      </c>
      <c r="C82" s="289">
        <f>K75</f>
        <v>1.5965666666666667</v>
      </c>
      <c r="D82" s="289">
        <f>K78</f>
        <v>1.5950333333333333</v>
      </c>
      <c r="E82" s="290">
        <f>K81</f>
        <v>1.5835666666666668</v>
      </c>
    </row>
    <row r="83" spans="1:11" ht="13.5" thickBot="1" x14ac:dyDescent="0.25">
      <c r="A83" s="276" t="s">
        <v>142</v>
      </c>
      <c r="B83" s="283">
        <f>(B78+B80)*B82</f>
        <v>527556.98710000003</v>
      </c>
      <c r="C83" s="283">
        <f>(C78+C80)*C82</f>
        <v>542096.64943333331</v>
      </c>
      <c r="D83" s="283">
        <f>(D78+D80)*D82</f>
        <v>498742.99783333333</v>
      </c>
      <c r="E83" s="291">
        <f>(E78)*E82+E80*J81</f>
        <v>1181783.4461666667</v>
      </c>
      <c r="F83" s="716"/>
    </row>
    <row r="84" spans="1:11" ht="13.5" thickTop="1" x14ac:dyDescent="0.2">
      <c r="A84" s="277"/>
      <c r="B84" s="3"/>
      <c r="C84" s="3"/>
      <c r="D84" s="3"/>
      <c r="E84" s="278"/>
    </row>
    <row r="85" spans="1:11" x14ac:dyDescent="0.2">
      <c r="A85" s="277" t="s">
        <v>149</v>
      </c>
      <c r="B85" s="292">
        <f>B83</f>
        <v>527556.98710000003</v>
      </c>
      <c r="C85" s="292">
        <f>C83</f>
        <v>542096.64943333331</v>
      </c>
      <c r="D85" s="292">
        <f>D83</f>
        <v>498742.99783333333</v>
      </c>
      <c r="E85" s="293">
        <f>E83</f>
        <v>1181783.4461666667</v>
      </c>
    </row>
    <row r="86" spans="1:11" x14ac:dyDescent="0.2">
      <c r="A86" s="277"/>
      <c r="B86" s="207"/>
      <c r="C86" s="207"/>
      <c r="D86" s="207"/>
      <c r="E86" s="286"/>
    </row>
    <row r="87" spans="1:11" ht="13.5" thickBot="1" x14ac:dyDescent="0.25">
      <c r="A87" s="279" t="s">
        <v>143</v>
      </c>
      <c r="B87" s="294">
        <f>B85+C85+D85+E85</f>
        <v>2750180.0805333336</v>
      </c>
      <c r="C87" s="295"/>
      <c r="D87" s="295"/>
      <c r="E87" s="296"/>
    </row>
    <row r="88" spans="1:11" ht="13.5" thickBot="1" x14ac:dyDescent="0.25"/>
    <row r="89" spans="1:11" s="721" customFormat="1" x14ac:dyDescent="0.2">
      <c r="A89" s="284" t="s">
        <v>306</v>
      </c>
      <c r="B89" s="274"/>
      <c r="C89" s="274"/>
      <c r="D89" s="274"/>
      <c r="E89" s="275"/>
    </row>
    <row r="90" spans="1:11" s="721" customFormat="1" x14ac:dyDescent="0.2">
      <c r="A90" s="285" t="s">
        <v>131</v>
      </c>
      <c r="B90" s="722"/>
      <c r="C90" s="722"/>
      <c r="D90" s="722"/>
      <c r="E90" s="278"/>
      <c r="H90" s="373" t="s">
        <v>150</v>
      </c>
      <c r="I90" s="373" t="s">
        <v>158</v>
      </c>
      <c r="J90" s="373" t="s">
        <v>160</v>
      </c>
      <c r="K90" s="373" t="s">
        <v>170</v>
      </c>
    </row>
    <row r="91" spans="1:11" s="721" customFormat="1" x14ac:dyDescent="0.2">
      <c r="A91" s="277"/>
      <c r="B91" s="207" t="s">
        <v>308</v>
      </c>
      <c r="C91" s="207" t="s">
        <v>309</v>
      </c>
      <c r="D91" s="207" t="s">
        <v>310</v>
      </c>
      <c r="E91" s="286" t="s">
        <v>311</v>
      </c>
      <c r="F91" s="373"/>
      <c r="G91" s="373" t="s">
        <v>155</v>
      </c>
      <c r="H91" s="375">
        <v>1.5998000000000001</v>
      </c>
      <c r="I91" s="375">
        <v>1.5858000000000001</v>
      </c>
      <c r="J91" s="375">
        <v>1.6043000000000001</v>
      </c>
      <c r="K91" s="375">
        <v>1.5618000000000001</v>
      </c>
    </row>
    <row r="92" spans="1:11" s="721" customFormat="1" x14ac:dyDescent="0.2">
      <c r="A92" s="590" t="s">
        <v>312</v>
      </c>
      <c r="B92" s="280">
        <v>836755</v>
      </c>
      <c r="C92" s="280">
        <v>849338</v>
      </c>
      <c r="D92" s="280">
        <v>652370</v>
      </c>
      <c r="E92" s="434">
        <f>744141</f>
        <v>744141</v>
      </c>
      <c r="F92" s="709" t="s">
        <v>358</v>
      </c>
    </row>
    <row r="93" spans="1:11" s="721" customFormat="1" x14ac:dyDescent="0.2">
      <c r="A93" s="277"/>
      <c r="B93" s="722"/>
      <c r="C93" s="722"/>
      <c r="D93" s="722"/>
      <c r="E93" s="278"/>
    </row>
    <row r="94" spans="1:11" s="721" customFormat="1" x14ac:dyDescent="0.2">
      <c r="A94" s="277" t="s">
        <v>141</v>
      </c>
      <c r="B94" s="282">
        <f>H91</f>
        <v>1.5998000000000001</v>
      </c>
      <c r="C94" s="289">
        <f>I91</f>
        <v>1.5858000000000001</v>
      </c>
      <c r="D94" s="289">
        <f>J91</f>
        <v>1.6043000000000001</v>
      </c>
      <c r="E94" s="290">
        <f>K91</f>
        <v>1.5618000000000001</v>
      </c>
    </row>
    <row r="95" spans="1:11" s="721" customFormat="1" ht="13.5" thickBot="1" x14ac:dyDescent="0.25">
      <c r="A95" s="276" t="s">
        <v>142</v>
      </c>
      <c r="B95" s="283">
        <f>(B92)*B94</f>
        <v>1338640.6490000002</v>
      </c>
      <c r="C95" s="283">
        <f>(C92)*C94</f>
        <v>1346880.2004</v>
      </c>
      <c r="D95" s="283">
        <f>(D92)*D94</f>
        <v>1046597.191</v>
      </c>
      <c r="E95" s="291">
        <f>(E92)*E94</f>
        <v>1162199.4138</v>
      </c>
      <c r="F95" s="716"/>
    </row>
    <row r="96" spans="1:11" s="721" customFormat="1" ht="13.5" thickTop="1" x14ac:dyDescent="0.2">
      <c r="A96" s="277"/>
      <c r="B96" s="722"/>
      <c r="C96" s="722"/>
      <c r="D96" s="722"/>
      <c r="E96" s="278"/>
    </row>
    <row r="97" spans="1:11" s="721" customFormat="1" x14ac:dyDescent="0.2">
      <c r="A97" s="277" t="s">
        <v>149</v>
      </c>
      <c r="B97" s="292">
        <f>B95</f>
        <v>1338640.6490000002</v>
      </c>
      <c r="C97" s="292">
        <f>C95</f>
        <v>1346880.2004</v>
      </c>
      <c r="D97" s="292">
        <f>D95</f>
        <v>1046597.191</v>
      </c>
      <c r="E97" s="293">
        <f>E95</f>
        <v>1162199.4138</v>
      </c>
      <c r="G97"/>
      <c r="H97"/>
      <c r="I97"/>
      <c r="J97"/>
      <c r="K97"/>
    </row>
    <row r="98" spans="1:11" s="721" customFormat="1" x14ac:dyDescent="0.2">
      <c r="A98" s="277"/>
      <c r="B98" s="207"/>
      <c r="C98" s="207"/>
      <c r="D98" s="207"/>
      <c r="E98" s="286"/>
      <c r="G98"/>
      <c r="H98"/>
      <c r="I98"/>
      <c r="J98"/>
      <c r="K98"/>
    </row>
    <row r="99" spans="1:11" s="721" customFormat="1" ht="13.5" thickBot="1" x14ac:dyDescent="0.25">
      <c r="A99" s="279" t="s">
        <v>143</v>
      </c>
      <c r="B99" s="294">
        <f>B97+C97+D97+E97</f>
        <v>4894317.4542000005</v>
      </c>
      <c r="C99" s="295"/>
      <c r="D99" s="295"/>
      <c r="E99" s="296"/>
      <c r="G99"/>
      <c r="H99"/>
      <c r="I99"/>
      <c r="J99"/>
      <c r="K99"/>
    </row>
    <row r="101" spans="1:11" x14ac:dyDescent="0.2">
      <c r="A101" t="s">
        <v>344</v>
      </c>
      <c r="B101" s="273">
        <v>93708</v>
      </c>
      <c r="C101" s="273">
        <v>84792</v>
      </c>
      <c r="D101" s="273">
        <v>79766</v>
      </c>
      <c r="E101" s="273">
        <v>27303</v>
      </c>
    </row>
    <row r="102" spans="1:11" ht="13.5" thickBot="1" x14ac:dyDescent="0.25">
      <c r="A102" s="276" t="s">
        <v>142</v>
      </c>
      <c r="B102" s="283">
        <f>(B94)*B101</f>
        <v>149914.05840000001</v>
      </c>
      <c r="C102" s="283">
        <f>(C94)*C101</f>
        <v>134463.15360000002</v>
      </c>
      <c r="D102" s="283">
        <f>(D94)*D101</f>
        <v>127968.5938</v>
      </c>
      <c r="E102" s="283">
        <f>(E94)*E101</f>
        <v>42641.825400000002</v>
      </c>
    </row>
    <row r="103" spans="1:11" ht="14.25" thickTop="1" thickBot="1" x14ac:dyDescent="0.25">
      <c r="B103" s="273"/>
      <c r="C103" s="273"/>
      <c r="D103" s="273"/>
      <c r="E103" s="273"/>
    </row>
    <row r="104" spans="1:11" s="721" customFormat="1" x14ac:dyDescent="0.2">
      <c r="A104" s="284" t="s">
        <v>364</v>
      </c>
      <c r="B104" s="274"/>
      <c r="C104" s="274"/>
      <c r="D104" s="274"/>
      <c r="E104" s="275"/>
    </row>
    <row r="105" spans="1:11" s="721" customFormat="1" x14ac:dyDescent="0.2">
      <c r="A105" s="285" t="s">
        <v>131</v>
      </c>
      <c r="B105" s="722"/>
      <c r="C105" s="722"/>
      <c r="D105" s="722"/>
      <c r="E105" s="278"/>
      <c r="H105" s="373" t="s">
        <v>150</v>
      </c>
      <c r="I105" s="373" t="s">
        <v>158</v>
      </c>
      <c r="J105" s="373" t="s">
        <v>160</v>
      </c>
      <c r="K105" s="373" t="s">
        <v>170</v>
      </c>
    </row>
    <row r="106" spans="1:11" s="721" customFormat="1" x14ac:dyDescent="0.2">
      <c r="A106" s="277"/>
      <c r="B106" s="207" t="s">
        <v>366</v>
      </c>
      <c r="C106" s="207" t="s">
        <v>367</v>
      </c>
      <c r="D106" s="207" t="s">
        <v>368</v>
      </c>
      <c r="E106" s="286" t="s">
        <v>369</v>
      </c>
      <c r="F106" s="373"/>
      <c r="G106" s="373" t="s">
        <v>155</v>
      </c>
      <c r="H106" s="375">
        <v>1.5991</v>
      </c>
      <c r="I106" s="375"/>
      <c r="J106" s="375"/>
      <c r="K106" s="375"/>
    </row>
    <row r="107" spans="1:11" s="721" customFormat="1" x14ac:dyDescent="0.2">
      <c r="A107" s="590" t="s">
        <v>312</v>
      </c>
      <c r="B107" s="280">
        <v>983558</v>
      </c>
      <c r="C107" s="280"/>
      <c r="D107" s="280"/>
      <c r="E107" s="434"/>
      <c r="F107" s="709" t="s">
        <v>358</v>
      </c>
    </row>
    <row r="108" spans="1:11" s="721" customFormat="1" x14ac:dyDescent="0.2">
      <c r="A108" s="277"/>
      <c r="B108" s="722"/>
      <c r="C108" s="722"/>
      <c r="D108" s="722"/>
      <c r="E108" s="278"/>
    </row>
    <row r="109" spans="1:11" s="721" customFormat="1" x14ac:dyDescent="0.2">
      <c r="A109" s="277" t="s">
        <v>141</v>
      </c>
      <c r="B109" s="282">
        <f>H106</f>
        <v>1.5991</v>
      </c>
      <c r="C109" s="289">
        <f>I106</f>
        <v>0</v>
      </c>
      <c r="D109" s="289">
        <f>J106</f>
        <v>0</v>
      </c>
      <c r="E109" s="290">
        <f>K106</f>
        <v>0</v>
      </c>
    </row>
    <row r="110" spans="1:11" s="721" customFormat="1" ht="13.5" thickBot="1" x14ac:dyDescent="0.25">
      <c r="A110" s="276" t="s">
        <v>142</v>
      </c>
      <c r="B110" s="283">
        <f>(B107)*B109</f>
        <v>1572807.5977999999</v>
      </c>
      <c r="C110" s="283">
        <f>(C107)*C109</f>
        <v>0</v>
      </c>
      <c r="D110" s="283">
        <f>(D107)*D109</f>
        <v>0</v>
      </c>
      <c r="E110" s="291">
        <f>(E107)*E109</f>
        <v>0</v>
      </c>
      <c r="F110" s="716"/>
    </row>
    <row r="111" spans="1:11" s="721" customFormat="1" ht="13.5" thickTop="1" x14ac:dyDescent="0.2">
      <c r="A111" s="277"/>
      <c r="B111" s="722"/>
      <c r="C111" s="722"/>
      <c r="D111" s="722"/>
      <c r="E111" s="278"/>
    </row>
    <row r="112" spans="1:11" s="721" customFormat="1" x14ac:dyDescent="0.2">
      <c r="A112" s="277" t="s">
        <v>149</v>
      </c>
      <c r="B112" s="292">
        <f>B110</f>
        <v>1572807.5977999999</v>
      </c>
      <c r="C112" s="292">
        <f>C110</f>
        <v>0</v>
      </c>
      <c r="D112" s="292">
        <f>D110</f>
        <v>0</v>
      </c>
      <c r="E112" s="293">
        <f>E110</f>
        <v>0</v>
      </c>
    </row>
    <row r="113" spans="1:5" s="721" customFormat="1" x14ac:dyDescent="0.2">
      <c r="A113" s="277"/>
      <c r="B113" s="207"/>
      <c r="C113" s="207"/>
      <c r="D113" s="207"/>
      <c r="E113" s="286"/>
    </row>
    <row r="114" spans="1:5" s="721" customFormat="1" ht="13.5" thickBot="1" x14ac:dyDescent="0.25">
      <c r="A114" s="279" t="s">
        <v>143</v>
      </c>
      <c r="B114" s="294">
        <f>B112+C112+D112+E112</f>
        <v>1572807.5977999999</v>
      </c>
      <c r="C114" s="295"/>
      <c r="D114" s="295"/>
      <c r="E114" s="296"/>
    </row>
    <row r="115" spans="1:5" s="721" customFormat="1" x14ac:dyDescent="0.2"/>
    <row r="116" spans="1:5" s="721" customFormat="1" x14ac:dyDescent="0.2">
      <c r="A116" s="721" t="s">
        <v>344</v>
      </c>
      <c r="B116" s="273"/>
      <c r="C116" s="273"/>
      <c r="D116" s="273"/>
      <c r="E116" s="273"/>
    </row>
    <row r="117" spans="1:5" s="721" customFormat="1" ht="13.5" thickBot="1" x14ac:dyDescent="0.25">
      <c r="A117" s="276" t="s">
        <v>142</v>
      </c>
      <c r="B117" s="283">
        <f>(B109)*B116</f>
        <v>0</v>
      </c>
      <c r="C117" s="283">
        <f>(C109)*C116</f>
        <v>0</v>
      </c>
      <c r="D117" s="283">
        <f>(D109)*D116</f>
        <v>0</v>
      </c>
      <c r="E117" s="283">
        <f>(E109)*E116</f>
        <v>0</v>
      </c>
    </row>
    <row r="118" spans="1:5" ht="13.5" thickTop="1" x14ac:dyDescent="0.2"/>
  </sheetData>
  <phoneticPr fontId="6" type="noConversion"/>
  <pageMargins left="0.75" right="0.75" top="1" bottom="0.5" header="0.5" footer="0.5"/>
  <pageSetup orientation="landscape" r:id="rId1"/>
  <headerFooter alignWithMargins="0">
    <oddFooter>&amp;L&amp;Z&amp;F&amp;R&amp;D&amp;T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L121"/>
  <sheetViews>
    <sheetView topLeftCell="A19" zoomScaleNormal="100" zoomScaleSheetLayoutView="100" workbookViewId="0">
      <selection activeCell="A41" sqref="A41:XFD43"/>
    </sheetView>
  </sheetViews>
  <sheetFormatPr defaultRowHeight="12.75" x14ac:dyDescent="0.2"/>
  <cols>
    <col min="1" max="1" width="2.7109375" style="103" customWidth="1"/>
    <col min="2" max="2" width="41.42578125" style="103" customWidth="1"/>
    <col min="3" max="3" width="10.5703125" style="103" customWidth="1"/>
    <col min="4" max="4" width="9.7109375" style="103" customWidth="1"/>
    <col min="5" max="5" width="1.5703125" style="2" customWidth="1"/>
    <col min="6" max="6" width="11" style="2" customWidth="1"/>
    <col min="7" max="7" width="10.140625" style="2" bestFit="1" customWidth="1"/>
    <col min="8" max="8" width="10.7109375" style="2" customWidth="1"/>
    <col min="9" max="9" width="10.140625" style="2" customWidth="1"/>
    <col min="10" max="10" width="10" style="2" customWidth="1"/>
    <col min="11" max="11" width="9.7109375" style="2" customWidth="1"/>
    <col min="12" max="12" width="10.140625" style="2" bestFit="1" customWidth="1"/>
    <col min="13" max="13" width="10.140625" style="2" customWidth="1"/>
    <col min="14" max="14" width="10" style="2" customWidth="1"/>
    <col min="15" max="16" width="10" style="2" hidden="1" customWidth="1"/>
    <col min="17" max="17" width="10.140625" style="2" hidden="1" customWidth="1"/>
    <col min="18" max="29" width="10" style="2" hidden="1" customWidth="1"/>
    <col min="30" max="30" width="9.7109375" style="2" hidden="1" customWidth="1"/>
    <col min="31" max="32" width="9.28515625" style="2" hidden="1" customWidth="1"/>
    <col min="33" max="41" width="9.28515625" style="103" hidden="1" customWidth="1"/>
    <col min="42" max="42" width="1.5703125" style="103" customWidth="1"/>
    <col min="43" max="44" width="10.140625" style="103" hidden="1" customWidth="1"/>
    <col min="45" max="45" width="10.85546875" style="103" customWidth="1"/>
    <col min="46" max="46" width="9.7109375" style="103" customWidth="1"/>
    <col min="47" max="47" width="1.5703125" style="103" customWidth="1"/>
    <col min="48" max="49" width="10.7109375" style="103" customWidth="1"/>
    <col min="50" max="52" width="10.28515625" style="103" customWidth="1"/>
    <col min="53" max="53" width="10.140625" style="103" hidden="1" customWidth="1"/>
    <col min="54" max="54" width="10" style="103" hidden="1" customWidth="1"/>
    <col min="55" max="59" width="9.7109375" style="103" hidden="1" customWidth="1"/>
    <col min="60" max="60" width="1.5703125" style="103" customWidth="1"/>
    <col min="61" max="62" width="9.140625" style="103"/>
    <col min="63" max="63" width="25.7109375" style="103" bestFit="1" customWidth="1"/>
    <col min="64" max="64" width="13.85546875" style="103" bestFit="1" customWidth="1"/>
    <col min="65" max="16384" width="9.140625" style="103"/>
  </cols>
  <sheetData>
    <row r="2" spans="1:60" x14ac:dyDescent="0.2">
      <c r="C2" s="2"/>
      <c r="F2" s="845"/>
      <c r="G2" s="55"/>
      <c r="H2" s="55"/>
      <c r="J2" s="845"/>
      <c r="K2" s="55"/>
      <c r="L2" s="55"/>
      <c r="N2" s="845"/>
      <c r="O2" s="55"/>
      <c r="P2" s="55"/>
      <c r="R2" s="845"/>
      <c r="S2" s="55"/>
      <c r="T2" s="55"/>
      <c r="V2" s="845"/>
      <c r="W2" s="55"/>
      <c r="X2" s="55"/>
    </row>
    <row r="3" spans="1:60" x14ac:dyDescent="0.2">
      <c r="F3" s="846"/>
      <c r="G3" s="55"/>
      <c r="H3" s="55"/>
      <c r="I3" s="148"/>
      <c r="J3" s="846"/>
      <c r="K3" s="55"/>
      <c r="L3" s="55"/>
      <c r="M3" s="148"/>
      <c r="N3" s="846"/>
      <c r="O3" s="55"/>
      <c r="P3" s="55"/>
      <c r="Q3" s="148"/>
      <c r="R3" s="846"/>
      <c r="S3" s="55"/>
      <c r="T3" s="55"/>
      <c r="U3" s="148"/>
      <c r="V3" s="845"/>
      <c r="W3" s="55"/>
      <c r="X3" s="55"/>
      <c r="Y3" s="148"/>
    </row>
    <row r="4" spans="1:60" x14ac:dyDescent="0.2">
      <c r="F4" s="846"/>
      <c r="G4" s="55"/>
      <c r="H4" s="55"/>
      <c r="J4" s="846"/>
      <c r="K4" s="55"/>
      <c r="L4" s="55"/>
      <c r="N4" s="846"/>
      <c r="O4" s="55"/>
      <c r="P4" s="55"/>
      <c r="R4" s="846"/>
      <c r="S4" s="55"/>
      <c r="T4" s="55"/>
      <c r="V4" s="845"/>
      <c r="W4" s="55"/>
      <c r="X4" s="55"/>
    </row>
    <row r="5" spans="1:60" ht="15" x14ac:dyDescent="0.2">
      <c r="A5" s="2"/>
      <c r="B5" s="2"/>
      <c r="C5" s="2"/>
      <c r="D5" s="2"/>
      <c r="F5" s="764"/>
      <c r="G5" s="720"/>
      <c r="H5" s="720"/>
      <c r="I5" s="720"/>
      <c r="J5" s="764"/>
      <c r="K5" s="720"/>
      <c r="L5" s="720"/>
      <c r="M5" s="720"/>
      <c r="N5" s="764"/>
      <c r="O5" s="720"/>
      <c r="P5" s="720"/>
      <c r="Q5" s="720"/>
      <c r="R5" s="764"/>
      <c r="S5" s="720"/>
      <c r="T5" s="720"/>
      <c r="U5" s="720"/>
      <c r="V5" s="845"/>
      <c r="W5" s="55"/>
      <c r="X5" s="55"/>
      <c r="AG5" s="2"/>
      <c r="AH5" s="2"/>
      <c r="AI5" s="2"/>
    </row>
    <row r="6" spans="1:60" ht="15" x14ac:dyDescent="0.2">
      <c r="A6" s="4" t="s">
        <v>0</v>
      </c>
      <c r="B6" s="5"/>
      <c r="C6" s="5"/>
      <c r="D6" s="5"/>
      <c r="E6" s="5"/>
      <c r="F6" s="765"/>
      <c r="G6" s="720"/>
      <c r="H6" s="720"/>
      <c r="I6" s="720"/>
      <c r="J6" s="765"/>
      <c r="K6" s="720"/>
      <c r="L6" s="720"/>
      <c r="M6" s="720"/>
      <c r="N6" s="765"/>
      <c r="O6" s="720"/>
      <c r="P6" s="720"/>
      <c r="Q6" s="720"/>
      <c r="R6" s="765"/>
      <c r="S6" s="720"/>
      <c r="T6" s="720"/>
      <c r="U6" s="720"/>
      <c r="V6" s="5"/>
      <c r="W6" s="5"/>
      <c r="X6" s="5"/>
      <c r="Y6" s="5"/>
      <c r="Z6" s="5"/>
      <c r="AA6" s="5"/>
      <c r="AB6" s="5"/>
      <c r="AC6" s="5"/>
      <c r="AD6" s="5"/>
      <c r="AE6" s="5"/>
      <c r="AF6" s="5"/>
      <c r="AG6" s="2"/>
      <c r="AH6" s="2"/>
      <c r="AI6" s="2"/>
    </row>
    <row r="7" spans="1:60" ht="15" x14ac:dyDescent="0.2">
      <c r="A7" s="760" t="s">
        <v>289</v>
      </c>
      <c r="B7" s="5"/>
      <c r="C7" s="5"/>
      <c r="D7" s="5"/>
      <c r="E7" s="5"/>
      <c r="F7" s="720"/>
      <c r="G7" s="720"/>
      <c r="H7" s="720"/>
      <c r="I7" s="720"/>
      <c r="J7" s="720"/>
      <c r="K7" s="720"/>
      <c r="L7" s="720"/>
      <c r="M7" s="720"/>
      <c r="N7" s="720"/>
      <c r="O7" s="720"/>
      <c r="P7" s="720"/>
      <c r="Q7" s="720"/>
      <c r="R7" s="720"/>
      <c r="S7" s="720"/>
      <c r="T7" s="720"/>
      <c r="U7" s="720"/>
      <c r="V7" s="5"/>
      <c r="W7" s="5"/>
      <c r="X7" s="5"/>
      <c r="Y7" s="5"/>
      <c r="Z7" s="5"/>
      <c r="AA7" s="5"/>
      <c r="AB7" s="5"/>
      <c r="AC7" s="5"/>
      <c r="AD7" s="5"/>
      <c r="AE7" s="5"/>
      <c r="AF7" s="5"/>
      <c r="AG7" s="2"/>
      <c r="AH7" s="2"/>
      <c r="AI7" s="2"/>
    </row>
    <row r="8" spans="1:60" ht="9.75" customHeight="1" x14ac:dyDescent="0.2">
      <c r="B8" s="2"/>
      <c r="C8" s="2"/>
      <c r="D8" s="2"/>
      <c r="F8" s="424"/>
      <c r="J8" s="424"/>
      <c r="N8" s="424"/>
      <c r="R8" s="424"/>
      <c r="V8" s="424"/>
      <c r="Z8" s="424"/>
      <c r="AA8" s="424"/>
      <c r="AB8" s="424"/>
      <c r="AE8" s="424"/>
      <c r="AG8" s="2"/>
      <c r="AH8" s="2"/>
      <c r="AI8" s="2"/>
    </row>
    <row r="9" spans="1:60" x14ac:dyDescent="0.2">
      <c r="A9" s="6" t="s">
        <v>1</v>
      </c>
      <c r="B9" s="7"/>
      <c r="C9" s="1479" t="s">
        <v>447</v>
      </c>
      <c r="D9" s="1480"/>
      <c r="E9" s="256"/>
      <c r="F9" s="847"/>
      <c r="G9" s="410"/>
      <c r="H9" s="410"/>
      <c r="I9" s="848"/>
      <c r="J9" s="847"/>
      <c r="K9" s="410"/>
      <c r="L9" s="410"/>
      <c r="M9" s="848"/>
      <c r="N9" s="847"/>
      <c r="O9" s="410"/>
      <c r="P9" s="410"/>
      <c r="Q9" s="848"/>
      <c r="R9" s="847"/>
      <c r="S9" s="410"/>
      <c r="T9" s="410"/>
      <c r="U9" s="848"/>
      <c r="V9" s="847"/>
      <c r="W9" s="410"/>
      <c r="X9" s="410"/>
      <c r="Y9" s="848"/>
      <c r="AA9" s="410"/>
      <c r="AC9" s="848"/>
      <c r="AD9" s="410"/>
      <c r="AF9" s="410"/>
      <c r="AG9" s="848"/>
      <c r="AH9" s="410"/>
      <c r="AI9" s="410"/>
      <c r="AJ9" s="410"/>
      <c r="AK9" s="410"/>
      <c r="AL9" s="849"/>
      <c r="AM9" s="848"/>
      <c r="AN9" s="848"/>
      <c r="AO9" s="848"/>
      <c r="AP9" s="850"/>
      <c r="AQ9" s="661" t="s">
        <v>340</v>
      </c>
      <c r="AR9" s="647"/>
      <c r="AS9" s="647" t="s">
        <v>432</v>
      </c>
      <c r="AT9" s="648"/>
      <c r="AU9" s="15"/>
      <c r="AV9" s="87"/>
      <c r="AW9" s="87"/>
      <c r="AX9" s="87"/>
      <c r="AY9" s="87"/>
      <c r="AZ9" s="87"/>
      <c r="BA9" s="87"/>
      <c r="BB9" s="87"/>
      <c r="BC9" s="849"/>
      <c r="BD9" s="849"/>
      <c r="BE9" s="87"/>
      <c r="BF9" s="87"/>
      <c r="BG9" s="87"/>
      <c r="BH9" s="701"/>
    </row>
    <row r="10" spans="1:60" ht="13.5" x14ac:dyDescent="0.2">
      <c r="A10" s="6" t="s">
        <v>2</v>
      </c>
      <c r="B10" s="7"/>
      <c r="C10" s="1481" t="s">
        <v>39</v>
      </c>
      <c r="D10" s="1482"/>
      <c r="E10" s="530"/>
      <c r="F10" s="21" t="s">
        <v>425</v>
      </c>
      <c r="G10" s="21" t="s">
        <v>426</v>
      </c>
      <c r="H10" s="21" t="s">
        <v>427</v>
      </c>
      <c r="I10" s="14" t="s">
        <v>428</v>
      </c>
      <c r="J10" s="21" t="s">
        <v>363</v>
      </c>
      <c r="K10" s="21" t="s">
        <v>362</v>
      </c>
      <c r="L10" s="21" t="s">
        <v>361</v>
      </c>
      <c r="M10" s="14" t="s">
        <v>359</v>
      </c>
      <c r="N10" s="20" t="s">
        <v>302</v>
      </c>
      <c r="O10" s="21" t="s">
        <v>303</v>
      </c>
      <c r="P10" s="21" t="s">
        <v>304</v>
      </c>
      <c r="Q10" s="14" t="s">
        <v>305</v>
      </c>
      <c r="R10" s="20" t="s">
        <v>231</v>
      </c>
      <c r="S10" s="21" t="s">
        <v>232</v>
      </c>
      <c r="T10" s="21" t="s">
        <v>233</v>
      </c>
      <c r="U10" s="14" t="s">
        <v>230</v>
      </c>
      <c r="V10" s="20" t="s">
        <v>194</v>
      </c>
      <c r="W10" s="21" t="s">
        <v>195</v>
      </c>
      <c r="X10" s="21" t="s">
        <v>196</v>
      </c>
      <c r="Y10" s="14" t="s">
        <v>197</v>
      </c>
      <c r="Z10" s="21" t="s">
        <v>126</v>
      </c>
      <c r="AA10" s="21" t="s">
        <v>125</v>
      </c>
      <c r="AB10" s="21" t="s">
        <v>124</v>
      </c>
      <c r="AC10" s="14" t="s">
        <v>123</v>
      </c>
      <c r="AD10" s="21" t="s">
        <v>86</v>
      </c>
      <c r="AE10" s="21" t="s">
        <v>87</v>
      </c>
      <c r="AF10" s="21" t="s">
        <v>88</v>
      </c>
      <c r="AG10" s="14" t="s">
        <v>30</v>
      </c>
      <c r="AH10" s="21" t="s">
        <v>31</v>
      </c>
      <c r="AI10" s="21" t="s">
        <v>32</v>
      </c>
      <c r="AJ10" s="21" t="s">
        <v>33</v>
      </c>
      <c r="AK10" s="21" t="s">
        <v>34</v>
      </c>
      <c r="AL10" s="23" t="s">
        <v>35</v>
      </c>
      <c r="AM10" s="14" t="s">
        <v>36</v>
      </c>
      <c r="AN10" s="14" t="s">
        <v>37</v>
      </c>
      <c r="AO10" s="14" t="s">
        <v>38</v>
      </c>
      <c r="AP10" s="256"/>
      <c r="AQ10" s="21" t="s">
        <v>426</v>
      </c>
      <c r="AR10" s="21" t="s">
        <v>362</v>
      </c>
      <c r="AS10" s="1477" t="s">
        <v>39</v>
      </c>
      <c r="AT10" s="1478"/>
      <c r="AU10" s="844"/>
      <c r="AV10" s="20" t="s">
        <v>446</v>
      </c>
      <c r="AW10" s="20" t="s">
        <v>365</v>
      </c>
      <c r="AX10" s="20" t="s">
        <v>307</v>
      </c>
      <c r="AY10" s="20" t="s">
        <v>235</v>
      </c>
      <c r="AZ10" s="20" t="s">
        <v>128</v>
      </c>
      <c r="BA10" s="20" t="s">
        <v>127</v>
      </c>
      <c r="BB10" s="20" t="s">
        <v>43</v>
      </c>
      <c r="BC10" s="23" t="s">
        <v>40</v>
      </c>
      <c r="BD10" s="23" t="s">
        <v>41</v>
      </c>
      <c r="BE10" s="23" t="s">
        <v>146</v>
      </c>
      <c r="BF10" s="23" t="s">
        <v>147</v>
      </c>
      <c r="BG10" s="23" t="s">
        <v>148</v>
      </c>
      <c r="BH10" s="701"/>
    </row>
    <row r="11" spans="1:60" x14ac:dyDescent="0.2">
      <c r="A11" s="6"/>
      <c r="B11" s="7"/>
      <c r="C11" s="630"/>
      <c r="D11" s="631"/>
      <c r="E11" s="530"/>
      <c r="F11" s="633" t="s">
        <v>254</v>
      </c>
      <c r="G11" s="633" t="s">
        <v>254</v>
      </c>
      <c r="H11" s="633" t="s">
        <v>254</v>
      </c>
      <c r="I11" s="634" t="s">
        <v>254</v>
      </c>
      <c r="J11" s="633" t="s">
        <v>254</v>
      </c>
      <c r="K11" s="633" t="s">
        <v>254</v>
      </c>
      <c r="L11" s="633" t="s">
        <v>254</v>
      </c>
      <c r="M11" s="634" t="s">
        <v>254</v>
      </c>
      <c r="N11" s="632" t="s">
        <v>254</v>
      </c>
      <c r="O11" s="633" t="s">
        <v>254</v>
      </c>
      <c r="P11" s="633" t="s">
        <v>254</v>
      </c>
      <c r="Q11" s="634" t="s">
        <v>254</v>
      </c>
      <c r="R11" s="632" t="s">
        <v>254</v>
      </c>
      <c r="S11" s="633" t="s">
        <v>254</v>
      </c>
      <c r="T11" s="633" t="s">
        <v>254</v>
      </c>
      <c r="U11" s="634" t="s">
        <v>254</v>
      </c>
      <c r="V11" s="632" t="s">
        <v>254</v>
      </c>
      <c r="W11" s="633" t="s">
        <v>254</v>
      </c>
      <c r="X11" s="633" t="s">
        <v>254</v>
      </c>
      <c r="Y11" s="634" t="s">
        <v>254</v>
      </c>
      <c r="Z11" s="632" t="s">
        <v>255</v>
      </c>
      <c r="AA11" s="633" t="s">
        <v>255</v>
      </c>
      <c r="AB11" s="633" t="s">
        <v>255</v>
      </c>
      <c r="AC11" s="634" t="s">
        <v>255</v>
      </c>
      <c r="AD11" s="15"/>
      <c r="AE11" s="15"/>
      <c r="AF11" s="15"/>
      <c r="AG11" s="230"/>
      <c r="AH11" s="15"/>
      <c r="AI11" s="15"/>
      <c r="AJ11" s="15"/>
      <c r="AK11" s="15"/>
      <c r="AL11" s="256"/>
      <c r="AM11" s="230"/>
      <c r="AN11" s="230"/>
      <c r="AO11" s="230"/>
      <c r="AP11" s="256"/>
      <c r="AQ11" s="632" t="s">
        <v>254</v>
      </c>
      <c r="AR11" s="633" t="s">
        <v>254</v>
      </c>
      <c r="AS11" s="851"/>
      <c r="AT11" s="852"/>
      <c r="AU11" s="844"/>
      <c r="AV11" s="632" t="s">
        <v>254</v>
      </c>
      <c r="AW11" s="632" t="s">
        <v>254</v>
      </c>
      <c r="AX11" s="632" t="s">
        <v>254</v>
      </c>
      <c r="AY11" s="632" t="s">
        <v>254</v>
      </c>
      <c r="AZ11" s="632" t="s">
        <v>254</v>
      </c>
      <c r="BA11" s="632" t="s">
        <v>255</v>
      </c>
      <c r="BB11" s="632" t="s">
        <v>255</v>
      </c>
      <c r="BC11" s="635" t="s">
        <v>255</v>
      </c>
      <c r="BD11" s="635" t="s">
        <v>255</v>
      </c>
      <c r="BE11" s="256"/>
      <c r="BF11" s="256"/>
      <c r="BG11" s="256"/>
      <c r="BH11" s="701"/>
    </row>
    <row r="12" spans="1:60" ht="12.75" customHeight="1" x14ac:dyDescent="0.2">
      <c r="A12" s="615" t="s">
        <v>3</v>
      </c>
      <c r="B12" s="8"/>
      <c r="C12" s="701"/>
      <c r="D12" s="853"/>
      <c r="E12" s="850"/>
      <c r="F12" s="701"/>
      <c r="I12" s="853"/>
      <c r="J12" s="701"/>
      <c r="M12" s="853"/>
      <c r="N12" s="701"/>
      <c r="Q12" s="853"/>
      <c r="R12" s="701"/>
      <c r="U12" s="853"/>
      <c r="V12" s="701"/>
      <c r="Y12" s="853"/>
      <c r="AC12" s="853"/>
      <c r="AG12" s="853"/>
      <c r="AH12" s="2"/>
      <c r="AI12" s="2"/>
      <c r="AJ12" s="2"/>
      <c r="AK12" s="853"/>
      <c r="AL12" s="850"/>
      <c r="AM12" s="853"/>
      <c r="AN12" s="853"/>
      <c r="AO12" s="853"/>
      <c r="AP12" s="850"/>
      <c r="AQ12" s="2"/>
      <c r="AR12" s="2"/>
      <c r="AS12" s="410"/>
      <c r="AT12" s="848"/>
      <c r="AV12" s="850"/>
      <c r="AW12" s="850"/>
      <c r="AX12" s="850"/>
      <c r="AY12" s="850"/>
      <c r="AZ12" s="850"/>
      <c r="BA12" s="850"/>
      <c r="BB12" s="850"/>
      <c r="BC12" s="850"/>
      <c r="BD12" s="850"/>
      <c r="BE12" s="301"/>
      <c r="BF12" s="301"/>
      <c r="BG12" s="849"/>
      <c r="BH12" s="701"/>
    </row>
    <row r="13" spans="1:60" ht="12.75" customHeight="1" x14ac:dyDescent="0.2">
      <c r="A13" s="7"/>
      <c r="B13" s="7" t="s">
        <v>4</v>
      </c>
      <c r="C13" s="56">
        <v>-21283</v>
      </c>
      <c r="D13" s="755">
        <v>-8.3874552705834132E-2</v>
      </c>
      <c r="E13" s="519"/>
      <c r="F13" s="55">
        <v>232465</v>
      </c>
      <c r="G13" s="55">
        <v>166471</v>
      </c>
      <c r="H13" s="55">
        <v>236271</v>
      </c>
      <c r="I13" s="57">
        <v>245556</v>
      </c>
      <c r="J13" s="55">
        <v>253748</v>
      </c>
      <c r="K13" s="55">
        <v>230959</v>
      </c>
      <c r="L13" s="55">
        <v>183306</v>
      </c>
      <c r="M13" s="57">
        <v>187231</v>
      </c>
      <c r="N13" s="55">
        <v>217971</v>
      </c>
      <c r="O13" s="55">
        <v>230003</v>
      </c>
      <c r="P13" s="55">
        <v>186599</v>
      </c>
      <c r="Q13" s="57">
        <v>162549</v>
      </c>
      <c r="R13" s="55">
        <v>177692</v>
      </c>
      <c r="S13" s="55">
        <v>147889</v>
      </c>
      <c r="T13" s="55">
        <v>119500</v>
      </c>
      <c r="U13" s="57">
        <v>159783</v>
      </c>
      <c r="V13" s="55">
        <v>247595</v>
      </c>
      <c r="W13" s="55">
        <v>254834</v>
      </c>
      <c r="X13" s="55">
        <v>149285</v>
      </c>
      <c r="Y13" s="57">
        <v>151917</v>
      </c>
      <c r="Z13" s="55">
        <v>143133</v>
      </c>
      <c r="AA13" s="55">
        <v>173197</v>
      </c>
      <c r="AB13" s="55">
        <v>123744</v>
      </c>
      <c r="AC13" s="57">
        <v>137463</v>
      </c>
      <c r="AD13" s="55">
        <v>106996</v>
      </c>
      <c r="AE13" s="55">
        <v>87188</v>
      </c>
      <c r="AF13" s="55">
        <v>110829</v>
      </c>
      <c r="AG13" s="57">
        <v>172708</v>
      </c>
      <c r="AH13" s="55">
        <v>143446</v>
      </c>
      <c r="AI13" s="55">
        <v>183354</v>
      </c>
      <c r="AJ13" s="55">
        <v>158869</v>
      </c>
      <c r="AK13" s="55">
        <v>245870</v>
      </c>
      <c r="AL13" s="58">
        <v>216443</v>
      </c>
      <c r="AM13" s="57">
        <v>178313</v>
      </c>
      <c r="AN13" s="57">
        <v>156031</v>
      </c>
      <c r="AO13" s="57">
        <v>206127</v>
      </c>
      <c r="AP13" s="196"/>
      <c r="AQ13" s="831">
        <v>648298</v>
      </c>
      <c r="AR13" s="831">
        <v>601496</v>
      </c>
      <c r="AS13" s="55">
        <v>25519</v>
      </c>
      <c r="AT13" s="46">
        <v>2.9838268377211648E-2</v>
      </c>
      <c r="AU13" s="53"/>
      <c r="AV13" s="58">
        <v>880763</v>
      </c>
      <c r="AW13" s="58">
        <v>855244</v>
      </c>
      <c r="AX13" s="58">
        <v>797122</v>
      </c>
      <c r="AY13" s="58">
        <v>604864</v>
      </c>
      <c r="AZ13" s="58">
        <v>803631</v>
      </c>
      <c r="BA13" s="58">
        <v>577537</v>
      </c>
      <c r="BB13" s="58">
        <v>477721</v>
      </c>
      <c r="BC13" s="58">
        <v>731539</v>
      </c>
      <c r="BD13" s="58">
        <v>756914</v>
      </c>
      <c r="BE13" s="58">
        <v>583415</v>
      </c>
      <c r="BF13" s="58">
        <v>432778</v>
      </c>
      <c r="BG13" s="58">
        <v>402157</v>
      </c>
      <c r="BH13" s="701"/>
    </row>
    <row r="14" spans="1:60" ht="12.75" customHeight="1" x14ac:dyDescent="0.2">
      <c r="A14" s="7"/>
      <c r="B14" s="7" t="s">
        <v>5</v>
      </c>
      <c r="C14" s="56">
        <v>39098</v>
      </c>
      <c r="D14" s="755">
        <v>0.17632600783811453</v>
      </c>
      <c r="E14" s="519"/>
      <c r="F14" s="55">
        <v>260835</v>
      </c>
      <c r="G14" s="55">
        <v>191991</v>
      </c>
      <c r="H14" s="55">
        <v>211326</v>
      </c>
      <c r="I14" s="57">
        <v>222268</v>
      </c>
      <c r="J14" s="55">
        <v>221737</v>
      </c>
      <c r="K14" s="55">
        <v>206539</v>
      </c>
      <c r="L14" s="55">
        <v>184262</v>
      </c>
      <c r="M14" s="57">
        <v>178118</v>
      </c>
      <c r="N14" s="55">
        <v>211984</v>
      </c>
      <c r="O14" s="55">
        <v>216882</v>
      </c>
      <c r="P14" s="55">
        <v>204910</v>
      </c>
      <c r="Q14" s="57">
        <v>187048</v>
      </c>
      <c r="R14" s="55">
        <v>207731</v>
      </c>
      <c r="S14" s="55">
        <v>142822</v>
      </c>
      <c r="T14" s="55">
        <v>126396</v>
      </c>
      <c r="U14" s="57">
        <v>144034</v>
      </c>
      <c r="V14" s="55">
        <v>189279</v>
      </c>
      <c r="W14" s="55">
        <v>192918</v>
      </c>
      <c r="X14" s="55">
        <v>134676</v>
      </c>
      <c r="Y14" s="57">
        <v>144286</v>
      </c>
      <c r="Z14" s="55">
        <v>137658</v>
      </c>
      <c r="AA14" s="55">
        <v>150887</v>
      </c>
      <c r="AB14" s="55">
        <v>115883</v>
      </c>
      <c r="AC14" s="57">
        <v>121468</v>
      </c>
      <c r="AD14" s="55">
        <v>100311</v>
      </c>
      <c r="AE14" s="55">
        <v>159625</v>
      </c>
      <c r="AF14" s="55">
        <v>115805</v>
      </c>
      <c r="AG14" s="57">
        <v>149179</v>
      </c>
      <c r="AH14" s="55">
        <v>194004</v>
      </c>
      <c r="AI14" s="55">
        <v>159043</v>
      </c>
      <c r="AJ14" s="55">
        <v>139741</v>
      </c>
      <c r="AK14" s="55">
        <v>187220</v>
      </c>
      <c r="AL14" s="58">
        <v>176307</v>
      </c>
      <c r="AM14" s="57">
        <v>144677</v>
      </c>
      <c r="AN14" s="57">
        <v>130781</v>
      </c>
      <c r="AO14" s="57">
        <v>166952</v>
      </c>
      <c r="AP14" s="196"/>
      <c r="AQ14" s="831">
        <v>625585</v>
      </c>
      <c r="AR14" s="831">
        <v>568919</v>
      </c>
      <c r="AS14" s="55">
        <v>95764</v>
      </c>
      <c r="AT14" s="46">
        <v>0.12111967783713777</v>
      </c>
      <c r="AU14" s="53"/>
      <c r="AV14" s="58">
        <v>886420</v>
      </c>
      <c r="AW14" s="58">
        <v>790656</v>
      </c>
      <c r="AX14" s="58">
        <v>820824</v>
      </c>
      <c r="AY14" s="58">
        <v>620983</v>
      </c>
      <c r="AZ14" s="58">
        <v>661159</v>
      </c>
      <c r="BA14" s="58">
        <v>525896</v>
      </c>
      <c r="BB14" s="58">
        <v>524920</v>
      </c>
      <c r="BC14" s="58">
        <v>680008</v>
      </c>
      <c r="BD14" s="58">
        <v>618717</v>
      </c>
      <c r="BE14" s="58">
        <v>464385</v>
      </c>
      <c r="BF14" s="58">
        <v>360022</v>
      </c>
      <c r="BG14" s="58">
        <v>339600</v>
      </c>
      <c r="BH14" s="701"/>
    </row>
    <row r="15" spans="1:60" ht="12.75" customHeight="1" x14ac:dyDescent="0.2">
      <c r="A15" s="7"/>
      <c r="B15" s="7" t="s">
        <v>6</v>
      </c>
      <c r="C15" s="56">
        <v>-8139</v>
      </c>
      <c r="D15" s="755">
        <v>-1.3362337875554096</v>
      </c>
      <c r="E15" s="519"/>
      <c r="F15" s="55">
        <v>-2048</v>
      </c>
      <c r="G15" s="55">
        <v>-4041</v>
      </c>
      <c r="H15" s="55">
        <v>7331</v>
      </c>
      <c r="I15" s="57">
        <v>4419</v>
      </c>
      <c r="J15" s="55">
        <v>6091</v>
      </c>
      <c r="K15" s="55">
        <v>6086</v>
      </c>
      <c r="L15" s="55">
        <v>-876</v>
      </c>
      <c r="M15" s="57">
        <v>1230</v>
      </c>
      <c r="N15" s="55">
        <v>-437</v>
      </c>
      <c r="O15" s="55">
        <v>2857</v>
      </c>
      <c r="P15" s="55">
        <v>-3470</v>
      </c>
      <c r="Q15" s="57">
        <v>-3877</v>
      </c>
      <c r="R15" s="55">
        <v>1755</v>
      </c>
      <c r="S15" s="55">
        <v>2536</v>
      </c>
      <c r="T15" s="55">
        <v>-1618</v>
      </c>
      <c r="U15" s="57">
        <v>2554</v>
      </c>
      <c r="V15" s="55">
        <v>16993</v>
      </c>
      <c r="W15" s="55">
        <v>18919</v>
      </c>
      <c r="X15" s="55">
        <v>4358</v>
      </c>
      <c r="Y15" s="57">
        <v>2459</v>
      </c>
      <c r="Z15" s="55">
        <v>-2051</v>
      </c>
      <c r="AA15" s="55">
        <v>7197</v>
      </c>
      <c r="AB15" s="55">
        <v>1115</v>
      </c>
      <c r="AC15" s="57">
        <v>6883</v>
      </c>
      <c r="AD15" s="55">
        <v>3019</v>
      </c>
      <c r="AE15" s="55">
        <v>-10059</v>
      </c>
      <c r="AF15" s="55">
        <v>422</v>
      </c>
      <c r="AG15" s="57">
        <v>7070</v>
      </c>
      <c r="AH15" s="55">
        <v>-15404</v>
      </c>
      <c r="AI15" s="55">
        <v>9263</v>
      </c>
      <c r="AJ15" s="55">
        <v>6717</v>
      </c>
      <c r="AK15" s="55">
        <v>19621</v>
      </c>
      <c r="AL15" s="58">
        <v>14120</v>
      </c>
      <c r="AM15" s="57">
        <v>9944</v>
      </c>
      <c r="AN15" s="57">
        <v>7444</v>
      </c>
      <c r="AO15" s="57">
        <v>13233</v>
      </c>
      <c r="AP15" s="196"/>
      <c r="AQ15" s="831">
        <v>7709</v>
      </c>
      <c r="AR15" s="831">
        <v>6440</v>
      </c>
      <c r="AS15" s="55">
        <v>-6870</v>
      </c>
      <c r="AT15" s="46">
        <v>-0.54824036389753417</v>
      </c>
      <c r="AU15" s="53"/>
      <c r="AV15" s="58">
        <v>5661</v>
      </c>
      <c r="AW15" s="58">
        <v>12531</v>
      </c>
      <c r="AX15" s="58">
        <v>-4927</v>
      </c>
      <c r="AY15" s="58">
        <v>5227</v>
      </c>
      <c r="AZ15" s="58">
        <v>42729</v>
      </c>
      <c r="BA15" s="58">
        <v>13144</v>
      </c>
      <c r="BB15" s="58">
        <v>452</v>
      </c>
      <c r="BC15" s="58">
        <v>20197</v>
      </c>
      <c r="BD15" s="58">
        <v>44741</v>
      </c>
      <c r="BE15" s="58">
        <v>37880</v>
      </c>
      <c r="BF15" s="58">
        <v>24177</v>
      </c>
      <c r="BG15" s="58">
        <v>22128</v>
      </c>
      <c r="BH15" s="701"/>
    </row>
    <row r="16" spans="1:60" ht="12.75" customHeight="1" x14ac:dyDescent="0.2">
      <c r="A16" s="7"/>
      <c r="B16" s="7" t="s">
        <v>7</v>
      </c>
      <c r="C16" s="56">
        <v>-52242</v>
      </c>
      <c r="D16" s="755">
        <v>-2.0155092592592592</v>
      </c>
      <c r="E16" s="519"/>
      <c r="F16" s="55">
        <v>-26322</v>
      </c>
      <c r="G16" s="55">
        <v>-21479</v>
      </c>
      <c r="H16" s="55">
        <v>17614</v>
      </c>
      <c r="I16" s="57">
        <v>18869</v>
      </c>
      <c r="J16" s="55">
        <v>25920</v>
      </c>
      <c r="K16" s="55">
        <v>18334</v>
      </c>
      <c r="L16" s="55">
        <v>-80</v>
      </c>
      <c r="M16" s="57">
        <v>7883</v>
      </c>
      <c r="N16" s="55">
        <v>6424</v>
      </c>
      <c r="O16" s="55">
        <v>10264</v>
      </c>
      <c r="P16" s="55">
        <v>-14841</v>
      </c>
      <c r="Q16" s="57">
        <v>-20622</v>
      </c>
      <c r="R16" s="55">
        <v>-31794</v>
      </c>
      <c r="S16" s="55">
        <v>2531</v>
      </c>
      <c r="T16" s="55">
        <v>-5278</v>
      </c>
      <c r="U16" s="57">
        <v>13195</v>
      </c>
      <c r="V16" s="55">
        <v>41323</v>
      </c>
      <c r="W16" s="55">
        <v>42997</v>
      </c>
      <c r="X16" s="55">
        <v>10251</v>
      </c>
      <c r="Y16" s="57">
        <v>5172</v>
      </c>
      <c r="Z16" s="55">
        <v>7526</v>
      </c>
      <c r="AA16" s="55">
        <v>15113</v>
      </c>
      <c r="AB16" s="55">
        <v>6746</v>
      </c>
      <c r="AC16" s="57">
        <v>9112</v>
      </c>
      <c r="AD16" s="55">
        <v>3666</v>
      </c>
      <c r="AE16" s="55">
        <v>-62378</v>
      </c>
      <c r="AF16" s="55">
        <v>-5398</v>
      </c>
      <c r="AG16" s="57">
        <v>16459</v>
      </c>
      <c r="AH16" s="55">
        <v>-35154</v>
      </c>
      <c r="AI16" s="55">
        <v>15048</v>
      </c>
      <c r="AJ16" s="55">
        <v>12411</v>
      </c>
      <c r="AK16" s="55">
        <v>39029</v>
      </c>
      <c r="AL16" s="58">
        <v>26016</v>
      </c>
      <c r="AM16" s="57">
        <v>23692</v>
      </c>
      <c r="AN16" s="57">
        <v>17806</v>
      </c>
      <c r="AO16" s="57">
        <v>25942</v>
      </c>
      <c r="AP16" s="196"/>
      <c r="AQ16" s="831">
        <v>15004</v>
      </c>
      <c r="AR16" s="831">
        <v>26137</v>
      </c>
      <c r="AS16" s="55">
        <v>-63375</v>
      </c>
      <c r="AT16" s="46">
        <v>-1.2174155252895864</v>
      </c>
      <c r="AU16" s="53"/>
      <c r="AV16" s="58">
        <v>-11318</v>
      </c>
      <c r="AW16" s="58">
        <v>52057</v>
      </c>
      <c r="AX16" s="58">
        <v>-18775</v>
      </c>
      <c r="AY16" s="58">
        <v>-21346</v>
      </c>
      <c r="AZ16" s="58">
        <v>99743</v>
      </c>
      <c r="BA16" s="58">
        <v>38497</v>
      </c>
      <c r="BB16" s="58">
        <v>-47651</v>
      </c>
      <c r="BC16" s="58">
        <v>31334</v>
      </c>
      <c r="BD16" s="58">
        <v>93456</v>
      </c>
      <c r="BE16" s="58">
        <v>81150</v>
      </c>
      <c r="BF16" s="58">
        <v>48579</v>
      </c>
      <c r="BG16" s="58">
        <v>40429</v>
      </c>
      <c r="BH16" s="701"/>
    </row>
    <row r="17" spans="1:60" ht="12.75" customHeight="1" x14ac:dyDescent="0.2">
      <c r="A17" s="7"/>
      <c r="B17" s="7" t="s">
        <v>406</v>
      </c>
      <c r="C17" s="56">
        <v>-52728</v>
      </c>
      <c r="D17" s="755">
        <v>-2.0489624621123803</v>
      </c>
      <c r="E17" s="519"/>
      <c r="F17" s="55">
        <v>-26994</v>
      </c>
      <c r="G17" s="55">
        <v>-21380</v>
      </c>
      <c r="H17" s="55">
        <v>17109</v>
      </c>
      <c r="I17" s="57">
        <v>18081</v>
      </c>
      <c r="J17" s="55">
        <v>25734</v>
      </c>
      <c r="K17" s="55">
        <v>17321</v>
      </c>
      <c r="L17" s="55">
        <v>-383</v>
      </c>
      <c r="M17" s="57">
        <v>8741</v>
      </c>
      <c r="N17" s="55">
        <v>6830</v>
      </c>
      <c r="O17" s="55">
        <v>10880</v>
      </c>
      <c r="P17" s="55">
        <v>-14562</v>
      </c>
      <c r="Q17" s="57">
        <v>-19967</v>
      </c>
      <c r="R17" s="55">
        <v>-31250</v>
      </c>
      <c r="S17" s="55">
        <v>3026</v>
      </c>
      <c r="T17" s="55">
        <v>-5278</v>
      </c>
      <c r="U17" s="57">
        <v>13195</v>
      </c>
      <c r="V17" s="55">
        <v>41323</v>
      </c>
      <c r="W17" s="55">
        <v>42997</v>
      </c>
      <c r="X17" s="55">
        <v>10251</v>
      </c>
      <c r="Y17" s="57">
        <v>5172</v>
      </c>
      <c r="Z17" s="55">
        <v>7526</v>
      </c>
      <c r="AA17" s="55">
        <v>15113</v>
      </c>
      <c r="AB17" s="55"/>
      <c r="AC17" s="57"/>
      <c r="AD17" s="55"/>
      <c r="AE17" s="55"/>
      <c r="AF17" s="55"/>
      <c r="AG17" s="57"/>
      <c r="AH17" s="55"/>
      <c r="AI17" s="55"/>
      <c r="AJ17" s="55"/>
      <c r="AK17" s="55"/>
      <c r="AL17" s="58"/>
      <c r="AM17" s="57"/>
      <c r="AN17" s="57"/>
      <c r="AO17" s="57"/>
      <c r="AP17" s="196"/>
      <c r="AQ17" s="831">
        <v>13810</v>
      </c>
      <c r="AR17" s="831">
        <v>25679</v>
      </c>
      <c r="AS17" s="55">
        <v>-64597</v>
      </c>
      <c r="AT17" s="46">
        <v>-1.2564331978293428</v>
      </c>
      <c r="AU17" s="53"/>
      <c r="AV17" s="58">
        <v>-13184</v>
      </c>
      <c r="AW17" s="58">
        <v>51413</v>
      </c>
      <c r="AX17" s="58">
        <v>-16819</v>
      </c>
      <c r="AY17" s="58">
        <v>-20307</v>
      </c>
      <c r="AZ17" s="58">
        <v>99743</v>
      </c>
      <c r="BA17" s="58">
        <v>38497</v>
      </c>
      <c r="BB17" s="58">
        <v>-47651</v>
      </c>
      <c r="BC17" s="58">
        <v>31334</v>
      </c>
      <c r="BD17" s="58">
        <v>93456</v>
      </c>
      <c r="BE17" s="58"/>
      <c r="BF17" s="58"/>
      <c r="BG17" s="58"/>
      <c r="BH17" s="701"/>
    </row>
    <row r="18" spans="1:60" ht="12.75" customHeight="1" x14ac:dyDescent="0.2">
      <c r="A18" s="7"/>
      <c r="B18" s="7" t="s">
        <v>423</v>
      </c>
      <c r="C18" s="56">
        <v>-52766</v>
      </c>
      <c r="D18" s="755">
        <v>-2.3169403705980502</v>
      </c>
      <c r="E18" s="519"/>
      <c r="F18" s="55">
        <v>-29992</v>
      </c>
      <c r="G18" s="55">
        <v>-24340</v>
      </c>
      <c r="H18" s="55">
        <v>14188</v>
      </c>
      <c r="I18" s="57">
        <v>15083</v>
      </c>
      <c r="J18" s="55">
        <v>22774</v>
      </c>
      <c r="K18" s="55">
        <v>14400</v>
      </c>
      <c r="L18" s="55">
        <v>-3304</v>
      </c>
      <c r="M18" s="57">
        <v>5781</v>
      </c>
      <c r="N18" s="55">
        <v>3943</v>
      </c>
      <c r="O18" s="55">
        <v>7882</v>
      </c>
      <c r="P18" s="55">
        <v>-17560</v>
      </c>
      <c r="Q18" s="57">
        <v>-22804</v>
      </c>
      <c r="R18" s="55">
        <v>-32357</v>
      </c>
      <c r="S18" s="55">
        <v>1208</v>
      </c>
      <c r="T18" s="55">
        <v>-7078</v>
      </c>
      <c r="U18" s="57">
        <v>13105</v>
      </c>
      <c r="V18" s="55">
        <v>41323</v>
      </c>
      <c r="W18" s="55">
        <v>42997</v>
      </c>
      <c r="X18" s="55">
        <v>10251</v>
      </c>
      <c r="Y18" s="57">
        <v>5172</v>
      </c>
      <c r="Z18" s="55">
        <v>7526</v>
      </c>
      <c r="AA18" s="55">
        <v>15113</v>
      </c>
      <c r="AB18" s="55">
        <v>6746</v>
      </c>
      <c r="AC18" s="57"/>
      <c r="AD18" s="55"/>
      <c r="AE18" s="55"/>
      <c r="AF18" s="55"/>
      <c r="AG18" s="57"/>
      <c r="AH18" s="55"/>
      <c r="AI18" s="55"/>
      <c r="AJ18" s="55"/>
      <c r="AK18" s="55"/>
      <c r="AL18" s="58"/>
      <c r="AM18" s="57"/>
      <c r="AN18" s="57"/>
      <c r="AO18" s="57"/>
      <c r="AP18" s="196"/>
      <c r="AQ18" s="831">
        <v>4931</v>
      </c>
      <c r="AR18" s="831">
        <v>16877</v>
      </c>
      <c r="AS18" s="55">
        <v>-64712</v>
      </c>
      <c r="AT18" s="46">
        <v>-1.6320395450303902</v>
      </c>
      <c r="AU18" s="53"/>
      <c r="AV18" s="58">
        <v>-25061</v>
      </c>
      <c r="AW18" s="58">
        <v>39651</v>
      </c>
      <c r="AX18" s="58">
        <v>-28539</v>
      </c>
      <c r="AY18" s="58">
        <v>-25122</v>
      </c>
      <c r="AZ18" s="58">
        <v>99743</v>
      </c>
      <c r="BA18" s="58">
        <v>38497</v>
      </c>
      <c r="BB18" s="58">
        <v>-47651</v>
      </c>
      <c r="BC18" s="58">
        <v>31334</v>
      </c>
      <c r="BD18" s="58">
        <v>93456</v>
      </c>
      <c r="BE18" s="58"/>
      <c r="BF18" s="58"/>
      <c r="BG18" s="58"/>
      <c r="BH18" s="701"/>
    </row>
    <row r="19" spans="1:60" ht="9.75" customHeight="1" x14ac:dyDescent="0.2">
      <c r="A19" s="7"/>
      <c r="B19" s="7"/>
      <c r="C19" s="56"/>
      <c r="D19" s="46"/>
      <c r="E19" s="519"/>
      <c r="F19" s="47"/>
      <c r="G19" s="554"/>
      <c r="H19" s="55"/>
      <c r="I19" s="57"/>
      <c r="J19" s="47"/>
      <c r="K19" s="554"/>
      <c r="L19" s="55"/>
      <c r="M19" s="57"/>
      <c r="N19" s="47"/>
      <c r="O19" s="554"/>
      <c r="P19" s="55"/>
      <c r="Q19" s="57"/>
      <c r="R19" s="47"/>
      <c r="S19" s="554"/>
      <c r="T19" s="55"/>
      <c r="U19" s="57"/>
      <c r="V19" s="47"/>
      <c r="W19" s="554"/>
      <c r="X19" s="55"/>
      <c r="Y19" s="57"/>
      <c r="Z19" s="47"/>
      <c r="AA19" s="47"/>
      <c r="AB19" s="55"/>
      <c r="AC19" s="57"/>
      <c r="AD19" s="47"/>
      <c r="AE19" s="47"/>
      <c r="AF19" s="55"/>
      <c r="AG19" s="57"/>
      <c r="AH19" s="55"/>
      <c r="AI19" s="55"/>
      <c r="AJ19" s="55"/>
      <c r="AK19" s="55"/>
      <c r="AL19" s="58"/>
      <c r="AM19" s="57"/>
      <c r="AN19" s="57"/>
      <c r="AO19" s="57"/>
      <c r="AP19" s="196"/>
      <c r="AQ19" s="1"/>
      <c r="AR19" s="1"/>
      <c r="AS19" s="55"/>
      <c r="AT19" s="46"/>
      <c r="AU19" s="53"/>
      <c r="AV19" s="58"/>
      <c r="AW19" s="58"/>
      <c r="AX19" s="58"/>
      <c r="AY19" s="58"/>
      <c r="AZ19" s="58"/>
      <c r="BA19" s="58"/>
      <c r="BB19" s="58"/>
      <c r="BC19" s="58"/>
      <c r="BD19" s="58"/>
      <c r="BE19" s="348"/>
      <c r="BF19" s="348"/>
      <c r="BG19" s="348"/>
      <c r="BH19" s="701"/>
    </row>
    <row r="20" spans="1:60" ht="12.75" customHeight="1" x14ac:dyDescent="0.2">
      <c r="A20" s="615" t="s">
        <v>8</v>
      </c>
      <c r="B20" s="7"/>
      <c r="C20" s="56"/>
      <c r="D20" s="46"/>
      <c r="E20" s="519"/>
      <c r="F20" s="47"/>
      <c r="G20" s="47"/>
      <c r="H20" s="55"/>
      <c r="I20" s="57"/>
      <c r="J20" s="47"/>
      <c r="K20" s="47"/>
      <c r="L20" s="55"/>
      <c r="M20" s="57"/>
      <c r="N20" s="47"/>
      <c r="O20" s="47"/>
      <c r="P20" s="55"/>
      <c r="Q20" s="57"/>
      <c r="R20" s="47"/>
      <c r="S20" s="47"/>
      <c r="T20" s="55"/>
      <c r="U20" s="57"/>
      <c r="V20" s="47"/>
      <c r="W20" s="47"/>
      <c r="X20" s="55"/>
      <c r="Y20" s="57"/>
      <c r="Z20" s="47"/>
      <c r="AA20" s="47"/>
      <c r="AB20" s="55"/>
      <c r="AC20" s="57"/>
      <c r="AD20" s="47"/>
      <c r="AE20" s="47"/>
      <c r="AF20" s="55"/>
      <c r="AG20" s="57"/>
      <c r="AH20" s="55"/>
      <c r="AI20" s="55"/>
      <c r="AJ20" s="55"/>
      <c r="AK20" s="55"/>
      <c r="AL20" s="58"/>
      <c r="AM20" s="57"/>
      <c r="AN20" s="57"/>
      <c r="AO20" s="57"/>
      <c r="AP20" s="196"/>
      <c r="AQ20" s="1"/>
      <c r="AR20" s="1"/>
      <c r="AS20" s="55"/>
      <c r="AT20" s="46"/>
      <c r="AU20" s="53"/>
      <c r="AV20" s="58"/>
      <c r="AW20" s="58"/>
      <c r="AX20" s="58"/>
      <c r="AY20" s="58"/>
      <c r="AZ20" s="58"/>
      <c r="BA20" s="58"/>
      <c r="BB20" s="58"/>
      <c r="BC20" s="58"/>
      <c r="BD20" s="58"/>
      <c r="BE20" s="58"/>
      <c r="BF20" s="58"/>
      <c r="BG20" s="58"/>
      <c r="BH20" s="701"/>
    </row>
    <row r="21" spans="1:60" ht="12.75" customHeight="1" x14ac:dyDescent="0.2">
      <c r="A21" s="8"/>
      <c r="B21" s="7" t="s">
        <v>9</v>
      </c>
      <c r="C21" s="56">
        <v>-644717</v>
      </c>
      <c r="D21" s="755">
        <v>-0.12856741744442551</v>
      </c>
      <c r="E21" s="519"/>
      <c r="F21" s="55">
        <v>4369905</v>
      </c>
      <c r="G21" s="55">
        <v>3930036</v>
      </c>
      <c r="H21" s="55">
        <v>4719202</v>
      </c>
      <c r="I21" s="57">
        <v>4371138</v>
      </c>
      <c r="J21" s="55">
        <v>5014622</v>
      </c>
      <c r="K21" s="55">
        <v>4122920</v>
      </c>
      <c r="L21" s="55">
        <v>4245682</v>
      </c>
      <c r="M21" s="57">
        <v>5327433</v>
      </c>
      <c r="N21" s="55">
        <v>4603502</v>
      </c>
      <c r="O21" s="754">
        <v>4977201</v>
      </c>
      <c r="P21" s="55">
        <v>5102481</v>
      </c>
      <c r="Q21" s="57">
        <v>5105838</v>
      </c>
      <c r="R21" s="55">
        <v>5762723</v>
      </c>
      <c r="S21" s="55">
        <v>4439877</v>
      </c>
      <c r="T21" s="55">
        <v>5665166</v>
      </c>
      <c r="U21" s="57">
        <v>4429105</v>
      </c>
      <c r="V21" s="55">
        <v>5097500</v>
      </c>
      <c r="W21" s="55">
        <v>4555884</v>
      </c>
      <c r="X21" s="55">
        <v>5261916</v>
      </c>
      <c r="Y21" s="57">
        <v>3961904</v>
      </c>
      <c r="Z21" s="55">
        <v>3123848</v>
      </c>
      <c r="AA21" s="55">
        <v>2583857</v>
      </c>
      <c r="AB21" s="55">
        <v>3407005</v>
      </c>
      <c r="AC21" s="57">
        <v>2184790</v>
      </c>
      <c r="AD21" s="55">
        <v>2022099</v>
      </c>
      <c r="AE21" s="55">
        <v>1679685</v>
      </c>
      <c r="AF21" s="55">
        <v>1942070</v>
      </c>
      <c r="AG21" s="57">
        <v>2333893</v>
      </c>
      <c r="AH21" s="55">
        <v>2098718</v>
      </c>
      <c r="AI21" s="55">
        <v>1972741</v>
      </c>
      <c r="AJ21" s="55">
        <v>2525725</v>
      </c>
      <c r="AK21" s="55">
        <v>2693627</v>
      </c>
      <c r="AL21" s="58">
        <v>2609942</v>
      </c>
      <c r="AM21" s="57">
        <v>1794143</v>
      </c>
      <c r="AN21" s="57">
        <v>1665413</v>
      </c>
      <c r="AO21" s="57">
        <v>1789397</v>
      </c>
      <c r="AP21" s="196"/>
      <c r="AQ21" s="151">
        <v>3930036</v>
      </c>
      <c r="AR21" s="831">
        <v>4122920</v>
      </c>
      <c r="AS21" s="55">
        <v>-644717</v>
      </c>
      <c r="AT21" s="46">
        <v>-0.12856741744442551</v>
      </c>
      <c r="AU21" s="53"/>
      <c r="AV21" s="58">
        <v>4369905</v>
      </c>
      <c r="AW21" s="58">
        <v>5014622</v>
      </c>
      <c r="AX21" s="58">
        <v>4603502</v>
      </c>
      <c r="AY21" s="58">
        <v>5762723</v>
      </c>
      <c r="AZ21" s="58">
        <v>5097500</v>
      </c>
      <c r="BA21" s="58">
        <v>3123848</v>
      </c>
      <c r="BB21" s="58">
        <v>2022099</v>
      </c>
      <c r="BC21" s="58">
        <v>2098718</v>
      </c>
      <c r="BD21" s="58">
        <v>2609942</v>
      </c>
      <c r="BE21" s="58">
        <v>2177973</v>
      </c>
      <c r="BF21" s="58">
        <v>1638165</v>
      </c>
      <c r="BG21" s="58">
        <v>1508366</v>
      </c>
      <c r="BH21" s="701"/>
    </row>
    <row r="22" spans="1:60" ht="12.75" customHeight="1" x14ac:dyDescent="0.2">
      <c r="A22" s="8"/>
      <c r="B22" s="7" t="s">
        <v>10</v>
      </c>
      <c r="C22" s="56">
        <v>-588942</v>
      </c>
      <c r="D22" s="755">
        <v>-0.1537294148048958</v>
      </c>
      <c r="E22" s="519"/>
      <c r="F22" s="55">
        <v>3242088</v>
      </c>
      <c r="G22" s="55">
        <v>2812476</v>
      </c>
      <c r="H22" s="55">
        <v>3562261</v>
      </c>
      <c r="I22" s="57">
        <v>3232024</v>
      </c>
      <c r="J22" s="55">
        <v>3831030</v>
      </c>
      <c r="K22" s="55">
        <v>2991414</v>
      </c>
      <c r="L22" s="55">
        <v>3150694</v>
      </c>
      <c r="M22" s="57">
        <v>4246564</v>
      </c>
      <c r="N22" s="55">
        <v>3538170</v>
      </c>
      <c r="O22" s="754">
        <v>3910105</v>
      </c>
      <c r="P22" s="55">
        <v>4052592</v>
      </c>
      <c r="Q22" s="57">
        <v>4030987</v>
      </c>
      <c r="R22" s="55">
        <v>4753144</v>
      </c>
      <c r="S22" s="55">
        <v>3569364</v>
      </c>
      <c r="T22" s="55">
        <v>4801673</v>
      </c>
      <c r="U22" s="57">
        <v>3580864</v>
      </c>
      <c r="V22" s="55">
        <v>4340608</v>
      </c>
      <c r="W22" s="55">
        <v>3831158</v>
      </c>
      <c r="X22" s="55">
        <v>4581386</v>
      </c>
      <c r="Y22" s="57">
        <v>3290908</v>
      </c>
      <c r="Z22" s="55">
        <v>2722103</v>
      </c>
      <c r="AA22" s="55">
        <v>2183190</v>
      </c>
      <c r="AB22" s="55">
        <v>3018780</v>
      </c>
      <c r="AC22" s="57">
        <v>1799394</v>
      </c>
      <c r="AD22" s="55">
        <v>1649395</v>
      </c>
      <c r="AE22" s="55">
        <v>1321724</v>
      </c>
      <c r="AF22" s="55">
        <v>1527762</v>
      </c>
      <c r="AG22" s="57">
        <v>1893991</v>
      </c>
      <c r="AH22" s="55">
        <v>1741274</v>
      </c>
      <c r="AI22" s="55">
        <v>1582513</v>
      </c>
      <c r="AJ22" s="55">
        <v>2143412</v>
      </c>
      <c r="AK22" s="55">
        <v>2304386</v>
      </c>
      <c r="AL22" s="58">
        <v>2237751</v>
      </c>
      <c r="AM22" s="57">
        <v>1438915</v>
      </c>
      <c r="AN22" s="57">
        <v>1338324</v>
      </c>
      <c r="AO22" s="57">
        <v>1478199</v>
      </c>
      <c r="AP22" s="196"/>
      <c r="AQ22" s="151">
        <v>2812476</v>
      </c>
      <c r="AR22" s="831">
        <v>2991414</v>
      </c>
      <c r="AS22" s="55">
        <v>-588942</v>
      </c>
      <c r="AT22" s="46">
        <v>-0.1537294148048958</v>
      </c>
      <c r="AU22" s="53"/>
      <c r="AV22" s="58">
        <v>3242088</v>
      </c>
      <c r="AW22" s="58">
        <v>3831030</v>
      </c>
      <c r="AX22" s="58">
        <v>3538170</v>
      </c>
      <c r="AY22" s="58">
        <v>4753144</v>
      </c>
      <c r="AZ22" s="58">
        <v>4340608</v>
      </c>
      <c r="BA22" s="58">
        <v>2722103</v>
      </c>
      <c r="BB22" s="58">
        <v>1649395</v>
      </c>
      <c r="BC22" s="58">
        <v>1741274</v>
      </c>
      <c r="BD22" s="58">
        <v>2237751</v>
      </c>
      <c r="BE22" s="58">
        <v>1890143</v>
      </c>
      <c r="BF22" s="58">
        <v>1415954</v>
      </c>
      <c r="BG22" s="58">
        <v>1409679</v>
      </c>
      <c r="BH22" s="701"/>
    </row>
    <row r="23" spans="1:60" ht="12.75" customHeight="1" x14ac:dyDescent="0.2">
      <c r="A23" s="8"/>
      <c r="B23" s="7" t="s">
        <v>263</v>
      </c>
      <c r="C23" s="56">
        <v>-4637</v>
      </c>
      <c r="D23" s="755">
        <v>-0.31095761802575106</v>
      </c>
      <c r="E23" s="519"/>
      <c r="F23" s="69">
        <v>10275</v>
      </c>
      <c r="G23" s="69">
        <v>9608</v>
      </c>
      <c r="H23" s="69">
        <v>15130</v>
      </c>
      <c r="I23" s="57">
        <v>15821</v>
      </c>
      <c r="J23" s="69">
        <v>14912</v>
      </c>
      <c r="K23" s="69">
        <v>12110</v>
      </c>
      <c r="L23" s="69">
        <v>12375</v>
      </c>
      <c r="M23" s="57">
        <v>12244</v>
      </c>
      <c r="N23" s="69">
        <v>16169</v>
      </c>
      <c r="O23" s="251">
        <v>15913</v>
      </c>
      <c r="P23" s="69">
        <v>16047</v>
      </c>
      <c r="Q23" s="57">
        <v>16882</v>
      </c>
      <c r="R23" s="69">
        <v>17454</v>
      </c>
      <c r="S23" s="69">
        <v>18218</v>
      </c>
      <c r="T23" s="683">
        <v>0</v>
      </c>
      <c r="U23" s="684">
        <v>0</v>
      </c>
      <c r="V23" s="683">
        <v>0</v>
      </c>
      <c r="W23" s="683">
        <v>0</v>
      </c>
      <c r="X23" s="683">
        <v>0</v>
      </c>
      <c r="Y23" s="684">
        <v>0</v>
      </c>
      <c r="Z23" s="683">
        <v>0</v>
      </c>
      <c r="AA23" s="683">
        <v>0</v>
      </c>
      <c r="AB23" s="55"/>
      <c r="AC23" s="57"/>
      <c r="AD23" s="55"/>
      <c r="AE23" s="55"/>
      <c r="AF23" s="55"/>
      <c r="AG23" s="57"/>
      <c r="AH23" s="55"/>
      <c r="AI23" s="55"/>
      <c r="AJ23" s="55"/>
      <c r="AK23" s="55"/>
      <c r="AL23" s="58"/>
      <c r="AM23" s="57"/>
      <c r="AN23" s="57"/>
      <c r="AO23" s="57"/>
      <c r="AP23" s="196"/>
      <c r="AQ23" s="151">
        <v>9608</v>
      </c>
      <c r="AR23" s="831">
        <v>12110</v>
      </c>
      <c r="AS23" s="55">
        <v>-4637</v>
      </c>
      <c r="AT23" s="46">
        <v>-0.31095761802575106</v>
      </c>
      <c r="AU23" s="53"/>
      <c r="AV23" s="58">
        <v>10275</v>
      </c>
      <c r="AW23" s="58">
        <v>14912</v>
      </c>
      <c r="AX23" s="58">
        <v>16169</v>
      </c>
      <c r="AY23" s="58">
        <v>17454</v>
      </c>
      <c r="AZ23" s="682">
        <v>0</v>
      </c>
      <c r="BA23" s="682">
        <v>0</v>
      </c>
      <c r="BB23" s="682">
        <v>0</v>
      </c>
      <c r="BC23" s="682">
        <v>0</v>
      </c>
      <c r="BD23" s="682">
        <v>0</v>
      </c>
      <c r="BE23" s="58"/>
      <c r="BF23" s="58"/>
      <c r="BG23" s="58"/>
      <c r="BH23" s="701"/>
    </row>
    <row r="24" spans="1:60" ht="12.75" customHeight="1" x14ac:dyDescent="0.2">
      <c r="A24" s="8"/>
      <c r="B24" s="7" t="s">
        <v>11</v>
      </c>
      <c r="C24" s="56">
        <v>-51138</v>
      </c>
      <c r="D24" s="755">
        <v>-4.3757059246329194E-2</v>
      </c>
      <c r="E24" s="519"/>
      <c r="F24" s="69">
        <v>1117542</v>
      </c>
      <c r="G24" s="69">
        <v>1107952</v>
      </c>
      <c r="H24" s="69">
        <v>1141811</v>
      </c>
      <c r="I24" s="57">
        <v>1123293</v>
      </c>
      <c r="J24" s="69">
        <v>1168680</v>
      </c>
      <c r="K24" s="69">
        <v>1119396</v>
      </c>
      <c r="L24" s="69">
        <v>1082613</v>
      </c>
      <c r="M24" s="57">
        <v>1068625</v>
      </c>
      <c r="N24" s="69">
        <v>1049163</v>
      </c>
      <c r="O24" s="251">
        <v>1051183</v>
      </c>
      <c r="P24" s="69">
        <v>1033842</v>
      </c>
      <c r="Q24" s="57">
        <v>1057969</v>
      </c>
      <c r="R24" s="55">
        <v>992125</v>
      </c>
      <c r="S24" s="55">
        <v>852295</v>
      </c>
      <c r="T24" s="55">
        <v>863493</v>
      </c>
      <c r="U24" s="57">
        <v>848241</v>
      </c>
      <c r="V24" s="55">
        <v>756892</v>
      </c>
      <c r="W24" s="55">
        <v>724726</v>
      </c>
      <c r="X24" s="55">
        <v>680530</v>
      </c>
      <c r="Y24" s="57">
        <v>670996</v>
      </c>
      <c r="Z24" s="55">
        <v>401745</v>
      </c>
      <c r="AA24" s="55">
        <v>400667</v>
      </c>
      <c r="AB24" s="55">
        <v>388225</v>
      </c>
      <c r="AC24" s="57">
        <v>385396</v>
      </c>
      <c r="AD24" s="55">
        <v>372704</v>
      </c>
      <c r="AE24" s="55">
        <v>357961</v>
      </c>
      <c r="AF24" s="55">
        <v>414308</v>
      </c>
      <c r="AG24" s="57">
        <v>439902</v>
      </c>
      <c r="AH24" s="55">
        <v>357444</v>
      </c>
      <c r="AI24" s="55">
        <v>390228</v>
      </c>
      <c r="AJ24" s="55">
        <v>382313</v>
      </c>
      <c r="AK24" s="55">
        <v>389241</v>
      </c>
      <c r="AL24" s="58">
        <v>372191</v>
      </c>
      <c r="AM24" s="57">
        <v>355228</v>
      </c>
      <c r="AN24" s="57">
        <v>327089</v>
      </c>
      <c r="AO24" s="57">
        <v>311198</v>
      </c>
      <c r="AP24" s="196"/>
      <c r="AQ24" s="151">
        <v>1107952</v>
      </c>
      <c r="AR24" s="831">
        <v>1119396</v>
      </c>
      <c r="AS24" s="55">
        <v>-51138</v>
      </c>
      <c r="AT24" s="46">
        <v>-4.3757059246329194E-2</v>
      </c>
      <c r="AU24" s="53"/>
      <c r="AV24" s="58">
        <v>1117542</v>
      </c>
      <c r="AW24" s="58">
        <v>1168680</v>
      </c>
      <c r="AX24" s="58">
        <v>1049163</v>
      </c>
      <c r="AY24" s="58">
        <v>992125</v>
      </c>
      <c r="AZ24" s="58">
        <v>756892</v>
      </c>
      <c r="BA24" s="58">
        <v>401745</v>
      </c>
      <c r="BB24" s="58">
        <v>372704</v>
      </c>
      <c r="BC24" s="58">
        <v>357444</v>
      </c>
      <c r="BD24" s="58">
        <v>372191</v>
      </c>
      <c r="BE24" s="58">
        <v>287830</v>
      </c>
      <c r="BF24" s="58">
        <v>222211</v>
      </c>
      <c r="BG24" s="58">
        <v>98687</v>
      </c>
      <c r="BH24" s="701"/>
    </row>
    <row r="25" spans="1:60" ht="9.75" customHeight="1" x14ac:dyDescent="0.2">
      <c r="A25" s="8"/>
      <c r="B25" s="7"/>
      <c r="C25" s="56"/>
      <c r="D25" s="46"/>
      <c r="E25" s="519"/>
      <c r="F25" s="47"/>
      <c r="G25" s="47"/>
      <c r="H25" s="1"/>
      <c r="I25" s="362"/>
      <c r="J25" s="47"/>
      <c r="K25" s="47"/>
      <c r="L25" s="1"/>
      <c r="M25" s="362"/>
      <c r="N25" s="47"/>
      <c r="O25" s="47"/>
      <c r="P25" s="1"/>
      <c r="Q25" s="362"/>
      <c r="R25" s="47"/>
      <c r="S25" s="47"/>
      <c r="T25" s="1"/>
      <c r="U25" s="362"/>
      <c r="V25" s="47"/>
      <c r="W25" s="47"/>
      <c r="X25" s="1"/>
      <c r="Y25" s="362"/>
      <c r="Z25" s="47"/>
      <c r="AA25" s="47"/>
      <c r="AB25" s="1"/>
      <c r="AC25" s="362"/>
      <c r="AD25" s="47"/>
      <c r="AE25" s="47"/>
      <c r="AF25" s="1"/>
      <c r="AG25" s="362"/>
      <c r="AH25" s="55"/>
      <c r="AI25" s="55"/>
      <c r="AJ25" s="55"/>
      <c r="AK25" s="55"/>
      <c r="AL25" s="58"/>
      <c r="AM25" s="57"/>
      <c r="AN25" s="57"/>
      <c r="AO25" s="57"/>
      <c r="AP25" s="196"/>
      <c r="AQ25" s="1"/>
      <c r="AR25" s="1"/>
      <c r="AS25" s="55"/>
      <c r="AT25" s="46"/>
      <c r="AU25" s="53"/>
      <c r="AV25" s="58"/>
      <c r="AW25" s="58"/>
      <c r="AX25" s="58"/>
      <c r="AY25" s="58"/>
      <c r="AZ25" s="58"/>
      <c r="BA25" s="58"/>
      <c r="BB25" s="58"/>
      <c r="BC25" s="58"/>
      <c r="BD25" s="58"/>
      <c r="BE25" s="349"/>
      <c r="BF25" s="349"/>
      <c r="BG25" s="349"/>
      <c r="BH25" s="701"/>
    </row>
    <row r="26" spans="1:60" ht="12.75" customHeight="1" x14ac:dyDescent="0.2">
      <c r="A26" s="615" t="s">
        <v>282</v>
      </c>
      <c r="B26" s="7"/>
      <c r="C26" s="56"/>
      <c r="D26" s="46"/>
      <c r="E26" s="519"/>
      <c r="F26" s="47"/>
      <c r="G26" s="47"/>
      <c r="H26" s="1"/>
      <c r="I26" s="362"/>
      <c r="J26" s="47"/>
      <c r="K26" s="47"/>
      <c r="L26" s="1"/>
      <c r="M26" s="362"/>
      <c r="N26" s="47"/>
      <c r="O26" s="47"/>
      <c r="P26" s="1"/>
      <c r="Q26" s="362"/>
      <c r="R26" s="47"/>
      <c r="S26" s="47"/>
      <c r="T26" s="1"/>
      <c r="U26" s="362"/>
      <c r="V26" s="47"/>
      <c r="W26" s="47"/>
      <c r="X26" s="1"/>
      <c r="Y26" s="362"/>
      <c r="Z26" s="47"/>
      <c r="AA26" s="47"/>
      <c r="AB26" s="1"/>
      <c r="AC26" s="362"/>
      <c r="AD26" s="47"/>
      <c r="AE26" s="47"/>
      <c r="AF26" s="1"/>
      <c r="AG26" s="362"/>
      <c r="AH26" s="55"/>
      <c r="AI26" s="55"/>
      <c r="AJ26" s="55"/>
      <c r="AK26" s="55"/>
      <c r="AL26" s="58"/>
      <c r="AM26" s="57"/>
      <c r="AN26" s="57"/>
      <c r="AO26" s="57"/>
      <c r="AP26" s="196"/>
      <c r="AQ26" s="1"/>
      <c r="AR26" s="1"/>
      <c r="AS26" s="55"/>
      <c r="AT26" s="46"/>
      <c r="AU26" s="53"/>
      <c r="AV26" s="58"/>
      <c r="AW26" s="58"/>
      <c r="AX26" s="58"/>
      <c r="AY26" s="58"/>
      <c r="AZ26" s="58"/>
      <c r="BA26" s="58"/>
      <c r="BB26" s="58"/>
      <c r="BC26" s="58"/>
      <c r="BD26" s="58"/>
      <c r="BE26" s="58"/>
      <c r="BF26" s="58"/>
      <c r="BG26" s="58"/>
      <c r="BH26" s="701"/>
    </row>
    <row r="27" spans="1:60" ht="13.5" customHeight="1" x14ac:dyDescent="0.2">
      <c r="A27" s="615"/>
      <c r="B27" s="7" t="s">
        <v>283</v>
      </c>
      <c r="C27" s="56">
        <v>357</v>
      </c>
      <c r="D27" s="755">
        <v>0.29651162790697677</v>
      </c>
      <c r="E27" s="1418"/>
      <c r="F27" s="55">
        <v>1561</v>
      </c>
      <c r="G27" s="55">
        <v>1441</v>
      </c>
      <c r="H27" s="55">
        <v>1391</v>
      </c>
      <c r="I27" s="57">
        <v>1270</v>
      </c>
      <c r="J27" s="55">
        <v>1204</v>
      </c>
      <c r="K27" s="55">
        <v>1070</v>
      </c>
      <c r="L27" s="55">
        <v>935</v>
      </c>
      <c r="M27" s="57">
        <v>880</v>
      </c>
      <c r="N27" s="55">
        <v>835</v>
      </c>
      <c r="O27" s="55">
        <v>791</v>
      </c>
      <c r="P27" s="55">
        <v>784</v>
      </c>
      <c r="Q27" s="57">
        <v>709</v>
      </c>
      <c r="R27" s="55">
        <v>677</v>
      </c>
      <c r="S27" s="55">
        <v>607</v>
      </c>
      <c r="T27" s="55">
        <v>574</v>
      </c>
      <c r="U27" s="57">
        <v>575</v>
      </c>
      <c r="V27" s="55">
        <v>546</v>
      </c>
      <c r="W27" s="55">
        <v>514</v>
      </c>
      <c r="X27" s="55">
        <v>473</v>
      </c>
      <c r="Y27" s="57">
        <v>431</v>
      </c>
      <c r="Z27" s="55">
        <v>445</v>
      </c>
      <c r="AA27" s="55"/>
      <c r="AB27" s="55"/>
      <c r="AC27" s="57"/>
      <c r="AD27" s="55"/>
      <c r="AE27" s="55"/>
      <c r="AF27" s="55"/>
      <c r="AG27" s="55"/>
      <c r="AH27" s="56"/>
      <c r="AI27" s="55"/>
      <c r="AJ27" s="55"/>
      <c r="AK27" s="55"/>
      <c r="AL27" s="58"/>
      <c r="AM27" s="57"/>
      <c r="AN27" s="57"/>
      <c r="AO27" s="57"/>
      <c r="AP27" s="196"/>
      <c r="AQ27" s="831">
        <v>1441</v>
      </c>
      <c r="AR27" s="831">
        <v>1070</v>
      </c>
      <c r="AS27" s="55">
        <v>357</v>
      </c>
      <c r="AT27" s="46">
        <v>0.29651162790697677</v>
      </c>
      <c r="AU27" s="53"/>
      <c r="AV27" s="58">
        <v>1561</v>
      </c>
      <c r="AW27" s="58">
        <v>1204</v>
      </c>
      <c r="AX27" s="58">
        <v>835</v>
      </c>
      <c r="AY27" s="58">
        <v>677</v>
      </c>
      <c r="AZ27" s="58">
        <v>546</v>
      </c>
      <c r="BA27" s="58">
        <v>445</v>
      </c>
      <c r="BB27" s="58">
        <v>393</v>
      </c>
      <c r="BC27" s="58">
        <v>730</v>
      </c>
      <c r="BD27" s="58"/>
      <c r="BE27" s="58"/>
      <c r="BF27" s="58"/>
      <c r="BG27" s="58"/>
      <c r="BH27" s="701"/>
    </row>
    <row r="28" spans="1:60" ht="13.5" customHeight="1" x14ac:dyDescent="0.2">
      <c r="A28" s="8"/>
      <c r="B28" s="736" t="s">
        <v>284</v>
      </c>
      <c r="C28" s="56">
        <v>569</v>
      </c>
      <c r="D28" s="755">
        <v>5.6003937007874018E-2</v>
      </c>
      <c r="E28" s="519"/>
      <c r="F28" s="55">
        <v>10729</v>
      </c>
      <c r="G28" s="55">
        <v>10310</v>
      </c>
      <c r="H28" s="55">
        <v>10757</v>
      </c>
      <c r="I28" s="57">
        <v>10958</v>
      </c>
      <c r="J28" s="55">
        <v>10160</v>
      </c>
      <c r="K28" s="55">
        <v>9536</v>
      </c>
      <c r="L28" s="55">
        <v>9427</v>
      </c>
      <c r="M28" s="57">
        <v>9325</v>
      </c>
      <c r="N28" s="55">
        <v>10429</v>
      </c>
      <c r="O28" s="55">
        <v>11403</v>
      </c>
      <c r="P28" s="55">
        <v>13344</v>
      </c>
      <c r="Q28" s="57">
        <v>13137</v>
      </c>
      <c r="R28" s="55">
        <v>14828</v>
      </c>
      <c r="S28" s="55">
        <v>14367</v>
      </c>
      <c r="T28" s="55">
        <v>14635</v>
      </c>
      <c r="U28" s="57">
        <v>15676</v>
      </c>
      <c r="V28" s="55">
        <v>16985</v>
      </c>
      <c r="W28" s="55">
        <v>16006</v>
      </c>
      <c r="X28" s="55">
        <v>13895</v>
      </c>
      <c r="Y28" s="57">
        <v>12571</v>
      </c>
      <c r="Z28" s="55">
        <v>12922</v>
      </c>
      <c r="AA28" s="55">
        <v>12210</v>
      </c>
      <c r="AB28" s="55">
        <v>11386</v>
      </c>
      <c r="AC28" s="57">
        <v>10341</v>
      </c>
      <c r="AD28" s="55">
        <v>9184</v>
      </c>
      <c r="AE28" s="55">
        <v>9030</v>
      </c>
      <c r="AF28" s="55">
        <v>11584</v>
      </c>
      <c r="AG28" s="55">
        <v>14695</v>
      </c>
      <c r="AH28" s="56">
        <v>14295</v>
      </c>
      <c r="AI28" s="55">
        <v>14860</v>
      </c>
      <c r="AJ28" s="55">
        <v>15288</v>
      </c>
      <c r="AK28" s="55">
        <v>15701</v>
      </c>
      <c r="AL28" s="58">
        <v>15014</v>
      </c>
      <c r="AM28" s="57">
        <v>14121</v>
      </c>
      <c r="AN28" s="57">
        <v>13826</v>
      </c>
      <c r="AO28" s="57">
        <v>13942</v>
      </c>
      <c r="AP28" s="196"/>
      <c r="AQ28" s="831">
        <v>10310</v>
      </c>
      <c r="AR28" s="831">
        <v>9536</v>
      </c>
      <c r="AS28" s="55">
        <v>569</v>
      </c>
      <c r="AT28" s="46">
        <v>5.6003937007874018E-2</v>
      </c>
      <c r="AU28" s="53"/>
      <c r="AV28" s="58">
        <v>10729</v>
      </c>
      <c r="AW28" s="58">
        <v>10160</v>
      </c>
      <c r="AX28" s="58">
        <v>10429</v>
      </c>
      <c r="AY28" s="58">
        <v>14828</v>
      </c>
      <c r="AZ28" s="58">
        <v>16985</v>
      </c>
      <c r="BA28" s="58">
        <v>12922</v>
      </c>
      <c r="BB28" s="58">
        <v>9184</v>
      </c>
      <c r="BC28" s="58">
        <v>14295</v>
      </c>
      <c r="BD28" s="58">
        <v>15014</v>
      </c>
      <c r="BE28" s="58">
        <v>14310</v>
      </c>
      <c r="BF28" s="58">
        <v>9967</v>
      </c>
      <c r="BG28" s="58">
        <v>8292</v>
      </c>
      <c r="BH28" s="701"/>
    </row>
    <row r="29" spans="1:60" ht="13.5" customHeight="1" x14ac:dyDescent="0.2">
      <c r="A29" s="8"/>
      <c r="B29" s="736" t="s">
        <v>292</v>
      </c>
      <c r="C29" s="56">
        <v>1607</v>
      </c>
      <c r="D29" s="755">
        <v>7.9728120658860882E-2</v>
      </c>
      <c r="E29" s="519"/>
      <c r="F29" s="55">
        <v>21763</v>
      </c>
      <c r="G29" s="55">
        <v>20307</v>
      </c>
      <c r="H29" s="55">
        <v>20420</v>
      </c>
      <c r="I29" s="57">
        <v>20486</v>
      </c>
      <c r="J29" s="55">
        <v>20156</v>
      </c>
      <c r="K29" s="55">
        <v>18984</v>
      </c>
      <c r="L29" s="55">
        <v>17655</v>
      </c>
      <c r="M29" s="57">
        <v>16125</v>
      </c>
      <c r="N29" s="55">
        <v>15936</v>
      </c>
      <c r="O29" s="55">
        <v>15228</v>
      </c>
      <c r="P29" s="55">
        <v>13122</v>
      </c>
      <c r="Q29" s="57">
        <v>12583</v>
      </c>
      <c r="R29" s="55">
        <v>13087.2</v>
      </c>
      <c r="S29" s="55">
        <v>0</v>
      </c>
      <c r="T29" s="55">
        <v>0</v>
      </c>
      <c r="U29" s="57">
        <v>0</v>
      </c>
      <c r="V29" s="55">
        <v>0</v>
      </c>
      <c r="W29" s="55">
        <v>0</v>
      </c>
      <c r="X29" s="55">
        <v>0</v>
      </c>
      <c r="Y29" s="57">
        <v>0</v>
      </c>
      <c r="Z29" s="55">
        <v>0</v>
      </c>
      <c r="AA29" s="55">
        <v>423</v>
      </c>
      <c r="AB29" s="55">
        <v>453</v>
      </c>
      <c r="AC29" s="57">
        <v>443</v>
      </c>
      <c r="AD29" s="55">
        <v>393</v>
      </c>
      <c r="AE29" s="55">
        <v>454</v>
      </c>
      <c r="AF29" s="55">
        <v>609</v>
      </c>
      <c r="AG29" s="55">
        <v>747</v>
      </c>
      <c r="AH29" s="56">
        <v>730</v>
      </c>
      <c r="AI29" s="55">
        <v>760</v>
      </c>
      <c r="AJ29" s="55">
        <v>777</v>
      </c>
      <c r="AK29" s="55">
        <v>815</v>
      </c>
      <c r="AL29" s="58">
        <v>807</v>
      </c>
      <c r="AM29" s="57">
        <v>814</v>
      </c>
      <c r="AN29" s="57">
        <v>745</v>
      </c>
      <c r="AO29" s="57">
        <v>712</v>
      </c>
      <c r="AP29" s="196"/>
      <c r="AQ29" s="831">
        <v>20307</v>
      </c>
      <c r="AR29" s="831">
        <v>18984</v>
      </c>
      <c r="AS29" s="55">
        <v>1607</v>
      </c>
      <c r="AT29" s="46">
        <v>7.9728120658860882E-2</v>
      </c>
      <c r="AU29" s="53"/>
      <c r="AV29" s="58">
        <v>21763</v>
      </c>
      <c r="AW29" s="58">
        <v>20156</v>
      </c>
      <c r="AX29" s="58">
        <v>15936</v>
      </c>
      <c r="AY29" s="58">
        <v>13087.2</v>
      </c>
      <c r="AZ29" s="58">
        <v>0</v>
      </c>
      <c r="BA29" s="58">
        <v>0</v>
      </c>
      <c r="BB29" s="58">
        <v>0</v>
      </c>
      <c r="BC29" s="58">
        <v>0</v>
      </c>
      <c r="BD29" s="58">
        <v>807</v>
      </c>
      <c r="BE29" s="58">
        <v>613</v>
      </c>
      <c r="BF29" s="58">
        <v>380</v>
      </c>
      <c r="BG29" s="58">
        <v>237</v>
      </c>
      <c r="BH29" s="701"/>
    </row>
    <row r="30" spans="1:60" ht="13.5" customHeight="1" x14ac:dyDescent="0.2">
      <c r="A30" s="8"/>
      <c r="B30" s="736" t="s">
        <v>314</v>
      </c>
      <c r="C30" s="56">
        <v>281</v>
      </c>
      <c r="D30" s="755">
        <v>0.50630630630630635</v>
      </c>
      <c r="E30" s="519"/>
      <c r="F30" s="55">
        <v>836</v>
      </c>
      <c r="G30" s="55">
        <v>634</v>
      </c>
      <c r="H30" s="55">
        <v>569</v>
      </c>
      <c r="I30" s="57">
        <v>631</v>
      </c>
      <c r="J30" s="55">
        <v>555</v>
      </c>
      <c r="K30" s="55">
        <v>463</v>
      </c>
      <c r="L30" s="55">
        <v>411</v>
      </c>
      <c r="M30" s="57">
        <v>360</v>
      </c>
      <c r="N30" s="55">
        <v>451</v>
      </c>
      <c r="O30" s="55">
        <v>408</v>
      </c>
      <c r="P30" s="55">
        <v>354</v>
      </c>
      <c r="Q30" s="57">
        <v>305.20875765857699</v>
      </c>
      <c r="R30" s="55">
        <v>0</v>
      </c>
      <c r="S30" s="55">
        <v>0</v>
      </c>
      <c r="T30" s="55">
        <v>0</v>
      </c>
      <c r="U30" s="57">
        <v>0</v>
      </c>
      <c r="V30" s="55">
        <v>0</v>
      </c>
      <c r="W30" s="55">
        <v>0</v>
      </c>
      <c r="X30" s="55">
        <v>0</v>
      </c>
      <c r="Y30" s="57">
        <v>0</v>
      </c>
      <c r="Z30" s="55"/>
      <c r="AA30" s="55"/>
      <c r="AB30" s="55"/>
      <c r="AC30" s="57"/>
      <c r="AD30" s="55"/>
      <c r="AE30" s="55"/>
      <c r="AF30" s="55"/>
      <c r="AG30" s="55"/>
      <c r="AH30" s="55"/>
      <c r="AI30" s="55"/>
      <c r="AJ30" s="55"/>
      <c r="AK30" s="55"/>
      <c r="AL30" s="58"/>
      <c r="AM30" s="57"/>
      <c r="AN30" s="57"/>
      <c r="AO30" s="57"/>
      <c r="AP30" s="196"/>
      <c r="AQ30" s="831">
        <v>634</v>
      </c>
      <c r="AR30" s="831">
        <v>463</v>
      </c>
      <c r="AS30" s="55">
        <v>281</v>
      </c>
      <c r="AT30" s="46">
        <v>0.50630630630630635</v>
      </c>
      <c r="AU30" s="53"/>
      <c r="AV30" s="58">
        <v>836</v>
      </c>
      <c r="AW30" s="58">
        <v>555</v>
      </c>
      <c r="AX30" s="58">
        <v>451</v>
      </c>
      <c r="AY30" s="58">
        <v>0</v>
      </c>
      <c r="AZ30" s="58">
        <v>0</v>
      </c>
      <c r="BA30" s="58">
        <v>0</v>
      </c>
      <c r="BB30" s="58">
        <v>0</v>
      </c>
      <c r="BC30" s="58">
        <v>0</v>
      </c>
      <c r="BD30" s="58"/>
      <c r="BE30" s="58"/>
      <c r="BF30" s="58"/>
      <c r="BG30" s="58"/>
      <c r="BH30" s="701"/>
    </row>
    <row r="31" spans="1:60" ht="12.75" customHeight="1" x14ac:dyDescent="0.2">
      <c r="A31" s="8"/>
      <c r="B31" s="736" t="s">
        <v>290</v>
      </c>
      <c r="C31" s="56">
        <v>2457</v>
      </c>
      <c r="D31" s="755">
        <v>7.9589258527420562E-2</v>
      </c>
      <c r="E31" s="519"/>
      <c r="F31" s="55">
        <v>33328</v>
      </c>
      <c r="G31" s="55">
        <v>31251</v>
      </c>
      <c r="H31" s="55">
        <v>31746</v>
      </c>
      <c r="I31" s="57">
        <v>32075</v>
      </c>
      <c r="J31" s="55">
        <v>30871</v>
      </c>
      <c r="K31" s="55">
        <v>28983</v>
      </c>
      <c r="L31" s="55">
        <v>27493</v>
      </c>
      <c r="M31" s="57">
        <v>25810</v>
      </c>
      <c r="N31" s="55">
        <v>26816</v>
      </c>
      <c r="O31" s="55">
        <v>27039</v>
      </c>
      <c r="P31" s="55">
        <v>26820</v>
      </c>
      <c r="Q31" s="57">
        <v>26025.208757658576</v>
      </c>
      <c r="R31" s="55">
        <v>27915.200000000001</v>
      </c>
      <c r="S31" s="55">
        <v>14367</v>
      </c>
      <c r="T31" s="55">
        <v>14635</v>
      </c>
      <c r="U31" s="57">
        <v>15676</v>
      </c>
      <c r="V31" s="55">
        <v>16985</v>
      </c>
      <c r="W31" s="55">
        <v>16006</v>
      </c>
      <c r="X31" s="55">
        <v>13895</v>
      </c>
      <c r="Y31" s="57">
        <v>12571</v>
      </c>
      <c r="Z31" s="55">
        <v>12922</v>
      </c>
      <c r="AA31" s="55"/>
      <c r="AB31" s="55"/>
      <c r="AC31" s="57"/>
      <c r="AD31" s="55"/>
      <c r="AE31" s="55"/>
      <c r="AF31" s="55"/>
      <c r="AG31" s="55"/>
      <c r="AH31" s="55"/>
      <c r="AI31" s="55"/>
      <c r="AJ31" s="55"/>
      <c r="AK31" s="55"/>
      <c r="AL31" s="58"/>
      <c r="AM31" s="57"/>
      <c r="AN31" s="57"/>
      <c r="AO31" s="57"/>
      <c r="AP31" s="196"/>
      <c r="AQ31" s="831">
        <v>31251</v>
      </c>
      <c r="AR31" s="831">
        <v>28983</v>
      </c>
      <c r="AS31" s="55">
        <v>2457</v>
      </c>
      <c r="AT31" s="46">
        <v>7.9589258527420562E-2</v>
      </c>
      <c r="AU31" s="53"/>
      <c r="AV31" s="58">
        <v>33328</v>
      </c>
      <c r="AW31" s="58">
        <v>30871</v>
      </c>
      <c r="AX31" s="58">
        <v>26816</v>
      </c>
      <c r="AY31" s="58">
        <v>27915.200000000001</v>
      </c>
      <c r="AZ31" s="58">
        <v>16985</v>
      </c>
      <c r="BA31" s="58">
        <v>12922</v>
      </c>
      <c r="BB31" s="58">
        <v>9184</v>
      </c>
      <c r="BC31" s="58">
        <v>14295</v>
      </c>
      <c r="BD31" s="58"/>
      <c r="BE31" s="58"/>
      <c r="BF31" s="58"/>
      <c r="BG31" s="58"/>
      <c r="BH31" s="701"/>
    </row>
    <row r="32" spans="1:60" ht="9.75" customHeight="1" x14ac:dyDescent="0.2">
      <c r="A32" s="8"/>
      <c r="B32" s="7"/>
      <c r="C32" s="56"/>
      <c r="D32" s="46"/>
      <c r="E32" s="519"/>
      <c r="F32" s="47"/>
      <c r="G32" s="47"/>
      <c r="H32" s="1"/>
      <c r="I32" s="362"/>
      <c r="J32" s="47"/>
      <c r="K32" s="47"/>
      <c r="L32" s="1"/>
      <c r="M32" s="362"/>
      <c r="N32" s="47"/>
      <c r="O32" s="47"/>
      <c r="P32" s="1"/>
      <c r="Q32" s="362"/>
      <c r="R32" s="47"/>
      <c r="S32" s="47"/>
      <c r="T32" s="1"/>
      <c r="U32" s="362"/>
      <c r="V32" s="47"/>
      <c r="W32" s="47"/>
      <c r="X32" s="1"/>
      <c r="Y32" s="362"/>
      <c r="Z32" s="47"/>
      <c r="AA32" s="47"/>
      <c r="AB32" s="1"/>
      <c r="AC32" s="362"/>
      <c r="AD32" s="47"/>
      <c r="AE32" s="47"/>
      <c r="AF32" s="1"/>
      <c r="AG32" s="362"/>
      <c r="AH32" s="55"/>
      <c r="AI32" s="55"/>
      <c r="AJ32" s="55"/>
      <c r="AK32" s="55"/>
      <c r="AL32" s="58"/>
      <c r="AM32" s="57"/>
      <c r="AN32" s="57"/>
      <c r="AO32" s="57"/>
      <c r="AP32" s="196"/>
      <c r="AQ32" s="1"/>
      <c r="AR32" s="1"/>
      <c r="AS32" s="55"/>
      <c r="AT32" s="46"/>
      <c r="AU32" s="53"/>
      <c r="AV32" s="58"/>
      <c r="AW32" s="58"/>
      <c r="AX32" s="58"/>
      <c r="AY32" s="58"/>
      <c r="AZ32" s="58"/>
      <c r="BA32" s="58"/>
      <c r="BB32" s="58"/>
      <c r="BC32" s="58"/>
      <c r="BD32" s="58"/>
      <c r="BE32" s="349"/>
      <c r="BF32" s="349"/>
      <c r="BG32" s="349"/>
      <c r="BH32" s="701"/>
    </row>
    <row r="33" spans="1:60" ht="12.75" customHeight="1" x14ac:dyDescent="0.2">
      <c r="A33" s="615" t="s">
        <v>12</v>
      </c>
      <c r="B33" s="7"/>
      <c r="C33" s="56"/>
      <c r="D33" s="46"/>
      <c r="E33" s="519"/>
      <c r="F33" s="47"/>
      <c r="G33" s="47"/>
      <c r="H33" s="1"/>
      <c r="I33" s="362"/>
      <c r="J33" s="47"/>
      <c r="K33" s="47"/>
      <c r="L33" s="1"/>
      <c r="M33" s="362"/>
      <c r="N33" s="47"/>
      <c r="O33" s="47"/>
      <c r="P33" s="1"/>
      <c r="Q33" s="362"/>
      <c r="R33" s="47"/>
      <c r="S33" s="47"/>
      <c r="T33" s="1"/>
      <c r="U33" s="362"/>
      <c r="V33" s="47"/>
      <c r="W33" s="47"/>
      <c r="X33" s="1"/>
      <c r="Y33" s="362"/>
      <c r="Z33" s="47"/>
      <c r="AA33" s="47"/>
      <c r="AB33" s="1"/>
      <c r="AC33" s="362"/>
      <c r="AD33" s="47"/>
      <c r="AE33" s="47"/>
      <c r="AF33" s="1"/>
      <c r="AG33" s="362"/>
      <c r="AH33" s="55"/>
      <c r="AI33" s="55"/>
      <c r="AJ33" s="55"/>
      <c r="AK33" s="55"/>
      <c r="AL33" s="58"/>
      <c r="AM33" s="57"/>
      <c r="AN33" s="57"/>
      <c r="AO33" s="57"/>
      <c r="AP33" s="196"/>
      <c r="AQ33" s="1"/>
      <c r="AR33" s="1"/>
      <c r="AS33" s="55"/>
      <c r="AT33" s="46"/>
      <c r="AU33" s="53"/>
      <c r="AV33" s="58"/>
      <c r="AW33" s="58"/>
      <c r="AX33" s="58"/>
      <c r="AY33" s="58"/>
      <c r="AZ33" s="58"/>
      <c r="BA33" s="58"/>
      <c r="BB33" s="58"/>
      <c r="BC33" s="58"/>
      <c r="BD33" s="58"/>
      <c r="BE33" s="58"/>
      <c r="BF33" s="58"/>
      <c r="BG33" s="58"/>
      <c r="BH33" s="701"/>
    </row>
    <row r="34" spans="1:60" ht="12.75" customHeight="1" x14ac:dyDescent="0.2">
      <c r="A34" s="7" t="s">
        <v>13</v>
      </c>
      <c r="B34" s="7"/>
      <c r="C34" s="56"/>
      <c r="D34" s="46"/>
      <c r="E34" s="519"/>
      <c r="F34" s="47"/>
      <c r="G34" s="47"/>
      <c r="H34" s="1"/>
      <c r="I34" s="362"/>
      <c r="J34" s="47"/>
      <c r="K34" s="47"/>
      <c r="L34" s="1"/>
      <c r="M34" s="362"/>
      <c r="N34" s="47"/>
      <c r="O34" s="47"/>
      <c r="P34" s="1"/>
      <c r="Q34" s="362"/>
      <c r="R34" s="47"/>
      <c r="S34" s="47"/>
      <c r="T34" s="1"/>
      <c r="U34" s="362"/>
      <c r="V34" s="47"/>
      <c r="W34" s="47"/>
      <c r="X34" s="1"/>
      <c r="Y34" s="362"/>
      <c r="Z34" s="47"/>
      <c r="AA34" s="47"/>
      <c r="AB34" s="1"/>
      <c r="AC34" s="362"/>
      <c r="AD34" s="47"/>
      <c r="AE34" s="47"/>
      <c r="AF34" s="1"/>
      <c r="AG34" s="362"/>
      <c r="AH34" s="55"/>
      <c r="AI34" s="55"/>
      <c r="AJ34" s="55"/>
      <c r="AK34" s="55"/>
      <c r="AL34" s="58"/>
      <c r="AM34" s="57"/>
      <c r="AN34" s="57"/>
      <c r="AO34" s="57"/>
      <c r="AP34" s="196"/>
      <c r="AQ34" s="1"/>
      <c r="AR34" s="1"/>
      <c r="AS34" s="55"/>
      <c r="AT34" s="46"/>
      <c r="AU34" s="53"/>
      <c r="AV34" s="58"/>
      <c r="AW34" s="58"/>
      <c r="AX34" s="58"/>
      <c r="AY34" s="58"/>
      <c r="AZ34" s="58"/>
      <c r="BA34" s="58"/>
      <c r="BB34" s="58"/>
      <c r="BC34" s="58"/>
      <c r="BD34" s="58"/>
      <c r="BE34" s="58"/>
      <c r="BF34" s="58"/>
      <c r="BG34" s="58"/>
      <c r="BH34" s="701"/>
    </row>
    <row r="35" spans="1:60" ht="12.75" customHeight="1" x14ac:dyDescent="0.2">
      <c r="A35" s="7"/>
      <c r="B35" s="7" t="s">
        <v>435</v>
      </c>
      <c r="C35" s="1439">
        <v>-0.57000000000000006</v>
      </c>
      <c r="D35" s="755">
        <v>-2.3750000000000004</v>
      </c>
      <c r="E35" s="519"/>
      <c r="F35" s="51">
        <v>-0.33</v>
      </c>
      <c r="G35" s="51">
        <v>-0.27</v>
      </c>
      <c r="H35" s="51">
        <v>0.16</v>
      </c>
      <c r="I35" s="601">
        <v>0.16</v>
      </c>
      <c r="J35" s="51">
        <v>0.24</v>
      </c>
      <c r="K35" s="63">
        <v>0.15</v>
      </c>
      <c r="L35" s="51">
        <v>-0.03</v>
      </c>
      <c r="M35" s="601">
        <v>0.06</v>
      </c>
      <c r="N35" s="51">
        <v>0.04</v>
      </c>
      <c r="O35" s="63">
        <v>0.09</v>
      </c>
      <c r="P35" s="51">
        <v>-0.19</v>
      </c>
      <c r="Q35" s="601">
        <v>-0.24</v>
      </c>
      <c r="R35" s="51">
        <v>-0.42</v>
      </c>
      <c r="S35" s="63">
        <v>0.02</v>
      </c>
      <c r="T35" s="51">
        <v>-0.09</v>
      </c>
      <c r="U35" s="610">
        <v>0.17</v>
      </c>
      <c r="V35" s="63">
        <v>0.55000000000000004</v>
      </c>
      <c r="W35" s="63">
        <v>0.56999999999999995</v>
      </c>
      <c r="X35" s="51">
        <v>0.14000000000000001</v>
      </c>
      <c r="Y35" s="610">
        <v>0.08</v>
      </c>
      <c r="Z35" s="63">
        <v>0.15</v>
      </c>
      <c r="AA35" s="51">
        <v>0.31</v>
      </c>
      <c r="AB35" s="51">
        <v>0.14000000000000001</v>
      </c>
      <c r="AC35" s="362">
        <v>0.19</v>
      </c>
      <c r="AD35" s="63">
        <v>7.0000000000000007E-2</v>
      </c>
      <c r="AE35" s="51">
        <v>-1.27</v>
      </c>
      <c r="AF35" s="51">
        <v>-0.11</v>
      </c>
      <c r="AG35" s="362">
        <v>0.35</v>
      </c>
      <c r="AH35" s="51">
        <v>-0.8</v>
      </c>
      <c r="AI35" s="51">
        <v>0.34</v>
      </c>
      <c r="AJ35" s="51">
        <v>0.28000000000000003</v>
      </c>
      <c r="AK35" s="51">
        <v>0.86</v>
      </c>
      <c r="AL35" s="48">
        <v>0.56999999999999995</v>
      </c>
      <c r="AM35" s="60">
        <v>0.51</v>
      </c>
      <c r="AN35" s="60">
        <v>0.39</v>
      </c>
      <c r="AO35" s="60">
        <v>0.56999999999999995</v>
      </c>
      <c r="AP35" s="196"/>
      <c r="AQ35" s="51">
        <v>0.05</v>
      </c>
      <c r="AR35" s="51">
        <v>0.18</v>
      </c>
      <c r="AS35" s="61">
        <v>-0.69</v>
      </c>
      <c r="AT35" s="46">
        <v>-1.6428571428571428</v>
      </c>
      <c r="AU35" s="53"/>
      <c r="AV35" s="48">
        <v>-0.27</v>
      </c>
      <c r="AW35" s="48">
        <v>0.42</v>
      </c>
      <c r="AX35" s="48">
        <v>-0.31</v>
      </c>
      <c r="AY35" s="48">
        <v>-0.33</v>
      </c>
      <c r="AZ35" s="48">
        <v>1.37</v>
      </c>
      <c r="BA35" s="48">
        <v>0.79</v>
      </c>
      <c r="BB35" s="48">
        <v>-0.97</v>
      </c>
      <c r="BC35" s="48">
        <v>0.7</v>
      </c>
      <c r="BD35" s="48">
        <v>2.0299999999999998</v>
      </c>
      <c r="BE35" s="48">
        <v>1.82</v>
      </c>
      <c r="BF35" s="48">
        <v>1.17</v>
      </c>
      <c r="BG35" s="48">
        <v>1.43</v>
      </c>
      <c r="BH35" s="701"/>
    </row>
    <row r="36" spans="1:60" ht="12.75" customHeight="1" x14ac:dyDescent="0.2">
      <c r="A36" s="7"/>
      <c r="B36" s="7" t="s">
        <v>434</v>
      </c>
      <c r="C36" s="1439">
        <v>-0.55000000000000004</v>
      </c>
      <c r="D36" s="755">
        <v>-2.5</v>
      </c>
      <c r="E36" s="519"/>
      <c r="F36" s="51">
        <v>-0.33</v>
      </c>
      <c r="G36" s="51">
        <v>-0.27</v>
      </c>
      <c r="H36" s="51">
        <v>0.14000000000000001</v>
      </c>
      <c r="I36" s="601">
        <v>0.15</v>
      </c>
      <c r="J36" s="51">
        <v>0.22</v>
      </c>
      <c r="K36" s="63">
        <v>0.14000000000000001</v>
      </c>
      <c r="L36" s="51">
        <v>-0.03</v>
      </c>
      <c r="M36" s="601">
        <v>0.06</v>
      </c>
      <c r="N36" s="51">
        <v>0.04</v>
      </c>
      <c r="O36" s="63">
        <v>0.08</v>
      </c>
      <c r="P36" s="51">
        <v>-0.19</v>
      </c>
      <c r="Q36" s="601">
        <v>-0.24</v>
      </c>
      <c r="R36" s="51">
        <v>-0.42</v>
      </c>
      <c r="S36" s="63">
        <v>0.01</v>
      </c>
      <c r="T36" s="51">
        <v>-0.09</v>
      </c>
      <c r="U36" s="610">
        <v>0.16</v>
      </c>
      <c r="V36" s="63">
        <v>0.49</v>
      </c>
      <c r="W36" s="63">
        <v>0.51</v>
      </c>
      <c r="X36" s="51">
        <v>0.12</v>
      </c>
      <c r="Y36" s="610">
        <v>7.0000000000000007E-2</v>
      </c>
      <c r="Z36" s="63">
        <v>0.14000000000000001</v>
      </c>
      <c r="AA36" s="51">
        <v>0.27</v>
      </c>
      <c r="AB36" s="51">
        <v>0.12</v>
      </c>
      <c r="AC36" s="362">
        <v>0.16</v>
      </c>
      <c r="AD36" s="63">
        <v>7.0000000000000007E-2</v>
      </c>
      <c r="AE36" s="51">
        <v>-1.27</v>
      </c>
      <c r="AF36" s="51">
        <v>-0.11</v>
      </c>
      <c r="AG36" s="362">
        <v>0.31</v>
      </c>
      <c r="AH36" s="51">
        <v>-0.8</v>
      </c>
      <c r="AI36" s="51">
        <v>0.31</v>
      </c>
      <c r="AJ36" s="51">
        <v>0.26</v>
      </c>
      <c r="AK36" s="51">
        <v>0.8</v>
      </c>
      <c r="AL36" s="48">
        <v>0.54</v>
      </c>
      <c r="AM36" s="60">
        <v>0.49</v>
      </c>
      <c r="AN36" s="60">
        <v>0.37</v>
      </c>
      <c r="AO36" s="60">
        <v>0.54</v>
      </c>
      <c r="AP36" s="196"/>
      <c r="AQ36" s="51">
        <v>0.05</v>
      </c>
      <c r="AR36" s="51">
        <v>0.16</v>
      </c>
      <c r="AS36" s="61">
        <v>-0.66</v>
      </c>
      <c r="AT36" s="46">
        <v>-1.6923076923076923</v>
      </c>
      <c r="AU36" s="53"/>
      <c r="AV36" s="48">
        <v>-0.27</v>
      </c>
      <c r="AW36" s="48">
        <v>0.39</v>
      </c>
      <c r="AX36" s="48">
        <v>-0.31</v>
      </c>
      <c r="AY36" s="48">
        <v>-0.33</v>
      </c>
      <c r="AZ36" s="48">
        <v>1.22</v>
      </c>
      <c r="BA36" s="48">
        <v>0.69</v>
      </c>
      <c r="BB36" s="48">
        <v>-0.97</v>
      </c>
      <c r="BC36" s="48">
        <v>0.64</v>
      </c>
      <c r="BD36" s="48">
        <v>1.94</v>
      </c>
      <c r="BE36" s="48">
        <v>1.74</v>
      </c>
      <c r="BF36" s="48">
        <v>1.1100000000000001</v>
      </c>
      <c r="BG36" s="48">
        <v>1.1200000000000001</v>
      </c>
      <c r="BH36" s="701"/>
    </row>
    <row r="37" spans="1:60" ht="12.75" customHeight="1" x14ac:dyDescent="0.2">
      <c r="A37" s="7"/>
      <c r="B37" s="7" t="s">
        <v>293</v>
      </c>
      <c r="C37" s="1439">
        <v>-0.34071674992177847</v>
      </c>
      <c r="D37" s="755">
        <v>-3.764825965986502E-2</v>
      </c>
      <c r="E37" s="519"/>
      <c r="F37" s="51">
        <v>8.7092832500782222</v>
      </c>
      <c r="G37" s="32">
        <v>8.6300000000000008</v>
      </c>
      <c r="H37" s="51">
        <v>8.9</v>
      </c>
      <c r="I37" s="601">
        <v>8.6999999999999993</v>
      </c>
      <c r="J37" s="51">
        <v>9.0500000000000007</v>
      </c>
      <c r="K37" s="614">
        <v>8.43</v>
      </c>
      <c r="L37" s="51">
        <v>8</v>
      </c>
      <c r="M37" s="601">
        <v>7.8690965112156039</v>
      </c>
      <c r="N37" s="51">
        <v>7.6805825717690102</v>
      </c>
      <c r="O37" s="614">
        <v>7.619629128942214</v>
      </c>
      <c r="P37" s="51">
        <v>7.6129029043796193</v>
      </c>
      <c r="Q37" s="610">
        <v>7.9000240300341398</v>
      </c>
      <c r="R37" s="51">
        <v>8.26</v>
      </c>
      <c r="S37" s="63">
        <v>8.54362469180208</v>
      </c>
      <c r="T37" s="51">
        <v>8.7541612287663693</v>
      </c>
      <c r="U37" s="610">
        <v>8.7073727909457759</v>
      </c>
      <c r="V37" s="63">
        <v>8.7928854314765257</v>
      </c>
      <c r="W37" s="63">
        <v>8.4331234596167377</v>
      </c>
      <c r="X37" s="51">
        <v>8.047419145036363</v>
      </c>
      <c r="Y37" s="610">
        <v>7.8610513978754888</v>
      </c>
      <c r="Z37" s="63">
        <v>6.96</v>
      </c>
      <c r="AA37" s="51">
        <v>7</v>
      </c>
      <c r="AB37" s="51">
        <v>6.78</v>
      </c>
      <c r="AC37" s="362">
        <v>6.73</v>
      </c>
      <c r="AD37" s="63">
        <v>6.51</v>
      </c>
      <c r="AE37" s="63">
        <v>6.37</v>
      </c>
      <c r="AF37" s="1">
        <v>7.15</v>
      </c>
      <c r="AG37" s="362">
        <v>7.66</v>
      </c>
      <c r="AH37" s="61">
        <v>7.21</v>
      </c>
      <c r="AI37" s="61">
        <v>7.95</v>
      </c>
      <c r="AJ37" s="61">
        <v>7.83</v>
      </c>
      <c r="AK37" s="61">
        <v>7.96</v>
      </c>
      <c r="AL37" s="66">
        <v>7.74</v>
      </c>
      <c r="AM37" s="62">
        <v>7.43</v>
      </c>
      <c r="AN37" s="62">
        <v>6.84</v>
      </c>
      <c r="AO37" s="62">
        <v>6.49</v>
      </c>
      <c r="AP37" s="196"/>
      <c r="AQ37" s="51">
        <v>8.6300000000000008</v>
      </c>
      <c r="AR37" s="51">
        <v>8.43</v>
      </c>
      <c r="AS37" s="61">
        <v>-0.34071674992177847</v>
      </c>
      <c r="AT37" s="46">
        <v>-3.764825965986502E-2</v>
      </c>
      <c r="AU37" s="53"/>
      <c r="AV37" s="48">
        <v>8.7092832500782222</v>
      </c>
      <c r="AW37" s="48">
        <v>9.0500000000000007</v>
      </c>
      <c r="AX37" s="48">
        <v>7.6805825717690102</v>
      </c>
      <c r="AY37" s="48">
        <v>8.26</v>
      </c>
      <c r="AZ37" s="48">
        <v>8.7885987238297076</v>
      </c>
      <c r="BA37" s="48">
        <v>6.96</v>
      </c>
      <c r="BB37" s="48">
        <v>6.51</v>
      </c>
      <c r="BC37" s="48">
        <v>7.21</v>
      </c>
      <c r="BD37" s="48">
        <v>7.74</v>
      </c>
      <c r="BE37" s="48">
        <v>5.99</v>
      </c>
      <c r="BF37" s="48">
        <v>4.82</v>
      </c>
      <c r="BG37" s="48">
        <v>2.59</v>
      </c>
      <c r="BH37" s="701"/>
    </row>
    <row r="38" spans="1:60" ht="9.75" customHeight="1" x14ac:dyDescent="0.2">
      <c r="A38" s="8"/>
      <c r="B38" s="7"/>
      <c r="C38" s="86"/>
      <c r="D38" s="46"/>
      <c r="E38" s="519"/>
      <c r="F38" s="47"/>
      <c r="G38" s="47"/>
      <c r="H38" s="1"/>
      <c r="I38" s="362"/>
      <c r="J38" s="47"/>
      <c r="K38" s="47"/>
      <c r="L38" s="1"/>
      <c r="M38" s="362"/>
      <c r="N38" s="47"/>
      <c r="O38" s="47"/>
      <c r="P38" s="1"/>
      <c r="Q38" s="362"/>
      <c r="R38" s="47"/>
      <c r="S38" s="47"/>
      <c r="T38" s="1"/>
      <c r="U38" s="362"/>
      <c r="V38" s="47"/>
      <c r="W38" s="47"/>
      <c r="X38" s="1"/>
      <c r="Y38" s="362"/>
      <c r="Z38" s="47"/>
      <c r="AA38" s="47"/>
      <c r="AB38" s="1"/>
      <c r="AC38" s="362"/>
      <c r="AD38" s="47"/>
      <c r="AE38" s="47"/>
      <c r="AF38" s="1"/>
      <c r="AG38" s="362"/>
      <c r="AH38" s="55"/>
      <c r="AI38" s="55"/>
      <c r="AJ38" s="55"/>
      <c r="AK38" s="55"/>
      <c r="AL38" s="58"/>
      <c r="AM38" s="57"/>
      <c r="AN38" s="57"/>
      <c r="AO38" s="57"/>
      <c r="AP38" s="196"/>
      <c r="AQ38" s="1"/>
      <c r="AR38" s="1"/>
      <c r="AS38" s="380"/>
      <c r="AT38" s="46"/>
      <c r="AU38" s="53"/>
      <c r="AV38" s="58"/>
      <c r="AW38" s="58"/>
      <c r="AX38" s="58"/>
      <c r="AY38" s="58"/>
      <c r="AZ38" s="58"/>
      <c r="BA38" s="58"/>
      <c r="BB38" s="58"/>
      <c r="BC38" s="58"/>
      <c r="BD38" s="58"/>
      <c r="BE38" s="58"/>
      <c r="BF38" s="58"/>
      <c r="BG38" s="58"/>
      <c r="BH38" s="701"/>
    </row>
    <row r="39" spans="1:60" ht="12.75" customHeight="1" x14ac:dyDescent="0.2">
      <c r="A39" s="7" t="s">
        <v>14</v>
      </c>
      <c r="B39" s="7"/>
      <c r="C39" s="86"/>
      <c r="D39" s="46"/>
      <c r="E39" s="519"/>
      <c r="F39" s="47"/>
      <c r="G39" s="47"/>
      <c r="H39" s="1"/>
      <c r="I39" s="362"/>
      <c r="J39" s="47"/>
      <c r="K39" s="47"/>
      <c r="L39" s="1"/>
      <c r="M39" s="362"/>
      <c r="N39" s="47"/>
      <c r="O39" s="47"/>
      <c r="P39" s="1"/>
      <c r="Q39" s="362"/>
      <c r="R39" s="47"/>
      <c r="S39" s="47"/>
      <c r="T39" s="1"/>
      <c r="U39" s="362"/>
      <c r="V39" s="47"/>
      <c r="W39" s="47"/>
      <c r="X39" s="1"/>
      <c r="Y39" s="362"/>
      <c r="Z39" s="47"/>
      <c r="AA39" s="47"/>
      <c r="AB39" s="1"/>
      <c r="AC39" s="362"/>
      <c r="AD39" s="47"/>
      <c r="AE39" s="47"/>
      <c r="AF39" s="1"/>
      <c r="AG39" s="362"/>
      <c r="AH39" s="55"/>
      <c r="AI39" s="55"/>
      <c r="AJ39" s="55"/>
      <c r="AK39" s="55"/>
      <c r="AL39" s="58"/>
      <c r="AM39" s="57"/>
      <c r="AN39" s="57"/>
      <c r="AO39" s="57"/>
      <c r="AP39" s="196"/>
      <c r="AQ39" s="1"/>
      <c r="AR39" s="1"/>
      <c r="AS39" s="380"/>
      <c r="AT39" s="46"/>
      <c r="AU39" s="53"/>
      <c r="AV39" s="58"/>
      <c r="AW39" s="58"/>
      <c r="AX39" s="58"/>
      <c r="AY39" s="58"/>
      <c r="AZ39" s="58"/>
      <c r="BA39" s="58"/>
      <c r="BB39" s="58"/>
      <c r="BC39" s="58"/>
      <c r="BD39" s="58"/>
      <c r="BE39" s="58"/>
      <c r="BF39" s="58"/>
      <c r="BG39" s="58"/>
      <c r="BH39" s="701"/>
    </row>
    <row r="40" spans="1:60" ht="12.75" customHeight="1" x14ac:dyDescent="0.2">
      <c r="A40" s="8"/>
      <c r="B40" s="7" t="s">
        <v>15</v>
      </c>
      <c r="C40" s="1439">
        <v>-0.59999999999999964</v>
      </c>
      <c r="D40" s="755">
        <v>-7.1005917159763274E-2</v>
      </c>
      <c r="E40" s="519"/>
      <c r="F40" s="63">
        <v>7.85</v>
      </c>
      <c r="G40" s="63">
        <v>11.47</v>
      </c>
      <c r="H40" s="63">
        <v>13.49</v>
      </c>
      <c r="I40" s="610">
        <v>13.05</v>
      </c>
      <c r="J40" s="63">
        <v>8.4499999999999993</v>
      </c>
      <c r="K40" s="63">
        <v>7</v>
      </c>
      <c r="L40" s="63">
        <v>7.06</v>
      </c>
      <c r="M40" s="610">
        <v>6.94</v>
      </c>
      <c r="N40" s="63">
        <v>7.93</v>
      </c>
      <c r="O40" s="63">
        <v>6.77</v>
      </c>
      <c r="P40" s="63">
        <v>6.45</v>
      </c>
      <c r="Q40" s="610">
        <v>8.3000000000000007</v>
      </c>
      <c r="R40" s="63">
        <v>9.44</v>
      </c>
      <c r="S40" s="63">
        <v>9.74</v>
      </c>
      <c r="T40" s="63">
        <v>13.05</v>
      </c>
      <c r="U40" s="610">
        <v>15.31</v>
      </c>
      <c r="V40" s="63">
        <v>16.41</v>
      </c>
      <c r="W40" s="63">
        <v>14.42</v>
      </c>
      <c r="X40" s="63">
        <v>10.89</v>
      </c>
      <c r="Y40" s="610">
        <v>11.48</v>
      </c>
      <c r="Z40" s="63">
        <v>11.34</v>
      </c>
      <c r="AA40" s="63">
        <v>11.87</v>
      </c>
      <c r="AB40" s="63">
        <v>10.71</v>
      </c>
      <c r="AC40" s="610">
        <v>8.41</v>
      </c>
      <c r="AD40" s="63">
        <v>5.53</v>
      </c>
      <c r="AE40" s="63">
        <v>8.19</v>
      </c>
      <c r="AF40" s="63">
        <v>9.33</v>
      </c>
      <c r="AG40" s="610">
        <v>11.75</v>
      </c>
      <c r="AH40" s="1">
        <v>16.329999999999998</v>
      </c>
      <c r="AI40" s="63">
        <v>20.58</v>
      </c>
      <c r="AJ40" s="64">
        <v>22.49</v>
      </c>
      <c r="AK40" s="63">
        <v>25.92</v>
      </c>
      <c r="AL40" s="422">
        <v>22.64</v>
      </c>
      <c r="AM40" s="65">
        <v>19.78</v>
      </c>
      <c r="AN40" s="601">
        <v>20.6</v>
      </c>
      <c r="AO40" s="65">
        <v>27.5</v>
      </c>
      <c r="AP40" s="196"/>
      <c r="AQ40" s="63">
        <v>13.49</v>
      </c>
      <c r="AR40" s="63">
        <v>7.06</v>
      </c>
      <c r="AS40" s="61">
        <v>5.0400000000000009</v>
      </c>
      <c r="AT40" s="46">
        <v>0.59644970414201204</v>
      </c>
      <c r="AU40" s="53"/>
      <c r="AV40" s="66">
        <v>13.49</v>
      </c>
      <c r="AW40" s="66">
        <v>8.4499999999999993</v>
      </c>
      <c r="AX40" s="66">
        <v>8.3000000000000007</v>
      </c>
      <c r="AY40" s="66">
        <v>15.31</v>
      </c>
      <c r="AZ40" s="66">
        <v>16.41</v>
      </c>
      <c r="BA40" s="66">
        <v>11.87</v>
      </c>
      <c r="BB40" s="66">
        <v>11.75</v>
      </c>
      <c r="BC40" s="66">
        <v>25.92</v>
      </c>
      <c r="BD40" s="66">
        <v>27.5</v>
      </c>
      <c r="BE40" s="66">
        <v>21.25</v>
      </c>
      <c r="BF40" s="66">
        <v>11.1</v>
      </c>
      <c r="BG40" s="66">
        <v>0</v>
      </c>
      <c r="BH40" s="701"/>
    </row>
    <row r="41" spans="1:60" ht="12.75" customHeight="1" x14ac:dyDescent="0.2">
      <c r="A41" s="8"/>
      <c r="B41" s="7" t="s">
        <v>16</v>
      </c>
      <c r="C41" s="1439">
        <v>-0.40000000000000036</v>
      </c>
      <c r="D41" s="755">
        <v>-6.1162079510703418E-2</v>
      </c>
      <c r="E41" s="519"/>
      <c r="F41" s="63">
        <v>6.14</v>
      </c>
      <c r="G41" s="63">
        <v>5.98</v>
      </c>
      <c r="H41" s="63">
        <v>10.73</v>
      </c>
      <c r="I41" s="610">
        <v>7.8</v>
      </c>
      <c r="J41" s="63">
        <v>6.54</v>
      </c>
      <c r="K41" s="63">
        <v>5.84</v>
      </c>
      <c r="L41" s="63">
        <v>5.37</v>
      </c>
      <c r="M41" s="610">
        <v>5.05</v>
      </c>
      <c r="N41" s="63">
        <v>6.44</v>
      </c>
      <c r="O41" s="63">
        <v>4.7</v>
      </c>
      <c r="P41" s="63">
        <v>4.03</v>
      </c>
      <c r="Q41" s="610">
        <v>4.91</v>
      </c>
      <c r="R41" s="63">
        <v>7.61</v>
      </c>
      <c r="S41" s="63">
        <v>6.94</v>
      </c>
      <c r="T41" s="63">
        <v>9.32</v>
      </c>
      <c r="U41" s="610">
        <v>11.65</v>
      </c>
      <c r="V41" s="63">
        <v>13.03</v>
      </c>
      <c r="W41" s="63">
        <v>10.09</v>
      </c>
      <c r="X41" s="63">
        <v>8.77</v>
      </c>
      <c r="Y41" s="610">
        <v>7.95</v>
      </c>
      <c r="Z41" s="63">
        <v>8.27</v>
      </c>
      <c r="AA41" s="63">
        <v>9.5</v>
      </c>
      <c r="AB41" s="63">
        <v>6.7</v>
      </c>
      <c r="AC41" s="610">
        <v>5.3</v>
      </c>
      <c r="AD41" s="63">
        <v>3.5</v>
      </c>
      <c r="AE41" s="63">
        <v>2.87</v>
      </c>
      <c r="AF41" s="63">
        <v>6.68</v>
      </c>
      <c r="AG41" s="610">
        <v>7.6</v>
      </c>
      <c r="AH41" s="63">
        <v>8.6</v>
      </c>
      <c r="AI41" s="63">
        <v>13.3</v>
      </c>
      <c r="AJ41" s="64">
        <v>16.25</v>
      </c>
      <c r="AK41" s="1">
        <v>20.22</v>
      </c>
      <c r="AL41" s="423">
        <v>16.7</v>
      </c>
      <c r="AM41" s="65">
        <v>15.8</v>
      </c>
      <c r="AN41" s="601">
        <v>16.739999999999998</v>
      </c>
      <c r="AO41" s="67">
        <v>16.25</v>
      </c>
      <c r="AP41" s="196"/>
      <c r="AQ41" s="63">
        <v>5.98</v>
      </c>
      <c r="AR41" s="63">
        <v>5.05</v>
      </c>
      <c r="AS41" s="61">
        <v>0.9300000000000006</v>
      </c>
      <c r="AT41" s="46">
        <v>0.18415841584158429</v>
      </c>
      <c r="AU41" s="53"/>
      <c r="AV41" s="66">
        <v>5.98</v>
      </c>
      <c r="AW41" s="66">
        <v>5.05</v>
      </c>
      <c r="AX41" s="66">
        <v>4.03</v>
      </c>
      <c r="AY41" s="66">
        <v>6.94</v>
      </c>
      <c r="AZ41" s="66">
        <v>7.95</v>
      </c>
      <c r="BA41" s="66">
        <v>5.3</v>
      </c>
      <c r="BB41" s="66">
        <v>2.87</v>
      </c>
      <c r="BC41" s="66">
        <v>8.6</v>
      </c>
      <c r="BD41" s="66">
        <v>15.8</v>
      </c>
      <c r="BE41" s="66">
        <v>9</v>
      </c>
      <c r="BF41" s="66">
        <v>7.96</v>
      </c>
      <c r="BG41" s="66">
        <v>0</v>
      </c>
      <c r="BH41" s="701"/>
    </row>
    <row r="42" spans="1:60" ht="12.75" customHeight="1" x14ac:dyDescent="0.2">
      <c r="A42" s="8"/>
      <c r="B42" s="7" t="s">
        <v>17</v>
      </c>
      <c r="C42" s="1439">
        <v>-1.6799999999999997</v>
      </c>
      <c r="D42" s="755">
        <v>-0.20487804878048779</v>
      </c>
      <c r="E42" s="519"/>
      <c r="F42" s="63">
        <v>6.52</v>
      </c>
      <c r="G42" s="63">
        <v>7.81</v>
      </c>
      <c r="H42" s="63">
        <v>11.19</v>
      </c>
      <c r="I42" s="610">
        <v>12.29</v>
      </c>
      <c r="J42" s="63">
        <v>8.1999999999999993</v>
      </c>
      <c r="K42" s="63">
        <v>6.95</v>
      </c>
      <c r="L42" s="63">
        <v>6.63</v>
      </c>
      <c r="M42" s="610">
        <v>5.71</v>
      </c>
      <c r="N42" s="63">
        <v>6.82</v>
      </c>
      <c r="O42" s="63">
        <v>6.7</v>
      </c>
      <c r="P42" s="63">
        <v>5.68</v>
      </c>
      <c r="Q42" s="610">
        <v>5.5</v>
      </c>
      <c r="R42" s="63">
        <v>8.3000000000000007</v>
      </c>
      <c r="S42" s="63">
        <v>7.8</v>
      </c>
      <c r="T42" s="63">
        <v>9.5500000000000007</v>
      </c>
      <c r="U42" s="610">
        <v>12.36</v>
      </c>
      <c r="V42" s="63">
        <v>14</v>
      </c>
      <c r="W42" s="63">
        <v>14.16</v>
      </c>
      <c r="X42" s="63">
        <v>10.37</v>
      </c>
      <c r="Y42" s="610">
        <v>9.39</v>
      </c>
      <c r="Z42" s="63">
        <v>11.1</v>
      </c>
      <c r="AA42" s="63">
        <v>10.37</v>
      </c>
      <c r="AB42" s="63">
        <v>10.199999999999999</v>
      </c>
      <c r="AC42" s="610">
        <v>6.95</v>
      </c>
      <c r="AD42" s="63">
        <v>5.4</v>
      </c>
      <c r="AE42" s="63">
        <v>4.04</v>
      </c>
      <c r="AF42" s="63">
        <v>7.98</v>
      </c>
      <c r="AG42" s="610">
        <v>7.95</v>
      </c>
      <c r="AH42" s="63">
        <v>9.8000000000000007</v>
      </c>
      <c r="AI42" s="63">
        <v>15.3</v>
      </c>
      <c r="AJ42" s="64">
        <v>18.98</v>
      </c>
      <c r="AK42" s="1">
        <v>20.83</v>
      </c>
      <c r="AL42" s="422">
        <v>22.12</v>
      </c>
      <c r="AM42" s="65">
        <v>18.600000000000001</v>
      </c>
      <c r="AN42" s="601">
        <v>17.100000000000001</v>
      </c>
      <c r="AO42" s="67">
        <v>17.72</v>
      </c>
      <c r="AP42" s="196"/>
      <c r="AQ42" s="63">
        <v>7.81</v>
      </c>
      <c r="AR42" s="63">
        <v>6.95</v>
      </c>
      <c r="AS42" s="61">
        <v>-1.6799999999999997</v>
      </c>
      <c r="AT42" s="46">
        <v>-0.20487804878048779</v>
      </c>
      <c r="AU42" s="53"/>
      <c r="AV42" s="66">
        <v>6.52</v>
      </c>
      <c r="AW42" s="66">
        <v>8.1999999999999993</v>
      </c>
      <c r="AX42" s="66">
        <v>6.82</v>
      </c>
      <c r="AY42" s="66">
        <v>8.3000000000000007</v>
      </c>
      <c r="AZ42" s="66">
        <v>14</v>
      </c>
      <c r="BA42" s="66">
        <v>11.1</v>
      </c>
      <c r="BB42" s="66">
        <v>5.4</v>
      </c>
      <c r="BC42" s="66">
        <v>9.8000000000000007</v>
      </c>
      <c r="BD42" s="66">
        <v>22.12</v>
      </c>
      <c r="BE42" s="66">
        <v>20.8</v>
      </c>
      <c r="BF42" s="66">
        <v>10.48</v>
      </c>
      <c r="BG42" s="66">
        <v>0</v>
      </c>
      <c r="BH42" s="701"/>
    </row>
    <row r="43" spans="1:60" ht="9.75" customHeight="1" x14ac:dyDescent="0.2">
      <c r="A43" s="8"/>
      <c r="B43" s="7"/>
      <c r="C43" s="1439"/>
      <c r="D43" s="46"/>
      <c r="E43" s="519"/>
      <c r="F43" s="47"/>
      <c r="G43" s="47"/>
      <c r="H43" s="1"/>
      <c r="I43" s="362"/>
      <c r="J43" s="47"/>
      <c r="K43" s="47"/>
      <c r="L43" s="1"/>
      <c r="M43" s="362"/>
      <c r="N43" s="47"/>
      <c r="O43" s="47"/>
      <c r="P43" s="1"/>
      <c r="Q43" s="362"/>
      <c r="R43" s="47"/>
      <c r="S43" s="47"/>
      <c r="T43" s="1"/>
      <c r="U43" s="362"/>
      <c r="V43" s="47"/>
      <c r="W43" s="47"/>
      <c r="X43" s="1"/>
      <c r="Y43" s="362"/>
      <c r="Z43" s="47"/>
      <c r="AA43" s="47"/>
      <c r="AB43" s="1"/>
      <c r="AC43" s="362"/>
      <c r="AD43" s="47"/>
      <c r="AE43" s="47"/>
      <c r="AF43" s="1"/>
      <c r="AG43" s="362"/>
      <c r="AH43" s="55"/>
      <c r="AI43" s="55"/>
      <c r="AJ43" s="55"/>
      <c r="AK43" s="55"/>
      <c r="AL43" s="58"/>
      <c r="AM43" s="57"/>
      <c r="AN43" s="57"/>
      <c r="AO43" s="57"/>
      <c r="AP43" s="196"/>
      <c r="AQ43" s="1"/>
      <c r="AR43" s="1"/>
      <c r="AS43" s="55"/>
      <c r="AT43" s="46"/>
      <c r="AU43" s="53"/>
      <c r="AV43" s="58"/>
      <c r="AW43" s="58"/>
      <c r="AX43" s="58"/>
      <c r="AY43" s="58"/>
      <c r="AZ43" s="58"/>
      <c r="BA43" s="58"/>
      <c r="BB43" s="58"/>
      <c r="BC43" s="58"/>
      <c r="BD43" s="58"/>
      <c r="BE43" s="58"/>
      <c r="BF43" s="58"/>
      <c r="BG43" s="58"/>
      <c r="BH43" s="701"/>
    </row>
    <row r="44" spans="1:60" ht="12.75" customHeight="1" x14ac:dyDescent="0.2">
      <c r="A44" s="7" t="s">
        <v>18</v>
      </c>
      <c r="B44" s="7"/>
      <c r="C44" s="56"/>
      <c r="D44" s="46"/>
      <c r="E44" s="519"/>
      <c r="F44" s="47"/>
      <c r="G44" s="47"/>
      <c r="H44" s="1"/>
      <c r="I44" s="362"/>
      <c r="J44" s="47"/>
      <c r="K44" s="47"/>
      <c r="L44" s="1"/>
      <c r="M44" s="362"/>
      <c r="N44" s="47"/>
      <c r="O44" s="47"/>
      <c r="P44" s="1"/>
      <c r="Q44" s="362"/>
      <c r="R44" s="47"/>
      <c r="S44" s="47"/>
      <c r="T44" s="1"/>
      <c r="U44" s="362"/>
      <c r="V44" s="47"/>
      <c r="W44" s="47"/>
      <c r="X44" s="1"/>
      <c r="Y44" s="362"/>
      <c r="Z44" s="47"/>
      <c r="AA44" s="47"/>
      <c r="AB44" s="1"/>
      <c r="AC44" s="362"/>
      <c r="AD44" s="47"/>
      <c r="AE44" s="47"/>
      <c r="AF44" s="1"/>
      <c r="AG44" s="362"/>
      <c r="AH44" s="55"/>
      <c r="AI44" s="55"/>
      <c r="AJ44" s="68"/>
      <c r="AK44" s="55"/>
      <c r="AL44" s="58"/>
      <c r="AM44" s="57"/>
      <c r="AN44" s="381"/>
      <c r="AO44" s="57"/>
      <c r="AP44" s="196"/>
      <c r="AQ44" s="1"/>
      <c r="AR44" s="1"/>
      <c r="AS44" s="55"/>
      <c r="AT44" s="46"/>
      <c r="AU44" s="53"/>
      <c r="AV44" s="58"/>
      <c r="AW44" s="58"/>
      <c r="AX44" s="58"/>
      <c r="AY44" s="58"/>
      <c r="AZ44" s="58"/>
      <c r="BA44" s="58"/>
      <c r="BB44" s="58"/>
      <c r="BC44" s="58"/>
      <c r="BD44" s="58"/>
      <c r="BE44" s="58"/>
      <c r="BF44" s="58"/>
      <c r="BG44" s="58"/>
      <c r="BH44" s="701"/>
    </row>
    <row r="45" spans="1:60" s="1394" customFormat="1" ht="13.5" customHeight="1" x14ac:dyDescent="0.2">
      <c r="A45" s="8"/>
      <c r="B45" s="7" t="s">
        <v>19</v>
      </c>
      <c r="C45" s="686">
        <v>-1320.6919999999955</v>
      </c>
      <c r="D45" s="755">
        <v>-1.4183395888534301E-2</v>
      </c>
      <c r="E45" s="741"/>
      <c r="F45" s="754">
        <v>91794.667000000001</v>
      </c>
      <c r="G45" s="754">
        <v>90878.278999999995</v>
      </c>
      <c r="H45" s="754">
        <v>91104</v>
      </c>
      <c r="I45" s="28">
        <v>91392.918999999994</v>
      </c>
      <c r="J45" s="754">
        <v>93115.358999999997</v>
      </c>
      <c r="K45" s="754">
        <v>92911.964000000007</v>
      </c>
      <c r="L45" s="754">
        <v>93951.271999999997</v>
      </c>
      <c r="M45" s="28">
        <v>94935.751999999993</v>
      </c>
      <c r="N45" s="754">
        <v>93061.796000000002</v>
      </c>
      <c r="O45" s="754">
        <v>92521.668999999994</v>
      </c>
      <c r="P45" s="754">
        <v>93991.129000000001</v>
      </c>
      <c r="Q45" s="28">
        <v>93566.31</v>
      </c>
      <c r="R45" s="754">
        <v>94025.876999999993</v>
      </c>
      <c r="S45" s="754">
        <v>74998.990000000005</v>
      </c>
      <c r="T45" s="754">
        <v>76232.323999999993</v>
      </c>
      <c r="U45" s="28">
        <v>75596.665999999997</v>
      </c>
      <c r="V45" s="754">
        <v>75404</v>
      </c>
      <c r="W45" s="754">
        <v>75055</v>
      </c>
      <c r="X45" s="754">
        <v>74552</v>
      </c>
      <c r="Y45" s="28">
        <v>74961.240000000005</v>
      </c>
      <c r="Z45" s="754">
        <v>48868</v>
      </c>
      <c r="AA45" s="754">
        <v>48106</v>
      </c>
      <c r="AB45" s="754">
        <v>48681</v>
      </c>
      <c r="AC45" s="28">
        <v>49118</v>
      </c>
      <c r="AD45" s="754">
        <v>49343</v>
      </c>
      <c r="AE45" s="754">
        <v>49108</v>
      </c>
      <c r="AF45" s="754">
        <v>48274</v>
      </c>
      <c r="AG45" s="28">
        <v>50069</v>
      </c>
      <c r="AH45" s="754">
        <v>43873</v>
      </c>
      <c r="AI45" s="754">
        <v>44191</v>
      </c>
      <c r="AJ45" s="754">
        <v>44548</v>
      </c>
      <c r="AK45" s="754">
        <v>45183.714</v>
      </c>
      <c r="AL45" s="43">
        <v>45973.118999999999</v>
      </c>
      <c r="AM45" s="28">
        <v>46320.542000000001</v>
      </c>
      <c r="AN45" s="28">
        <v>46199.726000000002</v>
      </c>
      <c r="AO45" s="28">
        <v>45906.368000000002</v>
      </c>
      <c r="AP45" s="85"/>
      <c r="AQ45" s="754">
        <v>90878.278999999995</v>
      </c>
      <c r="AR45" s="151">
        <v>92912</v>
      </c>
      <c r="AS45" s="754">
        <v>-1320.6919999999955</v>
      </c>
      <c r="AT45" s="742">
        <v>-1.4183395888534301E-2</v>
      </c>
      <c r="AU45" s="35"/>
      <c r="AV45" s="43">
        <v>91794.667000000001</v>
      </c>
      <c r="AW45" s="43">
        <v>93115.358999999997</v>
      </c>
      <c r="AX45" s="43">
        <v>93061.796000000002</v>
      </c>
      <c r="AY45" s="43">
        <v>94025.876999999993</v>
      </c>
      <c r="AZ45" s="43">
        <v>75404</v>
      </c>
      <c r="BA45" s="43">
        <v>48868</v>
      </c>
      <c r="BB45" s="43">
        <v>49343</v>
      </c>
      <c r="BC45" s="43">
        <v>43873</v>
      </c>
      <c r="BD45" s="43">
        <v>45973.118999999999</v>
      </c>
      <c r="BE45" s="43">
        <v>45746.033000000003</v>
      </c>
      <c r="BF45" s="43">
        <v>45413.311000000002</v>
      </c>
      <c r="BG45" s="43">
        <v>29983</v>
      </c>
      <c r="BH45" s="1393"/>
    </row>
    <row r="46" spans="1:60" s="1394" customFormat="1" ht="13.5" customHeight="1" x14ac:dyDescent="0.2">
      <c r="A46" s="8"/>
      <c r="B46" s="7" t="s">
        <v>20</v>
      </c>
      <c r="C46" s="686">
        <v>1136.2489999999962</v>
      </c>
      <c r="D46" s="755">
        <v>1.1197720470276845E-2</v>
      </c>
      <c r="E46" s="741"/>
      <c r="F46" s="754">
        <v>102607.705</v>
      </c>
      <c r="G46" s="754">
        <v>101883.242</v>
      </c>
      <c r="H46" s="754">
        <v>102163</v>
      </c>
      <c r="I46" s="28">
        <v>101982.93799999999</v>
      </c>
      <c r="J46" s="754">
        <v>101471.45600000001</v>
      </c>
      <c r="K46" s="754">
        <v>101818.94100000001</v>
      </c>
      <c r="L46" s="754">
        <v>102519.742</v>
      </c>
      <c r="M46" s="28">
        <v>103570.194</v>
      </c>
      <c r="N46" s="754">
        <v>102896.17200000001</v>
      </c>
      <c r="O46" s="754">
        <v>102512.817</v>
      </c>
      <c r="P46" s="754">
        <v>102381.448</v>
      </c>
      <c r="Q46" s="28">
        <v>102030.601</v>
      </c>
      <c r="R46" s="754">
        <v>101688.72100000001</v>
      </c>
      <c r="S46" s="754">
        <v>83412.456000000006</v>
      </c>
      <c r="T46" s="754">
        <v>83321.695999999996</v>
      </c>
      <c r="U46" s="28">
        <v>83097.441000000006</v>
      </c>
      <c r="V46" s="754">
        <v>82810</v>
      </c>
      <c r="W46" s="754">
        <v>82626</v>
      </c>
      <c r="X46" s="754">
        <v>82553</v>
      </c>
      <c r="Y46" s="28">
        <v>82307.929999999993</v>
      </c>
      <c r="Z46" s="754">
        <v>55571</v>
      </c>
      <c r="AA46" s="754">
        <v>55405</v>
      </c>
      <c r="AB46" s="754">
        <v>55359</v>
      </c>
      <c r="AC46" s="28">
        <v>55234</v>
      </c>
      <c r="AD46" s="754">
        <v>55093</v>
      </c>
      <c r="AE46" s="754">
        <v>54636</v>
      </c>
      <c r="AF46" s="754">
        <v>54553</v>
      </c>
      <c r="AG46" s="28">
        <v>54591</v>
      </c>
      <c r="AH46" s="754">
        <v>47835</v>
      </c>
      <c r="AI46" s="754">
        <v>47835</v>
      </c>
      <c r="AJ46" s="754">
        <v>47866</v>
      </c>
      <c r="AK46" s="754">
        <v>47864.233999999997</v>
      </c>
      <c r="AL46" s="43">
        <v>47831.961000000003</v>
      </c>
      <c r="AM46" s="28">
        <v>47831.203000000001</v>
      </c>
      <c r="AN46" s="28">
        <v>47827.35</v>
      </c>
      <c r="AO46" s="28">
        <v>47827.35</v>
      </c>
      <c r="AP46" s="85"/>
      <c r="AQ46" s="754">
        <v>101883.242</v>
      </c>
      <c r="AR46" s="151">
        <v>101819</v>
      </c>
      <c r="AS46" s="754">
        <v>1135.2489999999962</v>
      </c>
      <c r="AT46" s="742">
        <v>1.1187865482091792E-2</v>
      </c>
      <c r="AU46" s="35"/>
      <c r="AV46" s="43">
        <v>102607.705</v>
      </c>
      <c r="AW46" s="43">
        <v>101471.45600000001</v>
      </c>
      <c r="AX46" s="43">
        <v>102896.17200000001</v>
      </c>
      <c r="AY46" s="43">
        <v>101688.72100000001</v>
      </c>
      <c r="AZ46" s="43">
        <v>82810</v>
      </c>
      <c r="BA46" s="43">
        <v>55571</v>
      </c>
      <c r="BB46" s="43">
        <v>55093</v>
      </c>
      <c r="BC46" s="43">
        <v>47835</v>
      </c>
      <c r="BD46" s="43">
        <v>47831.961000000003</v>
      </c>
      <c r="BE46" s="43">
        <v>47827.35</v>
      </c>
      <c r="BF46" s="43">
        <v>46129.267999999996</v>
      </c>
      <c r="BG46" s="43">
        <v>38089</v>
      </c>
      <c r="BH46" s="1393"/>
    </row>
    <row r="47" spans="1:60" s="1394" customFormat="1" ht="13.5" customHeight="1" x14ac:dyDescent="0.2">
      <c r="A47" s="8"/>
      <c r="B47" s="7" t="s">
        <v>21</v>
      </c>
      <c r="C47" s="686">
        <v>-3293.1989999999932</v>
      </c>
      <c r="D47" s="755">
        <v>-3.0508067872671314E-2</v>
      </c>
      <c r="E47" s="741"/>
      <c r="F47" s="754">
        <v>104651.985</v>
      </c>
      <c r="G47" s="754">
        <v>104356.9</v>
      </c>
      <c r="H47" s="754">
        <v>105275</v>
      </c>
      <c r="I47" s="28">
        <v>105470</v>
      </c>
      <c r="J47" s="754">
        <v>107945.18399999999</v>
      </c>
      <c r="K47" s="754">
        <v>108409.478</v>
      </c>
      <c r="L47" s="754">
        <v>109603.592</v>
      </c>
      <c r="M47" s="28">
        <v>109667.482</v>
      </c>
      <c r="N47" s="754">
        <v>109882.489</v>
      </c>
      <c r="O47" s="754">
        <v>110968.91800000001</v>
      </c>
      <c r="P47" s="754">
        <v>108789.11900000001</v>
      </c>
      <c r="Q47" s="28">
        <v>107853.796</v>
      </c>
      <c r="R47" s="754">
        <v>106656.02800000001</v>
      </c>
      <c r="S47" s="754">
        <v>86787.168999999994</v>
      </c>
      <c r="T47" s="754">
        <v>85979.111000000004</v>
      </c>
      <c r="U47" s="28">
        <v>86236</v>
      </c>
      <c r="V47" s="754">
        <v>86080.047999999995</v>
      </c>
      <c r="W47" s="754">
        <v>85938.028000000006</v>
      </c>
      <c r="X47" s="754">
        <v>84565</v>
      </c>
      <c r="Y47" s="28">
        <v>85357.03</v>
      </c>
      <c r="Z47" s="754">
        <v>57814</v>
      </c>
      <c r="AA47" s="754">
        <v>57267</v>
      </c>
      <c r="AB47" s="754">
        <v>57226</v>
      </c>
      <c r="AC47" s="28">
        <v>57245</v>
      </c>
      <c r="AD47" s="754">
        <v>57251</v>
      </c>
      <c r="AE47" s="754">
        <v>56210</v>
      </c>
      <c r="AF47" s="754">
        <v>57981</v>
      </c>
      <c r="AG47" s="28">
        <v>57466</v>
      </c>
      <c r="AH47" s="754">
        <v>49556</v>
      </c>
      <c r="AI47" s="754">
        <v>49096</v>
      </c>
      <c r="AJ47" s="754">
        <v>48830</v>
      </c>
      <c r="AK47" s="754">
        <v>48872.326999999997</v>
      </c>
      <c r="AL47" s="43">
        <v>48084.303999999996</v>
      </c>
      <c r="AM47" s="28">
        <v>48045.762000000002</v>
      </c>
      <c r="AN47" s="28">
        <v>47962</v>
      </c>
      <c r="AO47" s="28">
        <v>47950.567999999999</v>
      </c>
      <c r="AP47" s="85"/>
      <c r="AQ47" s="754">
        <v>0</v>
      </c>
      <c r="AR47" s="754">
        <v>108409</v>
      </c>
      <c r="AS47" s="754">
        <v>-2559.4400000000023</v>
      </c>
      <c r="AT47" s="742">
        <v>-2.3064476487010554E-2</v>
      </c>
      <c r="AU47" s="35"/>
      <c r="AV47" s="43">
        <v>104704.48299999999</v>
      </c>
      <c r="AW47" s="43">
        <v>107937.492</v>
      </c>
      <c r="AX47" s="43">
        <v>109879.724</v>
      </c>
      <c r="AY47" s="43">
        <v>106883.242</v>
      </c>
      <c r="AZ47" s="43">
        <v>85655</v>
      </c>
      <c r="BA47" s="43">
        <v>57767</v>
      </c>
      <c r="BB47" s="43">
        <v>57251</v>
      </c>
      <c r="BC47" s="43">
        <v>49556</v>
      </c>
      <c r="BD47" s="43">
        <v>48084.303999999996</v>
      </c>
      <c r="BE47" s="43">
        <v>48017.400999999998</v>
      </c>
      <c r="BF47" s="43">
        <v>46129.267999999996</v>
      </c>
      <c r="BG47" s="43">
        <v>38089</v>
      </c>
      <c r="BH47" s="1393"/>
    </row>
    <row r="48" spans="1:60" s="1394" customFormat="1" ht="13.5" customHeight="1" x14ac:dyDescent="0.2">
      <c r="A48" s="8"/>
      <c r="B48" s="7" t="s">
        <v>22</v>
      </c>
      <c r="C48" s="686">
        <v>-1677.7299999999959</v>
      </c>
      <c r="D48" s="755">
        <v>-1.8053748784161924E-2</v>
      </c>
      <c r="E48" s="741"/>
      <c r="F48" s="754">
        <v>91252</v>
      </c>
      <c r="G48" s="754">
        <v>91404.244999999995</v>
      </c>
      <c r="H48" s="754">
        <v>91070.282999999996</v>
      </c>
      <c r="I48" s="28">
        <v>92763.055999999997</v>
      </c>
      <c r="J48" s="754">
        <v>92929.73</v>
      </c>
      <c r="K48" s="754">
        <v>93369.398000000001</v>
      </c>
      <c r="L48" s="754">
        <v>94485.744999999995</v>
      </c>
      <c r="M48" s="28">
        <v>94524.19</v>
      </c>
      <c r="N48" s="754">
        <v>92662.737999999998</v>
      </c>
      <c r="O48" s="754">
        <v>92268.072</v>
      </c>
      <c r="P48" s="754">
        <v>93715.828999999998</v>
      </c>
      <c r="Q48" s="28">
        <v>94145.084000000003</v>
      </c>
      <c r="R48" s="754">
        <v>77829.903999999995</v>
      </c>
      <c r="S48" s="754">
        <v>75220.877999999997</v>
      </c>
      <c r="T48" s="754">
        <v>76073.22</v>
      </c>
      <c r="U48" s="28">
        <v>75086.957999999999</v>
      </c>
      <c r="V48" s="754">
        <v>75194.373999999996</v>
      </c>
      <c r="W48" s="754">
        <v>74947</v>
      </c>
      <c r="X48" s="754">
        <v>74235</v>
      </c>
      <c r="Y48" s="28">
        <v>67930.712</v>
      </c>
      <c r="Z48" s="754">
        <v>48697</v>
      </c>
      <c r="AA48" s="754">
        <v>48147</v>
      </c>
      <c r="AB48" s="754">
        <v>48536</v>
      </c>
      <c r="AC48" s="28">
        <v>48165</v>
      </c>
      <c r="AD48" s="754">
        <v>49352</v>
      </c>
      <c r="AE48" s="754">
        <v>49073</v>
      </c>
      <c r="AF48" s="754">
        <v>49021</v>
      </c>
      <c r="AG48" s="28">
        <v>47519</v>
      </c>
      <c r="AH48" s="754">
        <v>44165</v>
      </c>
      <c r="AI48" s="754">
        <v>44442</v>
      </c>
      <c r="AJ48" s="754">
        <v>44972</v>
      </c>
      <c r="AK48" s="754">
        <v>45170.531999999999</v>
      </c>
      <c r="AL48" s="43">
        <v>45970.574000000001</v>
      </c>
      <c r="AM48" s="28">
        <v>46273.767999999996</v>
      </c>
      <c r="AN48" s="28">
        <v>46152.802000000003</v>
      </c>
      <c r="AO48" s="28">
        <v>45906.368000000002</v>
      </c>
      <c r="AP48" s="85"/>
      <c r="AQ48" s="754">
        <v>91835.9</v>
      </c>
      <c r="AR48" s="151">
        <v>93863</v>
      </c>
      <c r="AS48" s="754">
        <v>-2431.6720000000059</v>
      </c>
      <c r="AT48" s="742">
        <v>-2.5834586706448292E-2</v>
      </c>
      <c r="AU48" s="35"/>
      <c r="AV48" s="43">
        <v>91693</v>
      </c>
      <c r="AW48" s="43">
        <v>94124.672000000006</v>
      </c>
      <c r="AX48" s="43">
        <v>92217.725999999995</v>
      </c>
      <c r="AY48" s="43">
        <v>76715.248000000007</v>
      </c>
      <c r="AZ48" s="43">
        <v>72989.654999999999</v>
      </c>
      <c r="BA48" s="43">
        <v>48698</v>
      </c>
      <c r="BB48" s="43">
        <v>48929</v>
      </c>
      <c r="BC48" s="43">
        <v>44778</v>
      </c>
      <c r="BD48" s="43">
        <v>45969.345999999998</v>
      </c>
      <c r="BE48" s="43">
        <v>44606.133999999998</v>
      </c>
      <c r="BF48" s="43">
        <v>41634.92</v>
      </c>
      <c r="BG48" s="43">
        <v>28298</v>
      </c>
      <c r="BH48" s="1393"/>
    </row>
    <row r="49" spans="1:64" s="1394" customFormat="1" ht="13.5" customHeight="1" x14ac:dyDescent="0.2">
      <c r="A49" s="8"/>
      <c r="B49" s="7" t="s">
        <v>266</v>
      </c>
      <c r="C49" s="239" t="s">
        <v>42</v>
      </c>
      <c r="D49" s="755" t="s">
        <v>42</v>
      </c>
      <c r="E49" s="741"/>
      <c r="F49" s="251" t="s">
        <v>186</v>
      </c>
      <c r="G49" s="251" t="s">
        <v>186</v>
      </c>
      <c r="H49" s="251">
        <v>101058.61599999999</v>
      </c>
      <c r="I49" s="28">
        <v>102202.969</v>
      </c>
      <c r="J49" s="754">
        <v>102217.59299999999</v>
      </c>
      <c r="K49" s="754">
        <v>102667.38499999999</v>
      </c>
      <c r="L49" s="251" t="s">
        <v>186</v>
      </c>
      <c r="M49" s="28">
        <v>102769.92200000001</v>
      </c>
      <c r="N49" s="754">
        <v>103045.02099999999</v>
      </c>
      <c r="O49" s="754">
        <v>102454.353</v>
      </c>
      <c r="P49" s="251" t="s">
        <v>186</v>
      </c>
      <c r="Q49" s="300" t="s">
        <v>186</v>
      </c>
      <c r="R49" s="251" t="s">
        <v>186</v>
      </c>
      <c r="S49" s="754">
        <v>83821.7</v>
      </c>
      <c r="T49" s="754">
        <v>83922</v>
      </c>
      <c r="U49" s="28">
        <v>84283</v>
      </c>
      <c r="V49" s="754">
        <v>84571</v>
      </c>
      <c r="W49" s="754">
        <v>83643</v>
      </c>
      <c r="X49" s="754">
        <v>82976</v>
      </c>
      <c r="Y49" s="28">
        <v>76217.240000000005</v>
      </c>
      <c r="Z49" s="754">
        <v>56052</v>
      </c>
      <c r="AA49" s="754">
        <v>56274</v>
      </c>
      <c r="AB49" s="754">
        <v>55590</v>
      </c>
      <c r="AC49" s="28">
        <v>55331</v>
      </c>
      <c r="AD49" s="754">
        <v>54748</v>
      </c>
      <c r="AE49" s="754">
        <v>55219</v>
      </c>
      <c r="AF49" s="754">
        <v>55139</v>
      </c>
      <c r="AG49" s="28">
        <v>52720</v>
      </c>
      <c r="AH49" s="754">
        <v>48490</v>
      </c>
      <c r="AI49" s="754">
        <v>48324</v>
      </c>
      <c r="AJ49" s="754">
        <v>48270</v>
      </c>
      <c r="AK49" s="754">
        <v>48859.144999999997</v>
      </c>
      <c r="AL49" s="43">
        <v>48081.758999999998</v>
      </c>
      <c r="AM49" s="28">
        <v>48045.762000000002</v>
      </c>
      <c r="AN49" s="28">
        <v>47961.593999999997</v>
      </c>
      <c r="AO49" s="28">
        <v>47998.175000000003</v>
      </c>
      <c r="AP49" s="85"/>
      <c r="AQ49" s="754">
        <v>100825.296</v>
      </c>
      <c r="AR49" s="151">
        <v>103193</v>
      </c>
      <c r="AS49" s="251" t="s">
        <v>186</v>
      </c>
      <c r="AT49" s="742" t="s">
        <v>186</v>
      </c>
      <c r="AU49" s="35"/>
      <c r="AV49" s="270" t="s">
        <v>186</v>
      </c>
      <c r="AW49" s="43">
        <v>101992.679</v>
      </c>
      <c r="AX49" s="270" t="s">
        <v>186</v>
      </c>
      <c r="AY49" s="270" t="s">
        <v>186</v>
      </c>
      <c r="AZ49" s="43">
        <v>81716.618000000002</v>
      </c>
      <c r="BA49" s="43">
        <v>55662</v>
      </c>
      <c r="BB49" s="43">
        <v>54189</v>
      </c>
      <c r="BC49" s="43">
        <v>48727</v>
      </c>
      <c r="BD49" s="43">
        <v>48080.531000000003</v>
      </c>
      <c r="BE49" s="43">
        <v>46699.303999999996</v>
      </c>
      <c r="BF49" s="43">
        <v>44188.296999999999</v>
      </c>
      <c r="BG49" s="43">
        <v>37096</v>
      </c>
      <c r="BH49" s="1393"/>
    </row>
    <row r="50" spans="1:64" ht="9.75" customHeight="1" x14ac:dyDescent="0.2">
      <c r="A50" s="8"/>
      <c r="B50" s="7"/>
      <c r="C50" s="56"/>
      <c r="D50" s="46"/>
      <c r="E50" s="519"/>
      <c r="F50" s="47"/>
      <c r="G50" s="47"/>
      <c r="H50" s="1"/>
      <c r="I50" s="362"/>
      <c r="J50" s="47"/>
      <c r="K50" s="47"/>
      <c r="L50" s="1"/>
      <c r="M50" s="362"/>
      <c r="N50" s="47"/>
      <c r="O50" s="47"/>
      <c r="P50" s="1"/>
      <c r="Q50" s="362"/>
      <c r="R50" s="47"/>
      <c r="S50" s="47"/>
      <c r="T50" s="1"/>
      <c r="U50" s="362"/>
      <c r="V50" s="47"/>
      <c r="W50" s="47"/>
      <c r="X50" s="1"/>
      <c r="Y50" s="362"/>
      <c r="Z50" s="47"/>
      <c r="AA50" s="47"/>
      <c r="AB50" s="1"/>
      <c r="AC50" s="362"/>
      <c r="AD50" s="47"/>
      <c r="AE50" s="47"/>
      <c r="AF50" s="1"/>
      <c r="AG50" s="362"/>
      <c r="AH50" s="1"/>
      <c r="AI50" s="1"/>
      <c r="AJ50" s="1"/>
      <c r="AK50" s="1"/>
      <c r="AL50" s="422"/>
      <c r="AM50" s="67"/>
      <c r="AN50" s="67"/>
      <c r="AO50" s="67"/>
      <c r="AP50" s="196"/>
      <c r="AQ50" s="1"/>
      <c r="AR50" s="1"/>
      <c r="AS50" s="55"/>
      <c r="AT50" s="46"/>
      <c r="AU50" s="53"/>
      <c r="AV50" s="58"/>
      <c r="AW50" s="58"/>
      <c r="AX50" s="58"/>
      <c r="AY50" s="58"/>
      <c r="AZ50" s="58"/>
      <c r="BA50" s="58"/>
      <c r="BB50" s="58"/>
      <c r="BC50" s="58"/>
      <c r="BD50" s="58"/>
      <c r="BE50" s="58"/>
      <c r="BF50" s="58"/>
      <c r="BG50" s="58"/>
      <c r="BH50" s="701"/>
    </row>
    <row r="51" spans="1:64" ht="12.75" customHeight="1" x14ac:dyDescent="0.2">
      <c r="A51" s="7" t="s">
        <v>294</v>
      </c>
      <c r="B51" s="7"/>
      <c r="C51" s="56">
        <v>-202819.5665999999</v>
      </c>
      <c r="D51" s="755">
        <v>-0.2291356832353435</v>
      </c>
      <c r="E51" s="519"/>
      <c r="F51" s="69">
        <v>682330.94219999993</v>
      </c>
      <c r="G51" s="69">
        <v>815027.38899999997</v>
      </c>
      <c r="H51" s="69">
        <v>1178027.25</v>
      </c>
      <c r="I51" s="70">
        <v>1296226.2999999998</v>
      </c>
      <c r="J51" s="69">
        <v>885150.50879999984</v>
      </c>
      <c r="K51" s="69">
        <v>753445.87210000004</v>
      </c>
      <c r="L51" s="69">
        <v>726671.81495999999</v>
      </c>
      <c r="M51" s="70">
        <v>626201.32221999997</v>
      </c>
      <c r="N51" s="69">
        <v>749398.57498000003</v>
      </c>
      <c r="O51" s="69">
        <v>743491.75060000003</v>
      </c>
      <c r="P51" s="69">
        <v>617922.19591999997</v>
      </c>
      <c r="Q51" s="70">
        <v>593195.87800000003</v>
      </c>
      <c r="R51" s="69">
        <v>885245.03240000014</v>
      </c>
      <c r="S51" s="69">
        <v>676939.91819999996</v>
      </c>
      <c r="T51" s="69">
        <v>821100.51005000016</v>
      </c>
      <c r="U51" s="70">
        <v>1065876.96</v>
      </c>
      <c r="V51" s="69">
        <v>1205120.672</v>
      </c>
      <c r="W51" s="69">
        <v>1216882.47648</v>
      </c>
      <c r="X51" s="69">
        <v>876939.04999999993</v>
      </c>
      <c r="Y51" s="70">
        <v>801502.51170000003</v>
      </c>
      <c r="Z51" s="69">
        <v>641735.4</v>
      </c>
      <c r="AA51" s="69">
        <v>593858.79</v>
      </c>
      <c r="AB51" s="69">
        <v>583705.19999999995</v>
      </c>
      <c r="AC51" s="70">
        <v>397852.75</v>
      </c>
      <c r="AD51" s="69">
        <v>309155.40000000002</v>
      </c>
      <c r="AE51" s="69">
        <v>227088.4</v>
      </c>
      <c r="AF51" s="69">
        <v>462688.38</v>
      </c>
      <c r="AG51" s="70">
        <v>456854.7</v>
      </c>
      <c r="AH51" s="69">
        <v>485648.8</v>
      </c>
      <c r="AI51" s="69">
        <v>751168.8</v>
      </c>
      <c r="AJ51" s="69">
        <v>926793.4</v>
      </c>
      <c r="AK51" s="69">
        <v>1018010.5714099999</v>
      </c>
      <c r="AL51" s="71">
        <v>1063624.8044799999</v>
      </c>
      <c r="AM51" s="70">
        <v>893651.17320000008</v>
      </c>
      <c r="AN51" s="70">
        <v>820150</v>
      </c>
      <c r="AO51" s="70">
        <v>849684.06495999999</v>
      </c>
      <c r="AP51" s="196"/>
      <c r="AQ51" s="831">
        <v>815027.38899999997</v>
      </c>
      <c r="AR51" s="831">
        <v>753445.87210000004</v>
      </c>
      <c r="AS51" s="55">
        <v>-202414.20524000004</v>
      </c>
      <c r="AT51" s="46">
        <v>-0.22869402205129766</v>
      </c>
      <c r="AU51" s="50"/>
      <c r="AV51" s="71">
        <v>682673.22915999987</v>
      </c>
      <c r="AW51" s="71">
        <v>885087.43439999991</v>
      </c>
      <c r="AX51" s="58">
        <v>749379.71768</v>
      </c>
      <c r="AY51" s="58">
        <v>887130.90860000008</v>
      </c>
      <c r="AZ51" s="58">
        <v>1199170</v>
      </c>
      <c r="BA51" s="58">
        <v>640259.1</v>
      </c>
      <c r="BB51" s="58">
        <v>309155.40000000002</v>
      </c>
      <c r="BC51" s="58">
        <v>485648.8</v>
      </c>
      <c r="BD51" s="71">
        <v>1063624.8044799999</v>
      </c>
      <c r="BE51" s="71">
        <v>998761.94079999998</v>
      </c>
      <c r="BF51" s="71">
        <v>483434.72863999999</v>
      </c>
      <c r="BG51" s="71" t="s">
        <v>42</v>
      </c>
      <c r="BH51" s="701"/>
      <c r="BK51" s="1435"/>
      <c r="BL51" s="1435"/>
    </row>
    <row r="52" spans="1:64" ht="9.75" customHeight="1" x14ac:dyDescent="0.2">
      <c r="A52" s="8"/>
      <c r="B52" s="7"/>
      <c r="C52" s="56"/>
      <c r="D52" s="46"/>
      <c r="E52" s="519"/>
      <c r="F52" s="47"/>
      <c r="G52" s="47"/>
      <c r="H52" s="1"/>
      <c r="I52" s="362"/>
      <c r="J52" s="47"/>
      <c r="K52" s="47"/>
      <c r="L52" s="1"/>
      <c r="M52" s="362"/>
      <c r="N52" s="47"/>
      <c r="O52" s="47"/>
      <c r="P52" s="1"/>
      <c r="Q52" s="362"/>
      <c r="R52" s="47"/>
      <c r="S52" s="47"/>
      <c r="T52" s="1"/>
      <c r="U52" s="362"/>
      <c r="V52" s="47"/>
      <c r="W52" s="47"/>
      <c r="X52" s="1"/>
      <c r="Y52" s="362"/>
      <c r="Z52" s="47"/>
      <c r="AA52" s="47"/>
      <c r="AB52" s="1"/>
      <c r="AC52" s="362"/>
      <c r="AD52" s="47"/>
      <c r="AE52" s="47"/>
      <c r="AF52" s="1"/>
      <c r="AG52" s="362"/>
      <c r="AH52" s="72"/>
      <c r="AI52" s="72"/>
      <c r="AJ52" s="72"/>
      <c r="AK52" s="72"/>
      <c r="AL52" s="74"/>
      <c r="AM52" s="382"/>
      <c r="AN52" s="382"/>
      <c r="AO52" s="73"/>
      <c r="AP52" s="196"/>
      <c r="AQ52" s="1"/>
      <c r="AR52" s="1"/>
      <c r="AS52" s="72"/>
      <c r="AT52" s="78"/>
      <c r="AU52" s="53"/>
      <c r="AV52" s="74"/>
      <c r="AW52" s="74"/>
      <c r="AX52" s="74"/>
      <c r="AY52" s="74"/>
      <c r="AZ52" s="74"/>
      <c r="BA52" s="74"/>
      <c r="BB52" s="74"/>
      <c r="BC52" s="74"/>
      <c r="BD52" s="74"/>
      <c r="BE52" s="74"/>
      <c r="BF52" s="74"/>
      <c r="BG52" s="74"/>
      <c r="BH52" s="701"/>
    </row>
    <row r="53" spans="1:64" ht="12" customHeight="1" x14ac:dyDescent="0.2">
      <c r="A53" s="615" t="s">
        <v>253</v>
      </c>
      <c r="B53" s="7"/>
      <c r="C53" s="56"/>
      <c r="D53" s="46"/>
      <c r="E53" s="519"/>
      <c r="F53" s="47"/>
      <c r="G53" s="47"/>
      <c r="H53" s="1"/>
      <c r="I53" s="362"/>
      <c r="J53" s="47"/>
      <c r="K53" s="47"/>
      <c r="L53" s="1"/>
      <c r="M53" s="362"/>
      <c r="N53" s="47"/>
      <c r="O53" s="47"/>
      <c r="P53" s="1"/>
      <c r="Q53" s="362"/>
      <c r="R53" s="47"/>
      <c r="S53" s="47"/>
      <c r="T53" s="1"/>
      <c r="U53" s="362"/>
      <c r="V53" s="47"/>
      <c r="W53" s="47"/>
      <c r="X53" s="1"/>
      <c r="Y53" s="362"/>
      <c r="Z53" s="47"/>
      <c r="AA53" s="47"/>
      <c r="AB53" s="1"/>
      <c r="AC53" s="362"/>
      <c r="AD53" s="47"/>
      <c r="AE53" s="47"/>
      <c r="AF53" s="1"/>
      <c r="AG53" s="362"/>
      <c r="AH53" s="72"/>
      <c r="AI53" s="72"/>
      <c r="AJ53" s="72"/>
      <c r="AK53" s="72"/>
      <c r="AL53" s="74"/>
      <c r="AM53" s="382"/>
      <c r="AN53" s="382"/>
      <c r="AO53" s="73"/>
      <c r="AP53" s="196"/>
      <c r="AQ53" s="1"/>
      <c r="AR53" s="1"/>
      <c r="AS53" s="72"/>
      <c r="AT53" s="78"/>
      <c r="AU53" s="53"/>
      <c r="AV53" s="74"/>
      <c r="AW53" s="74"/>
      <c r="AX53" s="74"/>
      <c r="AY53" s="74"/>
      <c r="AZ53" s="74"/>
      <c r="BA53" s="74"/>
      <c r="BB53" s="74"/>
      <c r="BC53" s="74"/>
      <c r="BD53" s="74"/>
      <c r="BE53" s="74"/>
      <c r="BF53" s="74"/>
      <c r="BG53" s="74"/>
      <c r="BH53" s="701"/>
    </row>
    <row r="54" spans="1:64" ht="12" customHeight="1" x14ac:dyDescent="0.2">
      <c r="A54" s="8"/>
      <c r="B54" s="7" t="s">
        <v>241</v>
      </c>
      <c r="C54" s="56">
        <v>0</v>
      </c>
      <c r="D54" s="755">
        <v>0</v>
      </c>
      <c r="E54" s="519"/>
      <c r="F54" s="717">
        <v>8540</v>
      </c>
      <c r="G54" s="680">
        <v>8540</v>
      </c>
      <c r="H54" s="680">
        <v>8540</v>
      </c>
      <c r="I54" s="854">
        <v>8540</v>
      </c>
      <c r="J54" s="717">
        <v>8540</v>
      </c>
      <c r="K54" s="680">
        <v>8540</v>
      </c>
      <c r="L54" s="680">
        <v>8540</v>
      </c>
      <c r="M54" s="854">
        <v>8540</v>
      </c>
      <c r="N54" s="717">
        <v>8540</v>
      </c>
      <c r="O54" s="680">
        <v>8540</v>
      </c>
      <c r="P54" s="680">
        <v>8540</v>
      </c>
      <c r="Q54" s="854">
        <v>8540</v>
      </c>
      <c r="R54" s="717">
        <v>4540</v>
      </c>
      <c r="S54" s="680">
        <v>4540</v>
      </c>
      <c r="T54" s="680">
        <v>4540</v>
      </c>
      <c r="U54" s="854">
        <v>4000</v>
      </c>
      <c r="V54" s="503" t="s">
        <v>186</v>
      </c>
      <c r="W54" s="621" t="s">
        <v>186</v>
      </c>
      <c r="X54" s="611" t="s">
        <v>186</v>
      </c>
      <c r="Y54" s="855" t="s">
        <v>186</v>
      </c>
      <c r="Z54" s="621" t="s">
        <v>186</v>
      </c>
      <c r="AA54" s="621" t="s">
        <v>186</v>
      </c>
      <c r="AB54" s="611" t="s">
        <v>186</v>
      </c>
      <c r="AC54" s="855" t="s">
        <v>186</v>
      </c>
      <c r="AD54" s="621" t="s">
        <v>186</v>
      </c>
      <c r="AE54" s="621" t="s">
        <v>186</v>
      </c>
      <c r="AF54" s="611" t="s">
        <v>186</v>
      </c>
      <c r="AG54" s="855" t="s">
        <v>186</v>
      </c>
      <c r="AH54" s="622" t="s">
        <v>186</v>
      </c>
      <c r="AI54" s="622" t="s">
        <v>186</v>
      </c>
      <c r="AJ54" s="622" t="s">
        <v>186</v>
      </c>
      <c r="AK54" s="622" t="s">
        <v>186</v>
      </c>
      <c r="AL54" s="623" t="s">
        <v>186</v>
      </c>
      <c r="AM54" s="624" t="s">
        <v>186</v>
      </c>
      <c r="AN54" s="624" t="s">
        <v>186</v>
      </c>
      <c r="AO54" s="625" t="s">
        <v>186</v>
      </c>
      <c r="AP54" s="531"/>
      <c r="AQ54" s="680">
        <v>8540</v>
      </c>
      <c r="AR54" s="680">
        <v>8540</v>
      </c>
      <c r="AS54" s="55">
        <v>0</v>
      </c>
      <c r="AT54" s="46">
        <v>0</v>
      </c>
      <c r="AU54" s="621"/>
      <c r="AV54" s="718">
        <v>8540</v>
      </c>
      <c r="AW54" s="718">
        <v>8540</v>
      </c>
      <c r="AX54" s="718">
        <v>8540</v>
      </c>
      <c r="AY54" s="718">
        <v>4540</v>
      </c>
      <c r="AZ54" s="623" t="s">
        <v>186</v>
      </c>
      <c r="BA54" s="623" t="s">
        <v>186</v>
      </c>
      <c r="BB54" s="623" t="s">
        <v>186</v>
      </c>
      <c r="BC54" s="623" t="s">
        <v>186</v>
      </c>
      <c r="BD54" s="623" t="s">
        <v>186</v>
      </c>
      <c r="BE54" s="74"/>
      <c r="BF54" s="74"/>
      <c r="BG54" s="74"/>
      <c r="BH54" s="701"/>
    </row>
    <row r="55" spans="1:64" ht="9.75" customHeight="1" x14ac:dyDescent="0.2">
      <c r="A55" s="8"/>
      <c r="B55" s="7"/>
      <c r="C55" s="56"/>
      <c r="D55" s="46"/>
      <c r="E55" s="519"/>
      <c r="F55" s="47"/>
      <c r="G55" s="47"/>
      <c r="H55" s="1"/>
      <c r="I55" s="362"/>
      <c r="J55" s="47"/>
      <c r="K55" s="47"/>
      <c r="L55" s="1"/>
      <c r="M55" s="362"/>
      <c r="N55" s="47"/>
      <c r="O55" s="47"/>
      <c r="P55" s="1"/>
      <c r="Q55" s="362"/>
      <c r="R55" s="47"/>
      <c r="S55" s="47"/>
      <c r="T55" s="1"/>
      <c r="U55" s="362"/>
      <c r="V55" s="47"/>
      <c r="W55" s="47"/>
      <c r="X55" s="1"/>
      <c r="Y55" s="362"/>
      <c r="Z55" s="47"/>
      <c r="AA55" s="47"/>
      <c r="AB55" s="1"/>
      <c r="AC55" s="362"/>
      <c r="AD55" s="47"/>
      <c r="AE55" s="47"/>
      <c r="AF55" s="1"/>
      <c r="AG55" s="362"/>
      <c r="AH55" s="72"/>
      <c r="AI55" s="72"/>
      <c r="AJ55" s="72"/>
      <c r="AK55" s="72"/>
      <c r="AL55" s="74"/>
      <c r="AM55" s="382"/>
      <c r="AN55" s="382"/>
      <c r="AO55" s="73"/>
      <c r="AP55" s="196"/>
      <c r="AQ55" s="1"/>
      <c r="AR55" s="1"/>
      <c r="AS55" s="72"/>
      <c r="AT55" s="78"/>
      <c r="AU55" s="53"/>
      <c r="AV55" s="74"/>
      <c r="AW55" s="74"/>
      <c r="AX55" s="74"/>
      <c r="AY55" s="74"/>
      <c r="AZ55" s="74"/>
      <c r="BA55" s="74"/>
      <c r="BB55" s="74"/>
      <c r="BC55" s="74"/>
      <c r="BD55" s="74"/>
      <c r="BE55" s="74"/>
      <c r="BF55" s="74"/>
      <c r="BG55" s="74"/>
      <c r="BH55" s="701"/>
    </row>
    <row r="56" spans="1:64" ht="12.75" customHeight="1" x14ac:dyDescent="0.2">
      <c r="A56" s="615" t="s">
        <v>23</v>
      </c>
      <c r="B56" s="7"/>
      <c r="C56" s="56"/>
      <c r="D56" s="46"/>
      <c r="E56" s="519"/>
      <c r="F56" s="47"/>
      <c r="G56" s="47"/>
      <c r="H56" s="7"/>
      <c r="I56" s="412"/>
      <c r="J56" s="47"/>
      <c r="K56" s="47"/>
      <c r="L56" s="7"/>
      <c r="M56" s="412"/>
      <c r="N56" s="755"/>
      <c r="O56" s="755"/>
      <c r="P56" s="7"/>
      <c r="Q56" s="412"/>
      <c r="R56" s="755"/>
      <c r="S56" s="755"/>
      <c r="T56" s="7"/>
      <c r="U56" s="412"/>
      <c r="V56" s="755"/>
      <c r="W56" s="755"/>
      <c r="X56" s="7"/>
      <c r="Y56" s="412"/>
      <c r="Z56" s="755"/>
      <c r="AA56" s="755"/>
      <c r="AB56" s="7"/>
      <c r="AC56" s="412"/>
      <c r="AD56" s="755"/>
      <c r="AE56" s="755"/>
      <c r="AF56" s="7"/>
      <c r="AG56" s="412"/>
      <c r="AH56" s="1368"/>
      <c r="AI56" s="188"/>
      <c r="AJ56" s="188"/>
      <c r="AK56" s="188"/>
      <c r="AL56" s="1369"/>
      <c r="AM56" s="1370"/>
      <c r="AN56" s="1370"/>
      <c r="AO56" s="1371"/>
      <c r="AP56" s="85"/>
      <c r="AQ56" s="7"/>
      <c r="AR56" s="1"/>
      <c r="AS56" s="72"/>
      <c r="AT56" s="78"/>
      <c r="AU56" s="53"/>
      <c r="AV56" s="74"/>
      <c r="AW56" s="74"/>
      <c r="AX56" s="74"/>
      <c r="AY56" s="74"/>
      <c r="AZ56" s="74"/>
      <c r="BA56" s="74"/>
      <c r="BB56" s="74"/>
      <c r="BC56" s="74"/>
      <c r="BD56" s="74"/>
      <c r="BE56" s="74" t="s">
        <v>44</v>
      </c>
      <c r="BF56" s="74"/>
      <c r="BG56" s="74"/>
      <c r="BH56" s="701"/>
    </row>
    <row r="57" spans="1:64" ht="13.5" customHeight="1" x14ac:dyDescent="0.2">
      <c r="A57" s="487"/>
      <c r="B57" s="7" t="s">
        <v>242</v>
      </c>
      <c r="C57" s="377">
        <v>0</v>
      </c>
      <c r="D57" s="755">
        <v>0</v>
      </c>
      <c r="E57" s="519"/>
      <c r="F57" s="40">
        <v>0.05</v>
      </c>
      <c r="G57" s="719">
        <v>0.05</v>
      </c>
      <c r="H57" s="545">
        <v>0.1</v>
      </c>
      <c r="I57" s="706">
        <v>0.05</v>
      </c>
      <c r="J57" s="40">
        <v>0.05</v>
      </c>
      <c r="K57" s="719">
        <v>0.05</v>
      </c>
      <c r="L57" s="545">
        <v>0.05</v>
      </c>
      <c r="M57" s="706">
        <v>0.05</v>
      </c>
      <c r="N57" s="40">
        <v>0.05</v>
      </c>
      <c r="O57" s="1372">
        <v>0.05</v>
      </c>
      <c r="P57" s="545">
        <v>0.05</v>
      </c>
      <c r="Q57" s="706">
        <v>0.05</v>
      </c>
      <c r="R57" s="40">
        <v>0.1</v>
      </c>
      <c r="S57" s="1372">
        <v>0.1</v>
      </c>
      <c r="T57" s="545">
        <v>0.1</v>
      </c>
      <c r="U57" s="706">
        <v>0.1</v>
      </c>
      <c r="V57" s="40">
        <v>0.1</v>
      </c>
      <c r="W57" s="1373">
        <v>7.4999999999999997E-2</v>
      </c>
      <c r="X57" s="545">
        <v>0.05</v>
      </c>
      <c r="Y57" s="706">
        <v>0.05</v>
      </c>
      <c r="Z57" s="40">
        <v>0.05</v>
      </c>
      <c r="AA57" s="40">
        <v>0.05</v>
      </c>
      <c r="AB57" s="40">
        <v>0.05</v>
      </c>
      <c r="AC57" s="742">
        <v>0</v>
      </c>
      <c r="AD57" s="40">
        <v>0</v>
      </c>
      <c r="AE57" s="40">
        <v>0</v>
      </c>
      <c r="AF57" s="40">
        <v>0</v>
      </c>
      <c r="AG57" s="1374">
        <v>0.125</v>
      </c>
      <c r="AH57" s="34">
        <v>0.125</v>
      </c>
      <c r="AI57" s="34">
        <v>0.125</v>
      </c>
      <c r="AJ57" s="1375">
        <v>0.125</v>
      </c>
      <c r="AK57" s="1375">
        <v>0.125</v>
      </c>
      <c r="AL57" s="597">
        <v>0.1</v>
      </c>
      <c r="AM57" s="1376">
        <v>0.1</v>
      </c>
      <c r="AN57" s="1376">
        <v>0.08</v>
      </c>
      <c r="AO57" s="1377">
        <v>0.08</v>
      </c>
      <c r="AP57" s="85"/>
      <c r="AQ57" s="762">
        <v>0.2</v>
      </c>
      <c r="AR57" s="63">
        <v>0.15000000000000002</v>
      </c>
      <c r="AS57" s="61">
        <v>4.9999999999999989E-2</v>
      </c>
      <c r="AT57" s="46">
        <v>0.24999999999999994</v>
      </c>
      <c r="AU57" s="53"/>
      <c r="AV57" s="768">
        <v>0.25</v>
      </c>
      <c r="AW57" s="768">
        <v>0.2</v>
      </c>
      <c r="AX57" s="768">
        <v>0.2</v>
      </c>
      <c r="AY57" s="768">
        <v>0.4</v>
      </c>
      <c r="AZ57" s="596">
        <v>0.27500000000000002</v>
      </c>
      <c r="BA57" s="505">
        <v>0.15</v>
      </c>
      <c r="BB57" s="432">
        <v>0.125</v>
      </c>
      <c r="BC57" s="48">
        <v>0.5</v>
      </c>
      <c r="BD57" s="48">
        <v>0.36</v>
      </c>
      <c r="BE57" s="48">
        <v>0.28000000000000003</v>
      </c>
      <c r="BF57" s="48">
        <v>0.26</v>
      </c>
      <c r="BG57" s="48">
        <v>0</v>
      </c>
      <c r="BH57" s="701"/>
    </row>
    <row r="58" spans="1:64" ht="13.5" hidden="1" customHeight="1" x14ac:dyDescent="0.2">
      <c r="A58" s="487"/>
      <c r="B58" s="7" t="s">
        <v>25</v>
      </c>
      <c r="C58" s="377">
        <v>0</v>
      </c>
      <c r="D58" s="46" t="s">
        <v>343</v>
      </c>
      <c r="E58" s="519"/>
      <c r="F58" s="40"/>
      <c r="G58" s="555"/>
      <c r="H58" s="40"/>
      <c r="I58" s="742"/>
      <c r="J58" s="40"/>
      <c r="K58" s="555"/>
      <c r="L58" s="40"/>
      <c r="M58" s="742"/>
      <c r="N58" s="40"/>
      <c r="O58" s="558"/>
      <c r="P58" s="40"/>
      <c r="Q58" s="742"/>
      <c r="R58" s="40"/>
      <c r="S58" s="558"/>
      <c r="T58" s="40"/>
      <c r="U58" s="742"/>
      <c r="V58" s="40"/>
      <c r="W58" s="558"/>
      <c r="X58" s="40"/>
      <c r="Y58" s="742"/>
      <c r="Z58" s="40">
        <v>0</v>
      </c>
      <c r="AA58" s="40">
        <v>0</v>
      </c>
      <c r="AB58" s="40">
        <v>0</v>
      </c>
      <c r="AC58" s="742">
        <v>0</v>
      </c>
      <c r="AD58" s="40">
        <v>0</v>
      </c>
      <c r="AE58" s="40">
        <v>0</v>
      </c>
      <c r="AF58" s="40">
        <v>0</v>
      </c>
      <c r="AG58" s="1378">
        <v>0</v>
      </c>
      <c r="AH58" s="40">
        <v>0</v>
      </c>
      <c r="AI58" s="32">
        <v>0</v>
      </c>
      <c r="AJ58" s="32">
        <v>0</v>
      </c>
      <c r="AK58" s="40">
        <v>0</v>
      </c>
      <c r="AL58" s="597">
        <v>0</v>
      </c>
      <c r="AM58" s="1376">
        <v>0</v>
      </c>
      <c r="AN58" s="1376">
        <v>0</v>
      </c>
      <c r="AO58" s="1376">
        <v>0</v>
      </c>
      <c r="AP58" s="85"/>
      <c r="AQ58" s="7"/>
      <c r="AR58" s="1"/>
      <c r="AS58" s="51">
        <v>0</v>
      </c>
      <c r="AT58" s="60">
        <v>0</v>
      </c>
      <c r="AU58" s="53"/>
      <c r="AV58" s="597"/>
      <c r="AW58" s="597"/>
      <c r="AX58" s="597"/>
      <c r="AY58" s="597"/>
      <c r="AZ58" s="597">
        <v>0</v>
      </c>
      <c r="BA58" s="48">
        <v>0</v>
      </c>
      <c r="BB58" s="48">
        <v>0</v>
      </c>
      <c r="BC58" s="48">
        <v>0</v>
      </c>
      <c r="BD58" s="48">
        <v>0</v>
      </c>
      <c r="BE58" s="48">
        <v>0</v>
      </c>
      <c r="BF58" s="48">
        <v>0.15</v>
      </c>
      <c r="BG58" s="48">
        <v>0</v>
      </c>
      <c r="BH58" s="701"/>
    </row>
    <row r="59" spans="1:64" ht="13.5" customHeight="1" x14ac:dyDescent="0.2">
      <c r="A59" s="487"/>
      <c r="B59" s="11" t="s">
        <v>243</v>
      </c>
      <c r="C59" s="54">
        <v>0.62846027233278456</v>
      </c>
      <c r="D59" s="46"/>
      <c r="E59" s="519"/>
      <c r="F59" s="386">
        <v>3.0674846625766874E-2</v>
      </c>
      <c r="G59" s="556">
        <v>2.5608194622279132E-2</v>
      </c>
      <c r="H59" s="35">
        <v>3.5746201966041113E-2</v>
      </c>
      <c r="I59" s="742">
        <v>1.627339300244101E-2</v>
      </c>
      <c r="J59" s="386">
        <v>2.4390243902439029E-2</v>
      </c>
      <c r="K59" s="556">
        <v>2.8776978417266189E-2</v>
      </c>
      <c r="L59" s="35">
        <v>3.0165912518853699E-2</v>
      </c>
      <c r="M59" s="742">
        <v>3.5026269702276708E-2</v>
      </c>
      <c r="N59" s="386">
        <v>2.932551319648094E-2</v>
      </c>
      <c r="O59" s="1379">
        <v>2.9850746268656716E-2</v>
      </c>
      <c r="P59" s="35">
        <v>3.5211267605633804E-2</v>
      </c>
      <c r="Q59" s="742">
        <v>3.6363636363636369E-2</v>
      </c>
      <c r="R59" s="386">
        <v>4.8192771084337345E-2</v>
      </c>
      <c r="S59" s="1379">
        <v>5.1282051282051287E-2</v>
      </c>
      <c r="T59" s="35">
        <v>4.2000000000000003E-2</v>
      </c>
      <c r="U59" s="742">
        <v>3.236245954692557E-2</v>
      </c>
      <c r="V59" s="386">
        <v>2.8571428571428574E-2</v>
      </c>
      <c r="W59" s="1379">
        <v>2.1186440677966101E-2</v>
      </c>
      <c r="X59" s="35">
        <v>1.9286403085824497E-2</v>
      </c>
      <c r="Y59" s="742">
        <v>2.1299254526091587E-2</v>
      </c>
      <c r="Z59" s="755">
        <v>1.7999999999999999E-2</v>
      </c>
      <c r="AA59" s="755">
        <v>1.9E-2</v>
      </c>
      <c r="AB59" s="35">
        <v>0.02</v>
      </c>
      <c r="AC59" s="742">
        <v>0</v>
      </c>
      <c r="AD59" s="40">
        <v>0</v>
      </c>
      <c r="AE59" s="40">
        <v>0</v>
      </c>
      <c r="AF59" s="40">
        <v>0</v>
      </c>
      <c r="AG59" s="742">
        <v>6.2899999999999998E-2</v>
      </c>
      <c r="AH59" s="755">
        <v>5.0999999999999997E-2</v>
      </c>
      <c r="AI59" s="35">
        <v>3.3000000000000002E-2</v>
      </c>
      <c r="AJ59" s="35">
        <v>2.63E-2</v>
      </c>
      <c r="AK59" s="42">
        <v>2.4E-2</v>
      </c>
      <c r="AL59" s="521">
        <v>1.7999999999999999E-2</v>
      </c>
      <c r="AM59" s="1380">
        <v>2.1999999999999999E-2</v>
      </c>
      <c r="AN59" s="1380">
        <v>1.9E-2</v>
      </c>
      <c r="AO59" s="1371">
        <v>1.7999999999999999E-2</v>
      </c>
      <c r="AP59" s="85"/>
      <c r="AQ59" s="11">
        <v>3.4144259496372176E-2</v>
      </c>
      <c r="AR59" s="52">
        <v>2.9000000000000001E-2</v>
      </c>
      <c r="AS59" s="345">
        <v>1.3953314379769561</v>
      </c>
      <c r="AT59" s="78"/>
      <c r="AU59" s="53"/>
      <c r="AV59" s="533">
        <v>3.834355828220859E-2</v>
      </c>
      <c r="AW59" s="533">
        <v>2.4390243902439029E-2</v>
      </c>
      <c r="AX59" s="533">
        <v>2.932551319648094E-2</v>
      </c>
      <c r="AY59" s="533">
        <v>4.8192771084337345E-2</v>
      </c>
      <c r="AZ59" s="533">
        <v>1.9642857142857146E-2</v>
      </c>
      <c r="BA59" s="49">
        <v>3.0000000000000001E-3</v>
      </c>
      <c r="BB59" s="49">
        <v>2.3E-2</v>
      </c>
      <c r="BC59" s="49">
        <v>5.0999999999999997E-2</v>
      </c>
      <c r="BD59" s="49">
        <v>1.6E-2</v>
      </c>
      <c r="BE59" s="49">
        <v>1.2999999999999999E-2</v>
      </c>
      <c r="BF59" s="50">
        <v>2.4799999999999999E-2</v>
      </c>
      <c r="BG59" s="48">
        <v>0</v>
      </c>
      <c r="BH59" s="701"/>
    </row>
    <row r="60" spans="1:64" ht="13.5" customHeight="1" x14ac:dyDescent="0.2">
      <c r="A60" s="487"/>
      <c r="B60" s="11" t="s">
        <v>244</v>
      </c>
      <c r="C60" s="54">
        <v>-39.383762648333523</v>
      </c>
      <c r="D60" s="755"/>
      <c r="E60" s="519"/>
      <c r="F60" s="35">
        <v>-0.17105845725526808</v>
      </c>
      <c r="G60" s="53">
        <v>-0.20929178718159411</v>
      </c>
      <c r="H60" s="35">
        <v>0.72006625317169437</v>
      </c>
      <c r="I60" s="742">
        <v>0.33807245905986877</v>
      </c>
      <c r="J60" s="35">
        <v>0.22277916922806712</v>
      </c>
      <c r="K60" s="556">
        <v>0.35353798958333338</v>
      </c>
      <c r="L60" s="35">
        <v>-1.5514488801452786</v>
      </c>
      <c r="M60" s="742">
        <v>0.89578095485210174</v>
      </c>
      <c r="N60" s="35">
        <v>1.3047954856708093</v>
      </c>
      <c r="O60" s="1379">
        <v>0.6502969868053794</v>
      </c>
      <c r="P60" s="35">
        <v>-0.29151892938496587</v>
      </c>
      <c r="Q60" s="742">
        <v>-0.22371207025083323</v>
      </c>
      <c r="R60" s="35">
        <v>-0.31427116543560901</v>
      </c>
      <c r="S60" s="1379">
        <v>6.90500463576159</v>
      </c>
      <c r="T60" s="35">
        <v>-1.177</v>
      </c>
      <c r="U60" s="742">
        <v>0.6340895917588707</v>
      </c>
      <c r="V60" s="386">
        <v>0.20039687341190135</v>
      </c>
      <c r="W60" s="1379">
        <v>0.14412517152359466</v>
      </c>
      <c r="X60" s="35">
        <v>0.40265827724124476</v>
      </c>
      <c r="Y60" s="742">
        <v>0.79570697989172468</v>
      </c>
      <c r="Z60" s="755">
        <v>0.38400000000000001</v>
      </c>
      <c r="AA60" s="755">
        <v>0.189</v>
      </c>
      <c r="AB60" s="35">
        <v>0.42399999999999999</v>
      </c>
      <c r="AC60" s="742">
        <v>0</v>
      </c>
      <c r="AD60" s="40">
        <v>0</v>
      </c>
      <c r="AE60" s="40">
        <v>0</v>
      </c>
      <c r="AF60" s="40">
        <v>0</v>
      </c>
      <c r="AG60" s="742">
        <v>0.436</v>
      </c>
      <c r="AH60" s="755">
        <v>-0.17599999999999999</v>
      </c>
      <c r="AI60" s="35">
        <v>0.40799999999999997</v>
      </c>
      <c r="AJ60" s="35">
        <v>0.49199999999999999</v>
      </c>
      <c r="AK60" s="35">
        <v>0.157</v>
      </c>
      <c r="AL60" s="521">
        <v>0.185</v>
      </c>
      <c r="AM60" s="1380">
        <v>0.20300000000000001</v>
      </c>
      <c r="AN60" s="1380">
        <v>0.216</v>
      </c>
      <c r="AO60" s="1380">
        <v>0.14799999999999999</v>
      </c>
      <c r="AP60" s="85"/>
      <c r="AQ60" s="11">
        <v>4.1390405597241937</v>
      </c>
      <c r="AR60" s="53">
        <v>0.91200000000000003</v>
      </c>
      <c r="AS60" s="345">
        <v>-153.53426527546978</v>
      </c>
      <c r="AT60" s="78"/>
      <c r="AU60" s="53"/>
      <c r="AV60" s="521">
        <v>-1.0191131339531543</v>
      </c>
      <c r="AW60" s="521">
        <v>0.51622951880154355</v>
      </c>
      <c r="AX60" s="521">
        <v>-0.71800174848453002</v>
      </c>
      <c r="AY60" s="521">
        <v>-1.3992529018390258</v>
      </c>
      <c r="AZ60" s="521">
        <v>0.22779539917588201</v>
      </c>
      <c r="BA60" s="50">
        <v>0.224</v>
      </c>
      <c r="BB60" s="50">
        <v>-0.151</v>
      </c>
      <c r="BC60" s="50">
        <v>0.78300000000000003</v>
      </c>
      <c r="BD60" s="50">
        <v>0.185</v>
      </c>
      <c r="BE60" s="50">
        <v>0.16200000000000001</v>
      </c>
      <c r="BF60" s="50">
        <v>0.247</v>
      </c>
      <c r="BG60" s="48">
        <v>0</v>
      </c>
      <c r="BH60" s="701"/>
    </row>
    <row r="61" spans="1:64" ht="13.5" customHeight="1" x14ac:dyDescent="0.2">
      <c r="A61" s="10"/>
      <c r="B61" s="11" t="s">
        <v>27</v>
      </c>
      <c r="C61" s="54">
        <v>-34.582116637036073</v>
      </c>
      <c r="D61" s="46"/>
      <c r="E61" s="519"/>
      <c r="F61" s="53">
        <v>-0.15877080665813062</v>
      </c>
      <c r="G61" s="53">
        <v>-0.29758713136729226</v>
      </c>
      <c r="H61" s="35">
        <v>-8.1366965012205028E-2</v>
      </c>
      <c r="I61" s="1380">
        <v>0.50487804878048781</v>
      </c>
      <c r="J61" s="53">
        <v>0.18705035971223008</v>
      </c>
      <c r="K61" s="53">
        <v>5.5806938159879381E-2</v>
      </c>
      <c r="L61" s="35">
        <v>0.16987740805604204</v>
      </c>
      <c r="M61" s="1380">
        <v>-0.155425219941349</v>
      </c>
      <c r="N61" s="35">
        <v>2.5373134328358221E-2</v>
      </c>
      <c r="O61" s="35">
        <v>0.18838028169014095</v>
      </c>
      <c r="P61" s="35">
        <v>4.1818181818181761E-2</v>
      </c>
      <c r="Q61" s="1380">
        <v>-0.33132530120481934</v>
      </c>
      <c r="R61" s="35">
        <v>7.6923076923077038E-2</v>
      </c>
      <c r="S61" s="35">
        <v>-0.17277486910994772</v>
      </c>
      <c r="T61" s="35">
        <v>-0.219</v>
      </c>
      <c r="U61" s="1380">
        <v>-0.11000000000000003</v>
      </c>
      <c r="V61" s="35">
        <v>-4.2372881355932299E-3</v>
      </c>
      <c r="W61" s="386">
        <v>0.37270973963355847</v>
      </c>
      <c r="X61" s="35">
        <v>0.10969116080937152</v>
      </c>
      <c r="Y61" s="1380">
        <v>-0.14954954954954947</v>
      </c>
      <c r="Z61" s="755">
        <v>7.4999999999999997E-2</v>
      </c>
      <c r="AA61" s="755">
        <v>1.7000000000000001E-2</v>
      </c>
      <c r="AB61" s="35">
        <v>0.46800000000000003</v>
      </c>
      <c r="AC61" s="1380">
        <v>0.28699999999999998</v>
      </c>
      <c r="AD61" s="755">
        <v>0.33700000000000002</v>
      </c>
      <c r="AE61" s="755">
        <v>-0.49399999999999999</v>
      </c>
      <c r="AF61" s="35">
        <v>4.0000000000000001E-3</v>
      </c>
      <c r="AG61" s="1380">
        <v>-0.17799999999999999</v>
      </c>
      <c r="AH61" s="755">
        <v>-0.35899999999999999</v>
      </c>
      <c r="AI61" s="35">
        <v>-0.19400000000000001</v>
      </c>
      <c r="AJ61" s="35">
        <v>-8.8999999999999996E-2</v>
      </c>
      <c r="AK61" s="35">
        <v>-5.3999999999999999E-2</v>
      </c>
      <c r="AL61" s="521">
        <v>0.19500000000000001</v>
      </c>
      <c r="AM61" s="1380">
        <v>9.1999999999999998E-2</v>
      </c>
      <c r="AN61" s="1380">
        <v>-3.1E-2</v>
      </c>
      <c r="AO61" s="1380">
        <v>-0.14399999999999999</v>
      </c>
      <c r="AP61" s="85"/>
      <c r="AQ61" s="35">
        <v>-2.3170731707317035E-2</v>
      </c>
      <c r="AR61" s="35">
        <v>4.1000000000000002E-2</v>
      </c>
      <c r="AS61" s="345">
        <v>-40.606179815463825</v>
      </c>
      <c r="AT61" s="46"/>
      <c r="AU61" s="53"/>
      <c r="AV61" s="521">
        <v>-0.17439024390243901</v>
      </c>
      <c r="AW61" s="521">
        <v>0.23167155425219926</v>
      </c>
      <c r="AX61" s="521">
        <v>-0.15421686746987956</v>
      </c>
      <c r="AY61" s="521">
        <v>-0.3785714285714285</v>
      </c>
      <c r="AZ61" s="521">
        <v>0.28603603603603606</v>
      </c>
      <c r="BA61" s="50">
        <v>1.083</v>
      </c>
      <c r="BB61" s="50">
        <v>-0.442</v>
      </c>
      <c r="BC61" s="50">
        <v>-0.55500000000000005</v>
      </c>
      <c r="BD61" s="50">
        <v>8.3000000000000004E-2</v>
      </c>
      <c r="BE61" s="50">
        <v>1.034</v>
      </c>
      <c r="BF61" s="50">
        <v>5.5E-2</v>
      </c>
      <c r="BG61" s="48">
        <v>0</v>
      </c>
      <c r="BH61" s="701"/>
    </row>
    <row r="62" spans="1:64" ht="13.5" customHeight="1" x14ac:dyDescent="0.2">
      <c r="A62" s="11"/>
      <c r="B62" s="11" t="s">
        <v>214</v>
      </c>
      <c r="C62" s="54">
        <v>-23.251488197132524</v>
      </c>
      <c r="D62" s="46"/>
      <c r="E62" s="519"/>
      <c r="F62" s="35">
        <v>-0.13409041746193082</v>
      </c>
      <c r="G62" s="53">
        <v>-0.10505009771417391</v>
      </c>
      <c r="H62" s="35">
        <v>6.0727888466192509E-2</v>
      </c>
      <c r="I62" s="1380">
        <v>6.4335658811306318E-2</v>
      </c>
      <c r="J62" s="35">
        <v>9.8424464509394446E-2</v>
      </c>
      <c r="K62" s="53">
        <v>6.3806973126119951E-2</v>
      </c>
      <c r="L62" s="35">
        <v>-1.5067347530127451E-2</v>
      </c>
      <c r="M62" s="1380">
        <v>2.717544206996925E-2</v>
      </c>
      <c r="N62" s="35">
        <v>1.8934813074644365E-2</v>
      </c>
      <c r="O62" s="35">
        <v>3.7366523129141765E-2</v>
      </c>
      <c r="P62" s="35">
        <v>-8.3199999999999996E-2</v>
      </c>
      <c r="Q62" s="1380">
        <v>-0.10592001246697701</v>
      </c>
      <c r="R62" s="35">
        <v>-0.16172899302816779</v>
      </c>
      <c r="S62" s="35">
        <v>6.4151554803690298E-3</v>
      </c>
      <c r="T62" s="35">
        <v>-2.7853674741278488E-2</v>
      </c>
      <c r="U62" s="1380">
        <v>7.0202502883376317E-2</v>
      </c>
      <c r="V62" s="35">
        <v>0.22622257858938297</v>
      </c>
      <c r="W62" s="35">
        <v>0.24278270139112515</v>
      </c>
      <c r="X62" s="35">
        <v>6.018341972092222E-2</v>
      </c>
      <c r="Y62" s="1380">
        <v>3.8676316398525201E-2</v>
      </c>
      <c r="Z62" s="35">
        <v>7.5999999999999998E-2</v>
      </c>
      <c r="AA62" s="35">
        <v>0.152</v>
      </c>
      <c r="AB62" s="35">
        <v>6.9000000000000006E-2</v>
      </c>
      <c r="AC62" s="1380">
        <v>9.6699999999999994E-2</v>
      </c>
      <c r="AD62" s="35">
        <v>0.04</v>
      </c>
      <c r="AE62" s="35">
        <v>-0.64300000000000002</v>
      </c>
      <c r="AF62" s="35">
        <v>-0.05</v>
      </c>
      <c r="AG62" s="1380">
        <v>0.15659999999999999</v>
      </c>
      <c r="AH62" s="35">
        <v>-0.378</v>
      </c>
      <c r="AI62" s="35">
        <v>0.16200000000000001</v>
      </c>
      <c r="AJ62" s="35">
        <v>0.128</v>
      </c>
      <c r="AK62" s="35">
        <v>0.41199999999999998</v>
      </c>
      <c r="AL62" s="521">
        <v>0.28999999999999998</v>
      </c>
      <c r="AM62" s="1380">
        <v>0.27600000000000002</v>
      </c>
      <c r="AN62" s="1380">
        <v>0.22140000000000001</v>
      </c>
      <c r="AO62" s="1380">
        <v>0.34699999999999998</v>
      </c>
      <c r="AP62" s="85"/>
      <c r="AQ62" s="35">
        <v>6.6711498544416393E-3</v>
      </c>
      <c r="AR62" s="35">
        <v>2.5000000000000001E-2</v>
      </c>
      <c r="AS62" s="345">
        <v>-7.2604125018490517</v>
      </c>
      <c r="AT62" s="78"/>
      <c r="AU62" s="53"/>
      <c r="AV62" s="50">
        <v>-2.8519241974651475E-2</v>
      </c>
      <c r="AW62" s="50">
        <v>4.3584883043839048E-2</v>
      </c>
      <c r="AX62" s="50">
        <v>-3.3432484921503691E-2</v>
      </c>
      <c r="AY62" s="50">
        <v>-3.0735753328978425E-2</v>
      </c>
      <c r="AZ62" s="50">
        <v>0.14196625402498889</v>
      </c>
      <c r="BA62" s="50">
        <v>9.8000000000000004E-2</v>
      </c>
      <c r="BB62" s="50">
        <v>-0.124</v>
      </c>
      <c r="BC62" s="50">
        <v>7.9000000000000001E-2</v>
      </c>
      <c r="BD62" s="50">
        <v>0.28399999999999997</v>
      </c>
      <c r="BE62" s="50">
        <v>0.33600000000000002</v>
      </c>
      <c r="BF62" s="50">
        <v>0.23899999999999999</v>
      </c>
      <c r="BG62" s="50">
        <v>0.43464999999999998</v>
      </c>
      <c r="BH62" s="701"/>
      <c r="BK62" s="1456"/>
    </row>
    <row r="63" spans="1:64" ht="13.5" customHeight="1" x14ac:dyDescent="0.2">
      <c r="A63" s="7"/>
      <c r="B63" s="7" t="s">
        <v>215</v>
      </c>
      <c r="C63" s="89">
        <v>-42.05789909015715</v>
      </c>
      <c r="D63" s="755">
        <v>-2.0003147128245478</v>
      </c>
      <c r="E63" s="519"/>
      <c r="F63" s="79">
        <v>-21.032258064516128</v>
      </c>
      <c r="G63" s="36">
        <v>32.541666666666664</v>
      </c>
      <c r="H63" s="36">
        <v>17.215384615384615</v>
      </c>
      <c r="I63" s="1381">
        <v>25.604166666666664</v>
      </c>
      <c r="J63" s="79">
        <v>21.025641025641022</v>
      </c>
      <c r="K63" s="36">
        <v>33.095238095238095</v>
      </c>
      <c r="L63" s="36">
        <v>44.2</v>
      </c>
      <c r="M63" s="1381">
        <v>-570.99999999999955</v>
      </c>
      <c r="N63" s="36">
        <v>-22</v>
      </c>
      <c r="O63" s="36">
        <v>-8.7012987012987022</v>
      </c>
      <c r="P63" s="36">
        <v>-6.7619047619047628</v>
      </c>
      <c r="Q63" s="1381">
        <v>-7.4324324324324325</v>
      </c>
      <c r="R63" s="36">
        <v>-24.411764705882359</v>
      </c>
      <c r="S63" s="36">
        <v>13.684210526315788</v>
      </c>
      <c r="T63" s="36">
        <v>8.9252336448598157</v>
      </c>
      <c r="U63" s="1381">
        <v>9.65625</v>
      </c>
      <c r="V63" s="36">
        <v>11.764705882352942</v>
      </c>
      <c r="W63" s="36">
        <v>16.857142857142854</v>
      </c>
      <c r="X63" s="36">
        <v>17.283333333333328</v>
      </c>
      <c r="Y63" s="1381">
        <v>15.649999999999999</v>
      </c>
      <c r="Z63" s="36">
        <v>16.100000000000001</v>
      </c>
      <c r="AA63" s="36">
        <v>16.7</v>
      </c>
      <c r="AB63" s="36">
        <v>-11.1</v>
      </c>
      <c r="AC63" s="1381">
        <v>-6.04</v>
      </c>
      <c r="AD63" s="36">
        <v>5.7</v>
      </c>
      <c r="AE63" s="36">
        <v>-10.9</v>
      </c>
      <c r="AF63" s="872">
        <v>8.1</v>
      </c>
      <c r="AG63" s="1382">
        <v>7.3</v>
      </c>
      <c r="AH63" s="36">
        <v>15.8</v>
      </c>
      <c r="AI63" s="36">
        <v>7.8</v>
      </c>
      <c r="AJ63" s="36">
        <v>8.9</v>
      </c>
      <c r="AK63" s="36">
        <v>9.5</v>
      </c>
      <c r="AL63" s="1383">
        <v>11.4</v>
      </c>
      <c r="AM63" s="1381">
        <v>9.1999999999999993</v>
      </c>
      <c r="AN63" s="1381">
        <v>8.3000000000000007</v>
      </c>
      <c r="AO63" s="1381">
        <v>8.6999999999999993</v>
      </c>
      <c r="AP63" s="85"/>
      <c r="AQ63" s="871">
        <v>32.541666666666664</v>
      </c>
      <c r="AR63" s="79">
        <v>33.1</v>
      </c>
      <c r="AS63" s="79">
        <v>-42.05789909015715</v>
      </c>
      <c r="AT63" s="46">
        <v>-2.0003147128245478</v>
      </c>
      <c r="AU63" s="53"/>
      <c r="AV63" s="81">
        <v>-21.032258064516128</v>
      </c>
      <c r="AW63" s="81">
        <v>21.025641025641022</v>
      </c>
      <c r="AX63" s="81">
        <v>-22</v>
      </c>
      <c r="AY63" s="81">
        <v>-24.411764705882359</v>
      </c>
      <c r="AZ63" s="81">
        <v>11.764705882352942</v>
      </c>
      <c r="BA63" s="81">
        <v>16.100000000000001</v>
      </c>
      <c r="BB63" s="81">
        <v>5.7</v>
      </c>
      <c r="BC63" s="81">
        <v>15.8</v>
      </c>
      <c r="BD63" s="81">
        <v>11.4</v>
      </c>
      <c r="BE63" s="81">
        <v>12</v>
      </c>
      <c r="BF63" s="81">
        <v>9.5273000000000003</v>
      </c>
      <c r="BG63" s="48">
        <v>0</v>
      </c>
      <c r="BH63" s="701"/>
    </row>
    <row r="64" spans="1:64" ht="13.5" customHeight="1" x14ac:dyDescent="0.2">
      <c r="A64" s="7"/>
      <c r="B64" s="7" t="s">
        <v>216</v>
      </c>
      <c r="C64" s="89">
        <v>-0.15745087528032686</v>
      </c>
      <c r="D64" s="755">
        <v>-0.17377200259597053</v>
      </c>
      <c r="E64" s="519"/>
      <c r="F64" s="79">
        <v>0.74862647278597128</v>
      </c>
      <c r="G64" s="36">
        <v>0.90498261877172637</v>
      </c>
      <c r="H64" s="79">
        <v>1.2573033707865167</v>
      </c>
      <c r="I64" s="80">
        <v>1.4126436781609195</v>
      </c>
      <c r="J64" s="79">
        <v>0.90607734806629814</v>
      </c>
      <c r="K64" s="36">
        <v>0.82443653618030843</v>
      </c>
      <c r="L64" s="79">
        <v>0.82861461364787004</v>
      </c>
      <c r="M64" s="80">
        <v>0.72562332814976871</v>
      </c>
      <c r="N64" s="79">
        <v>0.88841615865383472</v>
      </c>
      <c r="O64" s="36">
        <v>0.87930788843132579</v>
      </c>
      <c r="P64" s="79">
        <v>0.74610172641665484</v>
      </c>
      <c r="Q64" s="80">
        <v>0.69597136079068156</v>
      </c>
      <c r="R64" s="79">
        <v>1.0044684002282975</v>
      </c>
      <c r="S64" s="79">
        <v>0.91296145153524644</v>
      </c>
      <c r="T64" s="79">
        <v>1.0909097685588069</v>
      </c>
      <c r="U64" s="80">
        <v>1.4194867150803914</v>
      </c>
      <c r="V64" s="79">
        <v>1.5921963397684213</v>
      </c>
      <c r="W64" s="79">
        <v>1.6790931696668809</v>
      </c>
      <c r="X64" s="79">
        <v>1.2886118907322233</v>
      </c>
      <c r="Y64" s="80">
        <v>1.1944967059416152</v>
      </c>
      <c r="Z64" s="79">
        <v>1.6</v>
      </c>
      <c r="AA64" s="79">
        <v>1.5</v>
      </c>
      <c r="AB64" s="79">
        <v>1.5</v>
      </c>
      <c r="AC64" s="80">
        <v>1.04</v>
      </c>
      <c r="AD64" s="79">
        <v>0.8</v>
      </c>
      <c r="AE64" s="79">
        <v>0.6</v>
      </c>
      <c r="AF64" s="79">
        <v>1.1000000000000001</v>
      </c>
      <c r="AG64" s="80">
        <v>1.04</v>
      </c>
      <c r="AH64" s="79">
        <v>1.4</v>
      </c>
      <c r="AI64" s="79">
        <v>1.9</v>
      </c>
      <c r="AJ64" s="79">
        <v>2.4</v>
      </c>
      <c r="AK64" s="79">
        <v>2.6</v>
      </c>
      <c r="AL64" s="81">
        <v>2.9</v>
      </c>
      <c r="AM64" s="80">
        <v>2.5</v>
      </c>
      <c r="AN64" s="80">
        <v>2.5</v>
      </c>
      <c r="AO64" s="80">
        <v>2.7</v>
      </c>
      <c r="AP64" s="196"/>
      <c r="AQ64" s="871">
        <v>0.90498261877172637</v>
      </c>
      <c r="AR64" s="402">
        <v>0.8</v>
      </c>
      <c r="AS64" s="79">
        <v>-0.15745087528032686</v>
      </c>
      <c r="AT64" s="46">
        <v>-0.17377200259597053</v>
      </c>
      <c r="AU64" s="53"/>
      <c r="AV64" s="81">
        <v>0.74862647278597128</v>
      </c>
      <c r="AW64" s="81">
        <v>0.90607734806629814</v>
      </c>
      <c r="AX64" s="81">
        <v>0.88841615865383472</v>
      </c>
      <c r="AY64" s="81">
        <v>1.0044684002282975</v>
      </c>
      <c r="AZ64" s="81">
        <v>1.5921963397684213</v>
      </c>
      <c r="BA64" s="81">
        <v>1.6</v>
      </c>
      <c r="BB64" s="81">
        <v>0.82</v>
      </c>
      <c r="BC64" s="81">
        <v>1.4</v>
      </c>
      <c r="BD64" s="81">
        <v>2.9</v>
      </c>
      <c r="BE64" s="81">
        <v>3.5</v>
      </c>
      <c r="BF64" s="81">
        <v>2.1800000000000002</v>
      </c>
      <c r="BG64" s="48">
        <v>0</v>
      </c>
      <c r="BH64" s="701"/>
    </row>
    <row r="65" spans="1:60" ht="9.75" customHeight="1" x14ac:dyDescent="0.2">
      <c r="A65" s="2"/>
      <c r="B65" s="2"/>
      <c r="C65" s="856"/>
      <c r="D65" s="857"/>
      <c r="E65" s="196"/>
      <c r="F65" s="414"/>
      <c r="G65" s="414"/>
      <c r="H65" s="414"/>
      <c r="I65" s="857"/>
      <c r="J65" s="414"/>
      <c r="K65" s="414"/>
      <c r="L65" s="414"/>
      <c r="M65" s="857"/>
      <c r="N65" s="414"/>
      <c r="O65" s="414"/>
      <c r="P65" s="414"/>
      <c r="Q65" s="857"/>
      <c r="R65" s="414"/>
      <c r="S65" s="414"/>
      <c r="T65" s="414"/>
      <c r="U65" s="857"/>
      <c r="V65" s="414"/>
      <c r="W65" s="414"/>
      <c r="X65" s="414"/>
      <c r="Y65" s="857"/>
      <c r="Z65" s="414"/>
      <c r="AA65" s="414"/>
      <c r="AB65" s="414"/>
      <c r="AC65" s="857"/>
      <c r="AD65" s="414"/>
      <c r="AE65" s="414"/>
      <c r="AF65" s="414"/>
      <c r="AG65" s="857"/>
      <c r="AH65" s="414"/>
      <c r="AI65" s="414"/>
      <c r="AJ65" s="414"/>
      <c r="AK65" s="857"/>
      <c r="AL65" s="350"/>
      <c r="AM65" s="857"/>
      <c r="AN65" s="857"/>
      <c r="AO65" s="857"/>
      <c r="AP65" s="196"/>
      <c r="AQ65" s="856"/>
      <c r="AR65" s="414"/>
      <c r="AS65" s="391"/>
      <c r="AT65" s="325"/>
      <c r="AU65" s="263"/>
      <c r="AV65" s="856"/>
      <c r="AW65" s="856"/>
      <c r="AX65" s="856"/>
      <c r="AY65" s="856"/>
      <c r="AZ65" s="856"/>
      <c r="BA65" s="856"/>
      <c r="BB65" s="856"/>
      <c r="BC65" s="350"/>
      <c r="BD65" s="350"/>
      <c r="BE65" s="350"/>
      <c r="BF65" s="350"/>
      <c r="BG65" s="350"/>
      <c r="BH65" s="701"/>
    </row>
    <row r="66" spans="1:60" ht="9.75" customHeight="1" x14ac:dyDescent="0.2">
      <c r="A66" s="2"/>
      <c r="B66" s="2"/>
      <c r="C66" s="263"/>
      <c r="D66" s="263"/>
      <c r="E66" s="1"/>
      <c r="F66" s="1"/>
      <c r="G66" s="1"/>
      <c r="H66" s="1"/>
      <c r="I66" s="1"/>
      <c r="J66" s="1"/>
      <c r="K66" s="1"/>
      <c r="L66" s="1"/>
      <c r="M66" s="1"/>
      <c r="N66" s="1"/>
      <c r="O66" s="1"/>
      <c r="P66" s="1"/>
      <c r="Q66" s="1"/>
      <c r="R66" s="1"/>
      <c r="S66" s="1"/>
      <c r="T66" s="1"/>
      <c r="U66" s="1"/>
      <c r="V66" s="1"/>
      <c r="W66" s="1"/>
      <c r="X66" s="1"/>
      <c r="Y66" s="1"/>
      <c r="Z66" s="1"/>
      <c r="AA66" s="1"/>
      <c r="AB66" s="1"/>
      <c r="AC66" s="858"/>
      <c r="AD66" s="1"/>
      <c r="AE66" s="1"/>
      <c r="AF66" s="1"/>
      <c r="AG66" s="1"/>
      <c r="AH66" s="1"/>
      <c r="AI66" s="1"/>
      <c r="AJ66" s="263"/>
      <c r="AK66" s="263"/>
      <c r="AL66" s="263"/>
      <c r="AM66" s="263"/>
      <c r="AN66" s="263"/>
      <c r="AO66" s="263"/>
      <c r="AP66" s="263"/>
      <c r="AQ66" s="263"/>
      <c r="AR66" s="263"/>
      <c r="AS66" s="263"/>
      <c r="AT66" s="263"/>
      <c r="AU66" s="263"/>
      <c r="AV66" s="263"/>
      <c r="AW66" s="263"/>
      <c r="AX66" s="263"/>
      <c r="AY66" s="263"/>
      <c r="AZ66" s="263"/>
      <c r="BA66" s="263"/>
      <c r="BB66" s="263"/>
      <c r="BC66" s="263"/>
      <c r="BD66" s="263"/>
      <c r="BE66" s="263"/>
      <c r="BF66" s="263"/>
      <c r="BG66" s="263"/>
    </row>
    <row r="67" spans="1:60" ht="18" customHeight="1" x14ac:dyDescent="0.2">
      <c r="A67" s="859" t="s">
        <v>267</v>
      </c>
      <c r="B67" s="2"/>
      <c r="C67" s="263"/>
      <c r="D67" s="263"/>
      <c r="E67" s="1"/>
      <c r="F67" s="1"/>
      <c r="G67" s="1"/>
      <c r="H67" s="1"/>
      <c r="I67" s="1"/>
      <c r="J67" s="1"/>
      <c r="K67" s="1"/>
      <c r="L67" s="1"/>
      <c r="M67" s="1"/>
      <c r="N67" s="1"/>
      <c r="O67" s="1"/>
      <c r="P67" s="1"/>
      <c r="Q67" s="1"/>
      <c r="R67" s="1"/>
      <c r="S67" s="1"/>
      <c r="T67" s="1"/>
      <c r="U67" s="1"/>
      <c r="V67" s="1"/>
      <c r="W67" s="1"/>
      <c r="X67" s="1"/>
      <c r="Y67" s="1"/>
      <c r="Z67" s="1"/>
      <c r="AA67" s="1"/>
      <c r="AB67" s="525"/>
      <c r="AC67" s="1"/>
      <c r="AD67" s="1"/>
      <c r="AE67" s="1"/>
      <c r="AF67" s="1"/>
      <c r="AG67" s="1"/>
      <c r="AH67" s="1"/>
      <c r="AI67" s="1"/>
      <c r="AJ67" s="263"/>
      <c r="AK67" s="263"/>
      <c r="AL67" s="263"/>
      <c r="AM67" s="263"/>
      <c r="AN67" s="263"/>
      <c r="AO67" s="263"/>
      <c r="AP67" s="263"/>
      <c r="AQ67" s="263"/>
      <c r="AR67" s="263"/>
      <c r="AS67" s="263"/>
      <c r="AT67" s="263"/>
      <c r="AU67" s="263"/>
      <c r="AV67" s="263"/>
      <c r="AW67" s="263"/>
      <c r="AX67" s="263"/>
      <c r="AY67" s="263"/>
      <c r="AZ67" s="263"/>
      <c r="BA67" s="263"/>
      <c r="BB67" s="263"/>
      <c r="BC67" s="263"/>
      <c r="BD67" s="263"/>
      <c r="BE67" s="263"/>
      <c r="BF67" s="263"/>
      <c r="BG67" s="263"/>
    </row>
    <row r="68" spans="1:60" ht="9.75" customHeight="1" x14ac:dyDescent="0.2">
      <c r="A68" s="859"/>
      <c r="B68" s="2"/>
      <c r="C68" s="263"/>
      <c r="D68" s="263"/>
      <c r="E68" s="1"/>
      <c r="F68" s="414"/>
      <c r="G68" s="1"/>
      <c r="H68" s="414"/>
      <c r="I68" s="1"/>
      <c r="J68" s="414"/>
      <c r="K68" s="1"/>
      <c r="L68" s="414"/>
      <c r="M68" s="1"/>
      <c r="N68" s="414"/>
      <c r="O68" s="1"/>
      <c r="P68" s="414"/>
      <c r="Q68" s="1"/>
      <c r="R68" s="414"/>
      <c r="S68" s="1"/>
      <c r="T68" s="414"/>
      <c r="U68" s="1"/>
      <c r="V68" s="414"/>
      <c r="W68" s="1"/>
      <c r="X68" s="414"/>
      <c r="Y68" s="1"/>
      <c r="Z68" s="414"/>
      <c r="AA68" s="414"/>
      <c r="AB68" s="414"/>
      <c r="AC68" s="1"/>
      <c r="AD68" s="414"/>
      <c r="AE68" s="414"/>
      <c r="AF68" s="1"/>
      <c r="AG68" s="1"/>
      <c r="AH68" s="1"/>
      <c r="AI68" s="1"/>
      <c r="AJ68" s="263"/>
      <c r="AK68" s="263"/>
      <c r="AL68" s="263"/>
      <c r="AM68" s="263"/>
      <c r="AN68" s="263"/>
      <c r="AO68" s="263"/>
      <c r="AP68" s="263"/>
      <c r="AQ68" s="263"/>
      <c r="AR68" s="263"/>
      <c r="AS68" s="263"/>
      <c r="AT68" s="263"/>
      <c r="AU68" s="263"/>
      <c r="AV68" s="263"/>
      <c r="AW68" s="263"/>
      <c r="AX68" s="263"/>
      <c r="AY68" s="263"/>
      <c r="AZ68" s="263"/>
      <c r="BA68" s="263"/>
      <c r="BB68" s="263"/>
      <c r="BC68" s="263"/>
      <c r="BD68" s="263"/>
      <c r="BE68" s="263"/>
      <c r="BF68" s="263"/>
      <c r="BG68" s="263"/>
    </row>
    <row r="69" spans="1:60" x14ac:dyDescent="0.2">
      <c r="A69" s="6" t="s">
        <v>1</v>
      </c>
      <c r="B69" s="2"/>
      <c r="C69" s="1479" t="s">
        <v>447</v>
      </c>
      <c r="D69" s="1480"/>
      <c r="E69" s="430"/>
      <c r="F69" s="395"/>
      <c r="G69" s="410"/>
      <c r="H69" s="468"/>
      <c r="I69" s="860"/>
      <c r="J69" s="395"/>
      <c r="K69" s="410"/>
      <c r="L69" s="468"/>
      <c r="M69" s="860"/>
      <c r="N69" s="395"/>
      <c r="O69" s="410"/>
      <c r="P69" s="468"/>
      <c r="Q69" s="860"/>
      <c r="R69" s="395"/>
      <c r="S69" s="410"/>
      <c r="T69" s="468"/>
      <c r="U69" s="860"/>
      <c r="V69" s="395"/>
      <c r="W69" s="410"/>
      <c r="X69" s="468"/>
      <c r="Y69" s="860"/>
      <c r="Z69" s="395"/>
      <c r="AA69" s="468"/>
      <c r="AC69" s="860"/>
      <c r="AD69" s="468"/>
      <c r="AE69" s="351"/>
      <c r="AF69" s="410"/>
      <c r="AG69" s="860"/>
      <c r="AH69" s="861"/>
      <c r="AI69" s="861"/>
      <c r="AJ69" s="861"/>
      <c r="AK69" s="861"/>
      <c r="AL69" s="357"/>
      <c r="AM69" s="860"/>
      <c r="AN69" s="860"/>
      <c r="AO69" s="860"/>
      <c r="AP69" s="196"/>
      <c r="AQ69" s="661" t="s">
        <v>340</v>
      </c>
      <c r="AR69" s="647"/>
      <c r="AS69" s="647" t="s">
        <v>432</v>
      </c>
      <c r="AT69" s="648"/>
      <c r="AU69" s="351"/>
      <c r="AV69" s="862"/>
      <c r="AW69" s="862"/>
      <c r="AX69" s="862"/>
      <c r="AY69" s="862"/>
      <c r="AZ69" s="862"/>
      <c r="BA69" s="862"/>
      <c r="BB69" s="862"/>
      <c r="BC69" s="357"/>
      <c r="BD69" s="357"/>
      <c r="BE69" s="352"/>
      <c r="BF69" s="352"/>
      <c r="BG69" s="352"/>
      <c r="BH69" s="701"/>
    </row>
    <row r="70" spans="1:60" ht="13.5" x14ac:dyDescent="0.2">
      <c r="A70" s="6" t="s">
        <v>2</v>
      </c>
      <c r="B70" s="2"/>
      <c r="C70" s="1481" t="s">
        <v>39</v>
      </c>
      <c r="D70" s="1482"/>
      <c r="E70" s="531"/>
      <c r="F70" s="21" t="s">
        <v>425</v>
      </c>
      <c r="G70" s="21" t="s">
        <v>426</v>
      </c>
      <c r="H70" s="21" t="s">
        <v>427</v>
      </c>
      <c r="I70" s="14" t="s">
        <v>428</v>
      </c>
      <c r="J70" s="21" t="s">
        <v>363</v>
      </c>
      <c r="K70" s="21" t="s">
        <v>362</v>
      </c>
      <c r="L70" s="21" t="s">
        <v>361</v>
      </c>
      <c r="M70" s="14" t="s">
        <v>359</v>
      </c>
      <c r="N70" s="20" t="s">
        <v>302</v>
      </c>
      <c r="O70" s="21" t="s">
        <v>303</v>
      </c>
      <c r="P70" s="21" t="s">
        <v>304</v>
      </c>
      <c r="Q70" s="14" t="s">
        <v>305</v>
      </c>
      <c r="R70" s="20" t="s">
        <v>231</v>
      </c>
      <c r="S70" s="21" t="s">
        <v>232</v>
      </c>
      <c r="T70" s="21" t="s">
        <v>233</v>
      </c>
      <c r="U70" s="356" t="s">
        <v>230</v>
      </c>
      <c r="V70" s="20" t="s">
        <v>194</v>
      </c>
      <c r="W70" s="21" t="s">
        <v>195</v>
      </c>
      <c r="X70" s="21" t="s">
        <v>196</v>
      </c>
      <c r="Y70" s="356" t="s">
        <v>197</v>
      </c>
      <c r="Z70" s="20" t="s">
        <v>126</v>
      </c>
      <c r="AA70" s="21" t="s">
        <v>125</v>
      </c>
      <c r="AB70" s="21" t="s">
        <v>124</v>
      </c>
      <c r="AC70" s="356" t="s">
        <v>123</v>
      </c>
      <c r="AD70" s="21" t="s">
        <v>86</v>
      </c>
      <c r="AE70" s="21" t="s">
        <v>87</v>
      </c>
      <c r="AF70" s="21" t="s">
        <v>88</v>
      </c>
      <c r="AG70" s="356" t="s">
        <v>30</v>
      </c>
      <c r="AH70" s="354" t="s">
        <v>31</v>
      </c>
      <c r="AI70" s="354" t="s">
        <v>32</v>
      </c>
      <c r="AJ70" s="354" t="s">
        <v>33</v>
      </c>
      <c r="AK70" s="354" t="s">
        <v>34</v>
      </c>
      <c r="AL70" s="353" t="s">
        <v>35</v>
      </c>
      <c r="AM70" s="356" t="s">
        <v>36</v>
      </c>
      <c r="AN70" s="356" t="s">
        <v>37</v>
      </c>
      <c r="AO70" s="356" t="s">
        <v>38</v>
      </c>
      <c r="AP70" s="430"/>
      <c r="AQ70" s="21" t="s">
        <v>426</v>
      </c>
      <c r="AR70" s="21" t="s">
        <v>362</v>
      </c>
      <c r="AS70" s="1477" t="s">
        <v>39</v>
      </c>
      <c r="AT70" s="1478"/>
      <c r="AU70" s="611"/>
      <c r="AV70" s="20" t="s">
        <v>446</v>
      </c>
      <c r="AW70" s="20" t="s">
        <v>365</v>
      </c>
      <c r="AX70" s="20" t="s">
        <v>307</v>
      </c>
      <c r="AY70" s="20" t="s">
        <v>235</v>
      </c>
      <c r="AZ70" s="20" t="s">
        <v>128</v>
      </c>
      <c r="BA70" s="355" t="s">
        <v>127</v>
      </c>
      <c r="BB70" s="355" t="s">
        <v>43</v>
      </c>
      <c r="BC70" s="353" t="s">
        <v>40</v>
      </c>
      <c r="BD70" s="353" t="s">
        <v>41</v>
      </c>
      <c r="BE70" s="353" t="s">
        <v>146</v>
      </c>
      <c r="BF70" s="353" t="s">
        <v>147</v>
      </c>
      <c r="BG70" s="353" t="s">
        <v>148</v>
      </c>
      <c r="BH70" s="701"/>
    </row>
    <row r="71" spans="1:60" ht="12.75" customHeight="1" x14ac:dyDescent="0.2">
      <c r="A71" s="615" t="s">
        <v>3</v>
      </c>
      <c r="B71" s="8"/>
      <c r="C71" s="862"/>
      <c r="D71" s="860"/>
      <c r="E71" s="196"/>
      <c r="F71" s="361"/>
      <c r="G71" s="1"/>
      <c r="H71" s="1"/>
      <c r="I71" s="362"/>
      <c r="J71" s="361"/>
      <c r="K71" s="1"/>
      <c r="L71" s="1"/>
      <c r="M71" s="362"/>
      <c r="N71" s="361"/>
      <c r="O71" s="1"/>
      <c r="P71" s="1"/>
      <c r="Q71" s="362"/>
      <c r="R71" s="361"/>
      <c r="S71" s="1"/>
      <c r="T71" s="1"/>
      <c r="U71" s="362"/>
      <c r="V71" s="361"/>
      <c r="W71" s="1"/>
      <c r="X71" s="1"/>
      <c r="Y71" s="362"/>
      <c r="Z71" s="361"/>
      <c r="AA71" s="1"/>
      <c r="AB71" s="1"/>
      <c r="AC71" s="362"/>
      <c r="AD71" s="1"/>
      <c r="AE71" s="1"/>
      <c r="AF71" s="1"/>
      <c r="AG71" s="362"/>
      <c r="AH71" s="862"/>
      <c r="AI71" s="861"/>
      <c r="AJ71" s="861"/>
      <c r="AK71" s="860"/>
      <c r="AL71" s="357"/>
      <c r="AM71" s="860"/>
      <c r="AN71" s="860"/>
      <c r="AO71" s="860"/>
      <c r="AP71" s="196"/>
      <c r="AQ71" s="1"/>
      <c r="AR71" s="1"/>
      <c r="AS71" s="861"/>
      <c r="AT71" s="860"/>
      <c r="AU71" s="263"/>
      <c r="AV71" s="357"/>
      <c r="AW71" s="357"/>
      <c r="AX71" s="357"/>
      <c r="AY71" s="357"/>
      <c r="AZ71" s="357"/>
      <c r="BA71" s="357"/>
      <c r="BB71" s="357"/>
      <c r="BC71" s="357"/>
      <c r="BD71" s="357"/>
      <c r="BE71" s="357"/>
      <c r="BF71" s="357"/>
      <c r="BG71" s="357"/>
      <c r="BH71" s="701"/>
    </row>
    <row r="72" spans="1:60" ht="12.75" customHeight="1" x14ac:dyDescent="0.2">
      <c r="A72" s="7"/>
      <c r="B72" s="7" t="s">
        <v>4</v>
      </c>
      <c r="C72" s="358">
        <v>-21283</v>
      </c>
      <c r="D72" s="755">
        <v>-8.3874552705834132E-2</v>
      </c>
      <c r="E72" s="49"/>
      <c r="F72" s="384">
        <v>232465</v>
      </c>
      <c r="G72" s="384">
        <v>166471</v>
      </c>
      <c r="H72" s="384">
        <v>236271</v>
      </c>
      <c r="I72" s="863">
        <v>245556</v>
      </c>
      <c r="J72" s="384">
        <v>253748</v>
      </c>
      <c r="K72" s="384">
        <v>230959</v>
      </c>
      <c r="L72" s="384">
        <v>183306</v>
      </c>
      <c r="M72" s="863">
        <v>187231</v>
      </c>
      <c r="N72" s="383">
        <v>217971</v>
      </c>
      <c r="O72" s="384">
        <v>230003</v>
      </c>
      <c r="P72" s="384">
        <v>186599</v>
      </c>
      <c r="Q72" s="863">
        <v>162549</v>
      </c>
      <c r="R72" s="383">
        <v>177692</v>
      </c>
      <c r="S72" s="384">
        <v>147889</v>
      </c>
      <c r="T72" s="384">
        <v>119500</v>
      </c>
      <c r="U72" s="863">
        <v>159783</v>
      </c>
      <c r="V72" s="383">
        <v>247595</v>
      </c>
      <c r="W72" s="384">
        <v>254834</v>
      </c>
      <c r="X72" s="384">
        <v>149285</v>
      </c>
      <c r="Y72" s="863">
        <v>151917</v>
      </c>
      <c r="Z72" s="383">
        <v>143133</v>
      </c>
      <c r="AA72" s="384">
        <v>173197</v>
      </c>
      <c r="AB72" s="384">
        <v>123744</v>
      </c>
      <c r="AC72" s="863">
        <v>137463</v>
      </c>
      <c r="AD72" s="384">
        <v>106996</v>
      </c>
      <c r="AE72" s="384">
        <v>87188</v>
      </c>
      <c r="AF72" s="384">
        <v>110829</v>
      </c>
      <c r="AG72" s="863">
        <v>172708</v>
      </c>
      <c r="AH72" s="56">
        <v>143446</v>
      </c>
      <c r="AI72" s="55">
        <v>183354</v>
      </c>
      <c r="AJ72" s="55">
        <v>158869</v>
      </c>
      <c r="AK72" s="57">
        <v>245870</v>
      </c>
      <c r="AL72" s="58">
        <v>216443</v>
      </c>
      <c r="AM72" s="57">
        <v>178313</v>
      </c>
      <c r="AN72" s="57">
        <v>156031</v>
      </c>
      <c r="AO72" s="57">
        <v>206127</v>
      </c>
      <c r="AP72" s="196"/>
      <c r="AQ72" s="831">
        <v>648298</v>
      </c>
      <c r="AR72" s="384">
        <v>601496</v>
      </c>
      <c r="AS72" s="55">
        <v>25519</v>
      </c>
      <c r="AT72" s="46">
        <v>2.9838268377211648E-2</v>
      </c>
      <c r="AU72" s="263"/>
      <c r="AV72" s="58">
        <v>880763</v>
      </c>
      <c r="AW72" s="58">
        <v>855244</v>
      </c>
      <c r="AX72" s="360">
        <v>797122</v>
      </c>
      <c r="AY72" s="360">
        <v>604864</v>
      </c>
      <c r="AZ72" s="360">
        <v>803631</v>
      </c>
      <c r="BA72" s="360">
        <v>577537</v>
      </c>
      <c r="BB72" s="360">
        <v>477721</v>
      </c>
      <c r="BC72" s="360">
        <v>731539</v>
      </c>
      <c r="BD72" s="58">
        <v>756914</v>
      </c>
      <c r="BE72" s="58">
        <v>583415</v>
      </c>
      <c r="BF72" s="58">
        <v>432778</v>
      </c>
      <c r="BG72" s="58">
        <v>402157</v>
      </c>
      <c r="BH72" s="701"/>
    </row>
    <row r="73" spans="1:60" ht="12.75" customHeight="1" x14ac:dyDescent="0.2">
      <c r="A73" s="7"/>
      <c r="B73" s="7" t="s">
        <v>5</v>
      </c>
      <c r="C73" s="358">
        <v>2268</v>
      </c>
      <c r="D73" s="755">
        <v>1.0414227267091868E-2</v>
      </c>
      <c r="E73" s="49"/>
      <c r="F73" s="384">
        <v>220047</v>
      </c>
      <c r="G73" s="384">
        <v>184112</v>
      </c>
      <c r="H73" s="384">
        <v>207395</v>
      </c>
      <c r="I73" s="863">
        <v>215904</v>
      </c>
      <c r="J73" s="384">
        <v>217779</v>
      </c>
      <c r="K73" s="384">
        <v>202914</v>
      </c>
      <c r="L73" s="384">
        <v>175367</v>
      </c>
      <c r="M73" s="863">
        <v>174527</v>
      </c>
      <c r="N73" s="383">
        <v>200481</v>
      </c>
      <c r="O73" s="384">
        <v>205025</v>
      </c>
      <c r="P73" s="384">
        <v>179710</v>
      </c>
      <c r="Q73" s="863">
        <v>181677</v>
      </c>
      <c r="R73" s="383">
        <v>166505</v>
      </c>
      <c r="S73" s="384">
        <v>132063</v>
      </c>
      <c r="T73" s="384">
        <v>122510</v>
      </c>
      <c r="U73" s="863">
        <v>143104</v>
      </c>
      <c r="V73" s="383">
        <v>188349</v>
      </c>
      <c r="W73" s="384">
        <v>190238</v>
      </c>
      <c r="X73" s="384">
        <v>132849</v>
      </c>
      <c r="Y73" s="863">
        <v>131857</v>
      </c>
      <c r="Z73" s="383">
        <v>132658</v>
      </c>
      <c r="AA73" s="384">
        <v>150887</v>
      </c>
      <c r="AB73" s="384">
        <v>115883</v>
      </c>
      <c r="AC73" s="863">
        <v>121468</v>
      </c>
      <c r="AD73" s="384">
        <v>100169</v>
      </c>
      <c r="AE73" s="384">
        <v>108534</v>
      </c>
      <c r="AF73" s="384">
        <v>115805</v>
      </c>
      <c r="AG73" s="863">
        <v>149179</v>
      </c>
      <c r="AH73" s="56">
        <v>131632</v>
      </c>
      <c r="AI73" s="55">
        <v>154817</v>
      </c>
      <c r="AJ73" s="55">
        <v>135342</v>
      </c>
      <c r="AK73" s="57">
        <v>187220</v>
      </c>
      <c r="AL73" s="58">
        <v>176307</v>
      </c>
      <c r="AM73" s="57">
        <v>144677</v>
      </c>
      <c r="AN73" s="57">
        <v>130781</v>
      </c>
      <c r="AO73" s="57">
        <v>166952</v>
      </c>
      <c r="AP73" s="196"/>
      <c r="AQ73" s="831">
        <v>607411</v>
      </c>
      <c r="AR73" s="384">
        <v>552808</v>
      </c>
      <c r="AS73" s="55">
        <v>56871</v>
      </c>
      <c r="AT73" s="46">
        <v>7.3802179377539454E-2</v>
      </c>
      <c r="AU73" s="263"/>
      <c r="AV73" s="58">
        <v>827458</v>
      </c>
      <c r="AW73" s="58">
        <v>770587</v>
      </c>
      <c r="AX73" s="360">
        <v>766893</v>
      </c>
      <c r="AY73" s="360">
        <v>564182</v>
      </c>
      <c r="AZ73" s="360">
        <v>643293</v>
      </c>
      <c r="BA73" s="360">
        <v>520896</v>
      </c>
      <c r="BB73" s="360">
        <v>473687</v>
      </c>
      <c r="BC73" s="360">
        <v>609011</v>
      </c>
      <c r="BD73" s="58">
        <v>618717</v>
      </c>
      <c r="BE73" s="58">
        <v>464385</v>
      </c>
      <c r="BF73" s="58">
        <v>360022</v>
      </c>
      <c r="BG73" s="58">
        <v>339600</v>
      </c>
      <c r="BH73" s="701"/>
    </row>
    <row r="74" spans="1:60" ht="12.75" customHeight="1" x14ac:dyDescent="0.2">
      <c r="A74" s="7"/>
      <c r="B74" s="7" t="s">
        <v>6</v>
      </c>
      <c r="C74" s="358">
        <v>-3296</v>
      </c>
      <c r="D74" s="755">
        <v>-0.47809689585146503</v>
      </c>
      <c r="E74" s="49"/>
      <c r="F74" s="384">
        <v>3598</v>
      </c>
      <c r="G74" s="1321">
        <v>-3388</v>
      </c>
      <c r="H74" s="384">
        <v>8130</v>
      </c>
      <c r="I74" s="863">
        <v>5635</v>
      </c>
      <c r="J74" s="384">
        <v>6894</v>
      </c>
      <c r="K74" s="384">
        <v>6818</v>
      </c>
      <c r="L74" s="384">
        <v>1205</v>
      </c>
      <c r="M74" s="863">
        <v>894</v>
      </c>
      <c r="N74" s="383">
        <v>1911</v>
      </c>
      <c r="O74" s="384">
        <v>4525</v>
      </c>
      <c r="P74" s="384">
        <v>982</v>
      </c>
      <c r="Q74" s="1320">
        <v>-2833</v>
      </c>
      <c r="R74" s="383">
        <v>9098</v>
      </c>
      <c r="S74" s="384">
        <v>5182</v>
      </c>
      <c r="T74" s="384">
        <v>-1345</v>
      </c>
      <c r="U74" s="863">
        <v>2554</v>
      </c>
      <c r="V74" s="383">
        <v>16993</v>
      </c>
      <c r="W74" s="384">
        <v>18992</v>
      </c>
      <c r="X74" s="384">
        <v>4358</v>
      </c>
      <c r="Y74" s="863">
        <v>5868.5496999999996</v>
      </c>
      <c r="Z74" s="383">
        <v>-597</v>
      </c>
      <c r="AA74" s="384">
        <v>7197</v>
      </c>
      <c r="AB74" s="384">
        <v>1115</v>
      </c>
      <c r="AC74" s="863">
        <v>6883</v>
      </c>
      <c r="AD74" s="384">
        <v>3063</v>
      </c>
      <c r="AE74" s="384">
        <v>-5104</v>
      </c>
      <c r="AF74" s="384">
        <v>422</v>
      </c>
      <c r="AG74" s="863">
        <v>7070</v>
      </c>
      <c r="AH74" s="56">
        <v>4639.4799999999996</v>
      </c>
      <c r="AI74" s="55">
        <v>10704.065999999999</v>
      </c>
      <c r="AJ74" s="55">
        <v>8217.0590000000011</v>
      </c>
      <c r="AK74" s="57">
        <v>19621</v>
      </c>
      <c r="AL74" s="58">
        <v>14120</v>
      </c>
      <c r="AM74" s="57">
        <v>9944</v>
      </c>
      <c r="AN74" s="57">
        <v>7444</v>
      </c>
      <c r="AO74" s="57">
        <v>13233</v>
      </c>
      <c r="AP74" s="196"/>
      <c r="AQ74" s="831">
        <v>10377</v>
      </c>
      <c r="AR74" s="384">
        <v>8917</v>
      </c>
      <c r="AS74" s="55">
        <v>-1836</v>
      </c>
      <c r="AT74" s="46">
        <v>-0.11612168743279995</v>
      </c>
      <c r="AU74" s="263"/>
      <c r="AV74" s="58">
        <v>13975</v>
      </c>
      <c r="AW74" s="58">
        <v>15811</v>
      </c>
      <c r="AX74" s="360">
        <v>4585</v>
      </c>
      <c r="AY74" s="360">
        <v>15489</v>
      </c>
      <c r="AZ74" s="360">
        <v>46211.549700000003</v>
      </c>
      <c r="BA74" s="360">
        <v>14598</v>
      </c>
      <c r="BB74" s="360">
        <v>5451</v>
      </c>
      <c r="BC74" s="360">
        <v>43181.604999999996</v>
      </c>
      <c r="BD74" s="58">
        <v>44741</v>
      </c>
      <c r="BE74" s="58">
        <v>37880</v>
      </c>
      <c r="BF74" s="58">
        <v>24177</v>
      </c>
      <c r="BG74" s="58">
        <v>22128</v>
      </c>
      <c r="BH74" s="701"/>
    </row>
    <row r="75" spans="1:60" ht="12.75" customHeight="1" x14ac:dyDescent="0.2">
      <c r="A75" s="7"/>
      <c r="B75" s="7" t="s">
        <v>7</v>
      </c>
      <c r="C75" s="358">
        <v>-20255</v>
      </c>
      <c r="D75" s="755">
        <v>-0.69664660361135</v>
      </c>
      <c r="E75" s="49"/>
      <c r="F75" s="384">
        <v>8820</v>
      </c>
      <c r="G75" s="1321">
        <v>-14253</v>
      </c>
      <c r="H75" s="384">
        <v>20746</v>
      </c>
      <c r="I75" s="863">
        <v>24017</v>
      </c>
      <c r="J75" s="384">
        <v>29075</v>
      </c>
      <c r="K75" s="384">
        <v>21227</v>
      </c>
      <c r="L75" s="384">
        <v>6734</v>
      </c>
      <c r="M75" s="863">
        <v>11810</v>
      </c>
      <c r="N75" s="383">
        <v>15579</v>
      </c>
      <c r="O75" s="384">
        <v>20453</v>
      </c>
      <c r="P75" s="384">
        <v>5907</v>
      </c>
      <c r="Q75" s="1320">
        <v>-16295</v>
      </c>
      <c r="R75" s="383">
        <v>2089</v>
      </c>
      <c r="S75" s="384">
        <v>10644</v>
      </c>
      <c r="T75" s="384">
        <v>-1665</v>
      </c>
      <c r="U75" s="863">
        <v>14125</v>
      </c>
      <c r="V75" s="383">
        <v>42253</v>
      </c>
      <c r="W75" s="384">
        <v>45604</v>
      </c>
      <c r="X75" s="384">
        <v>12078</v>
      </c>
      <c r="Y75" s="863">
        <v>14191.4503</v>
      </c>
      <c r="Z75" s="383">
        <v>11072</v>
      </c>
      <c r="AA75" s="384">
        <v>15113</v>
      </c>
      <c r="AB75" s="384">
        <v>6746</v>
      </c>
      <c r="AC75" s="863">
        <v>9112</v>
      </c>
      <c r="AD75" s="384">
        <v>3764</v>
      </c>
      <c r="AE75" s="384">
        <v>-16242</v>
      </c>
      <c r="AF75" s="384">
        <v>-5398</v>
      </c>
      <c r="AG75" s="863">
        <v>16459</v>
      </c>
      <c r="AH75" s="56">
        <v>7174.52</v>
      </c>
      <c r="AI75" s="55">
        <v>17832.934000000001</v>
      </c>
      <c r="AJ75" s="55">
        <v>15309.940999999999</v>
      </c>
      <c r="AK75" s="57">
        <v>39029</v>
      </c>
      <c r="AL75" s="58">
        <v>26016</v>
      </c>
      <c r="AM75" s="57">
        <v>23692</v>
      </c>
      <c r="AN75" s="57">
        <v>17806</v>
      </c>
      <c r="AO75" s="57">
        <v>25942</v>
      </c>
      <c r="AP75" s="196"/>
      <c r="AQ75" s="831">
        <v>30510</v>
      </c>
      <c r="AR75" s="384">
        <v>39771</v>
      </c>
      <c r="AS75" s="55">
        <v>-29516</v>
      </c>
      <c r="AT75" s="46">
        <v>-0.42872498039101764</v>
      </c>
      <c r="AU75" s="263"/>
      <c r="AV75" s="58">
        <v>39330</v>
      </c>
      <c r="AW75" s="58">
        <v>68846</v>
      </c>
      <c r="AX75" s="360">
        <v>25644</v>
      </c>
      <c r="AY75" s="360">
        <v>25193</v>
      </c>
      <c r="AZ75" s="360">
        <v>114126.4503</v>
      </c>
      <c r="BA75" s="360">
        <v>42043</v>
      </c>
      <c r="BB75" s="360">
        <v>-1417</v>
      </c>
      <c r="BC75" s="360">
        <v>79346.395000000004</v>
      </c>
      <c r="BD75" s="58">
        <v>93456</v>
      </c>
      <c r="BE75" s="58">
        <v>81150</v>
      </c>
      <c r="BF75" s="58">
        <v>48579</v>
      </c>
      <c r="BG75" s="58">
        <v>40429</v>
      </c>
      <c r="BH75" s="701"/>
    </row>
    <row r="76" spans="1:60" ht="12.75" customHeight="1" x14ac:dyDescent="0.2">
      <c r="A76" s="7"/>
      <c r="B76" s="7" t="s">
        <v>406</v>
      </c>
      <c r="C76" s="56">
        <v>-20736.800000000003</v>
      </c>
      <c r="D76" s="755">
        <v>-0.72413498087241357</v>
      </c>
      <c r="E76" s="519"/>
      <c r="F76" s="384">
        <v>7899.85</v>
      </c>
      <c r="G76" s="55">
        <v>-14400.4</v>
      </c>
      <c r="H76" s="55">
        <v>19986.2</v>
      </c>
      <c r="I76" s="57">
        <v>22962.3</v>
      </c>
      <c r="J76" s="384">
        <v>28636.65</v>
      </c>
      <c r="K76" s="384">
        <v>19967.95</v>
      </c>
      <c r="L76" s="55">
        <v>6192.3</v>
      </c>
      <c r="M76" s="57">
        <v>12413.9</v>
      </c>
      <c r="N76" s="383">
        <v>15657.05</v>
      </c>
      <c r="O76" s="55">
        <v>20745.599999999999</v>
      </c>
      <c r="P76" s="55">
        <v>5864</v>
      </c>
      <c r="Q76" s="1320">
        <v>-16059.3</v>
      </c>
      <c r="R76" s="383">
        <v>2306.1</v>
      </c>
      <c r="S76" s="55">
        <v>10825.125</v>
      </c>
      <c r="T76" s="55">
        <v>-1665</v>
      </c>
      <c r="U76" s="57">
        <v>14125</v>
      </c>
      <c r="V76" s="55">
        <v>42253</v>
      </c>
      <c r="W76" s="55">
        <v>45604</v>
      </c>
      <c r="X76" s="55">
        <v>12078</v>
      </c>
      <c r="Y76" s="57">
        <v>14191.4503</v>
      </c>
      <c r="Z76" s="55">
        <v>11072</v>
      </c>
      <c r="AA76" s="55">
        <v>15113</v>
      </c>
      <c r="AB76" s="55"/>
      <c r="AC76" s="57"/>
      <c r="AD76" s="55"/>
      <c r="AE76" s="55"/>
      <c r="AF76" s="55"/>
      <c r="AG76" s="57"/>
      <c r="AH76" s="55"/>
      <c r="AI76" s="55"/>
      <c r="AJ76" s="55"/>
      <c r="AK76" s="55"/>
      <c r="AL76" s="58"/>
      <c r="AM76" s="57"/>
      <c r="AN76" s="57"/>
      <c r="AO76" s="57"/>
      <c r="AP76" s="196"/>
      <c r="AQ76" s="831">
        <v>28548.1</v>
      </c>
      <c r="AR76" s="384">
        <v>38574.15</v>
      </c>
      <c r="AS76" s="55">
        <v>-30762.850000000006</v>
      </c>
      <c r="AT76" s="46">
        <v>-0.45770694590750305</v>
      </c>
      <c r="AU76" s="53"/>
      <c r="AV76" s="58">
        <v>36447.949999999997</v>
      </c>
      <c r="AW76" s="58">
        <v>67210.8</v>
      </c>
      <c r="AX76" s="360">
        <v>26207.349999999995</v>
      </c>
      <c r="AY76" s="360">
        <v>25591.224999999999</v>
      </c>
      <c r="AZ76" s="58">
        <v>114126.4503</v>
      </c>
      <c r="BA76" s="58">
        <v>42043</v>
      </c>
      <c r="BB76" s="58">
        <v>-1417</v>
      </c>
      <c r="BC76" s="58">
        <v>79346.395000000004</v>
      </c>
      <c r="BD76" s="58">
        <v>93256</v>
      </c>
      <c r="BE76" s="58"/>
      <c r="BF76" s="58"/>
      <c r="BG76" s="58"/>
      <c r="BH76" s="701"/>
    </row>
    <row r="77" spans="1:60" ht="12.75" customHeight="1" x14ac:dyDescent="0.2">
      <c r="A77" s="7"/>
      <c r="B77" s="7" t="s">
        <v>423</v>
      </c>
      <c r="C77" s="358">
        <v>-20774.800000000003</v>
      </c>
      <c r="D77" s="755">
        <v>-0.80909308652024314</v>
      </c>
      <c r="E77" s="49"/>
      <c r="F77" s="384">
        <v>4901.8500000000004</v>
      </c>
      <c r="G77" s="55">
        <v>-17360.400000000001</v>
      </c>
      <c r="H77" s="55">
        <v>17065.2</v>
      </c>
      <c r="I77" s="57">
        <v>19964.3</v>
      </c>
      <c r="J77" s="384">
        <v>25676.65</v>
      </c>
      <c r="K77" s="384">
        <v>17046.95</v>
      </c>
      <c r="L77" s="55">
        <v>3271.3</v>
      </c>
      <c r="M77" s="57">
        <v>9453.9</v>
      </c>
      <c r="N77" s="383">
        <v>12770.05</v>
      </c>
      <c r="O77" s="55">
        <v>17747.599999999999</v>
      </c>
      <c r="P77" s="55">
        <v>2866</v>
      </c>
      <c r="Q77" s="1320">
        <v>-18896.3</v>
      </c>
      <c r="R77" s="383">
        <v>1199.0999999999999</v>
      </c>
      <c r="S77" s="384">
        <v>9007.125</v>
      </c>
      <c r="T77" s="384">
        <v>-3465</v>
      </c>
      <c r="U77" s="863">
        <v>14035</v>
      </c>
      <c r="V77" s="383">
        <v>42253</v>
      </c>
      <c r="W77" s="384">
        <v>45604</v>
      </c>
      <c r="X77" s="384">
        <v>12078</v>
      </c>
      <c r="Y77" s="863">
        <v>14191.4503</v>
      </c>
      <c r="Z77" s="383">
        <v>11072</v>
      </c>
      <c r="AA77" s="384">
        <v>15113</v>
      </c>
      <c r="AB77" s="384">
        <v>6746</v>
      </c>
      <c r="AC77" s="863"/>
      <c r="AD77" s="384"/>
      <c r="AE77" s="384"/>
      <c r="AF77" s="384"/>
      <c r="AG77" s="863"/>
      <c r="AH77" s="56"/>
      <c r="AI77" s="55"/>
      <c r="AJ77" s="55"/>
      <c r="AK77" s="57"/>
      <c r="AL77" s="58"/>
      <c r="AM77" s="57"/>
      <c r="AN77" s="57"/>
      <c r="AO77" s="57"/>
      <c r="AP77" s="196"/>
      <c r="AQ77" s="831">
        <v>19669.099999999999</v>
      </c>
      <c r="AR77" s="384">
        <v>29772.15</v>
      </c>
      <c r="AS77" s="55">
        <v>-30876.850000000013</v>
      </c>
      <c r="AT77" s="46">
        <v>-0.5568533493961999</v>
      </c>
      <c r="AU77" s="263"/>
      <c r="AV77" s="58">
        <v>24570.949999999997</v>
      </c>
      <c r="AW77" s="58">
        <v>55448.80000000001</v>
      </c>
      <c r="AX77" s="360">
        <v>14487.349999999995</v>
      </c>
      <c r="AY77" s="360">
        <v>20776.224999999999</v>
      </c>
      <c r="AZ77" s="360">
        <v>114126.4503</v>
      </c>
      <c r="BA77" s="360">
        <v>42043</v>
      </c>
      <c r="BB77" s="360">
        <v>-1417</v>
      </c>
      <c r="BC77" s="360">
        <v>79346.395000000004</v>
      </c>
      <c r="BD77" s="360">
        <v>93256</v>
      </c>
      <c r="BE77" s="58"/>
      <c r="BF77" s="58"/>
      <c r="BG77" s="58"/>
      <c r="BH77" s="701"/>
    </row>
    <row r="78" spans="1:60" ht="9.75" customHeight="1" x14ac:dyDescent="0.2">
      <c r="A78" s="859"/>
      <c r="B78" s="2"/>
      <c r="C78" s="358"/>
      <c r="D78" s="359"/>
      <c r="E78" s="49"/>
      <c r="F78" s="425"/>
      <c r="G78" s="52"/>
      <c r="H78" s="52"/>
      <c r="I78" s="362"/>
      <c r="J78" s="425"/>
      <c r="K78" s="52"/>
      <c r="L78" s="52"/>
      <c r="M78" s="362"/>
      <c r="N78" s="425"/>
      <c r="O78" s="52"/>
      <c r="P78" s="52"/>
      <c r="Q78" s="362"/>
      <c r="R78" s="425"/>
      <c r="S78" s="52"/>
      <c r="T78" s="52"/>
      <c r="U78" s="362"/>
      <c r="V78" s="425"/>
      <c r="W78" s="52"/>
      <c r="X78" s="52"/>
      <c r="Y78" s="362"/>
      <c r="Z78" s="425"/>
      <c r="AA78" s="1"/>
      <c r="AB78" s="1"/>
      <c r="AC78" s="362"/>
      <c r="AD78" s="52"/>
      <c r="AE78" s="1"/>
      <c r="AF78" s="1"/>
      <c r="AG78" s="362"/>
      <c r="AH78" s="361"/>
      <c r="AI78" s="1"/>
      <c r="AJ78" s="1"/>
      <c r="AK78" s="362"/>
      <c r="AL78" s="196"/>
      <c r="AM78" s="362"/>
      <c r="AN78" s="362"/>
      <c r="AO78" s="362"/>
      <c r="AP78" s="196"/>
      <c r="AQ78" s="1"/>
      <c r="AR78" s="1321"/>
      <c r="AS78" s="51"/>
      <c r="AT78" s="78"/>
      <c r="AU78" s="263"/>
      <c r="AV78" s="196"/>
      <c r="AW78" s="196"/>
      <c r="AX78" s="196"/>
      <c r="AY78" s="196"/>
      <c r="AZ78" s="196"/>
      <c r="BA78" s="196"/>
      <c r="BB78" s="196"/>
      <c r="BC78" s="196"/>
      <c r="BD78" s="196"/>
      <c r="BE78" s="196"/>
      <c r="BF78" s="196"/>
      <c r="BG78" s="196"/>
      <c r="BH78" s="701"/>
    </row>
    <row r="79" spans="1:60" ht="12.75" customHeight="1" x14ac:dyDescent="0.2">
      <c r="A79" s="615" t="s">
        <v>12</v>
      </c>
      <c r="B79" s="7"/>
      <c r="C79" s="358"/>
      <c r="D79" s="359"/>
      <c r="E79" s="49"/>
      <c r="F79" s="425"/>
      <c r="G79" s="52"/>
      <c r="H79" s="52"/>
      <c r="I79" s="863"/>
      <c r="J79" s="425"/>
      <c r="K79" s="52"/>
      <c r="L79" s="52"/>
      <c r="M79" s="863"/>
      <c r="N79" s="425"/>
      <c r="O79" s="52"/>
      <c r="P79" s="52"/>
      <c r="Q79" s="863"/>
      <c r="R79" s="425"/>
      <c r="S79" s="52"/>
      <c r="T79" s="52"/>
      <c r="U79" s="863"/>
      <c r="V79" s="425"/>
      <c r="W79" s="52"/>
      <c r="X79" s="52"/>
      <c r="Y79" s="863"/>
      <c r="Z79" s="425"/>
      <c r="AA79" s="1"/>
      <c r="AB79" s="1"/>
      <c r="AC79" s="362"/>
      <c r="AD79" s="52"/>
      <c r="AE79" s="1"/>
      <c r="AF79" s="1"/>
      <c r="AG79" s="362"/>
      <c r="AH79" s="361"/>
      <c r="AI79" s="1"/>
      <c r="AJ79" s="1"/>
      <c r="AK79" s="362"/>
      <c r="AL79" s="196"/>
      <c r="AM79" s="362"/>
      <c r="AN79" s="362"/>
      <c r="AO79" s="362"/>
      <c r="AP79" s="196"/>
      <c r="AQ79" s="1"/>
      <c r="AR79" s="1"/>
      <c r="AS79" s="51"/>
      <c r="AT79" s="78"/>
      <c r="AU79" s="263"/>
      <c r="AV79" s="196"/>
      <c r="AW79" s="196"/>
      <c r="AX79" s="196"/>
      <c r="AY79" s="196"/>
      <c r="AZ79" s="196"/>
      <c r="BA79" s="196"/>
      <c r="BB79" s="196"/>
      <c r="BC79" s="196"/>
      <c r="BD79" s="196"/>
      <c r="BE79" s="196"/>
      <c r="BF79" s="196"/>
      <c r="BG79" s="196"/>
    </row>
    <row r="80" spans="1:60" ht="12.75" customHeight="1" x14ac:dyDescent="0.2">
      <c r="A80" s="7" t="s">
        <v>13</v>
      </c>
      <c r="B80" s="7"/>
      <c r="C80" s="358"/>
      <c r="D80" s="359"/>
      <c r="E80" s="49"/>
      <c r="F80" s="425"/>
      <c r="G80" s="52"/>
      <c r="H80" s="52"/>
      <c r="I80" s="362"/>
      <c r="J80" s="425"/>
      <c r="K80" s="52"/>
      <c r="L80" s="52"/>
      <c r="M80" s="362"/>
      <c r="N80" s="425"/>
      <c r="O80" s="52"/>
      <c r="P80" s="52"/>
      <c r="Q80" s="362"/>
      <c r="R80" s="425"/>
      <c r="S80" s="52"/>
      <c r="T80" s="52"/>
      <c r="U80" s="362"/>
      <c r="V80" s="425"/>
      <c r="W80" s="52"/>
      <c r="X80" s="52"/>
      <c r="Y80" s="362"/>
      <c r="Z80" s="425"/>
      <c r="AA80" s="1"/>
      <c r="AB80" s="1"/>
      <c r="AC80" s="362"/>
      <c r="AD80" s="52"/>
      <c r="AE80" s="1"/>
      <c r="AF80" s="1"/>
      <c r="AG80" s="362"/>
      <c r="AH80" s="361"/>
      <c r="AI80" s="1"/>
      <c r="AJ80" s="1"/>
      <c r="AK80" s="362"/>
      <c r="AL80" s="196"/>
      <c r="AM80" s="362"/>
      <c r="AN80" s="362"/>
      <c r="AO80" s="362"/>
      <c r="AP80" s="196"/>
      <c r="AQ80" s="1"/>
      <c r="AR80" s="1"/>
      <c r="AS80" s="51"/>
      <c r="AT80" s="78"/>
      <c r="AU80" s="263"/>
      <c r="AV80" s="196"/>
      <c r="AW80" s="196"/>
      <c r="AX80" s="196"/>
      <c r="AY80" s="196"/>
      <c r="AZ80" s="196"/>
      <c r="BA80" s="196"/>
      <c r="BB80" s="196"/>
      <c r="BC80" s="196"/>
      <c r="BD80" s="196"/>
      <c r="BE80" s="196"/>
      <c r="BF80" s="196"/>
      <c r="BG80" s="196"/>
    </row>
    <row r="81" spans="1:59" ht="12.75" customHeight="1" x14ac:dyDescent="0.2">
      <c r="A81" s="7"/>
      <c r="B81" s="7" t="s">
        <v>435</v>
      </c>
      <c r="C81" s="1439">
        <v>-0.23000000000000004</v>
      </c>
      <c r="D81" s="755">
        <v>-0.82142857142857151</v>
      </c>
      <c r="E81" s="519"/>
      <c r="F81" s="420">
        <v>0.05</v>
      </c>
      <c r="G81" s="51">
        <v>-0.19</v>
      </c>
      <c r="H81" s="415">
        <v>0.19</v>
      </c>
      <c r="I81" s="601">
        <v>0.22</v>
      </c>
      <c r="J81" s="420">
        <v>0.28000000000000003</v>
      </c>
      <c r="K81" s="415">
        <v>0.18</v>
      </c>
      <c r="L81" s="415">
        <v>0.03</v>
      </c>
      <c r="M81" s="601">
        <v>0.1</v>
      </c>
      <c r="N81" s="420">
        <v>0.14000000000000001</v>
      </c>
      <c r="O81" s="415">
        <v>0.19</v>
      </c>
      <c r="P81" s="415">
        <v>0.03</v>
      </c>
      <c r="Q81" s="601">
        <v>-0.2</v>
      </c>
      <c r="R81" s="420">
        <v>0.02</v>
      </c>
      <c r="S81" s="415">
        <v>0.12</v>
      </c>
      <c r="T81" s="415">
        <v>-0.05</v>
      </c>
      <c r="U81" s="610">
        <v>0.19</v>
      </c>
      <c r="V81" s="420">
        <v>0.56000000000000005</v>
      </c>
      <c r="W81" s="415">
        <v>0.61</v>
      </c>
      <c r="X81" s="415">
        <v>0.16</v>
      </c>
      <c r="Y81" s="610">
        <v>0.21</v>
      </c>
      <c r="Z81" s="420">
        <v>0.22</v>
      </c>
      <c r="AA81" s="415">
        <v>0.31</v>
      </c>
      <c r="AB81" s="415">
        <v>0.14000000000000001</v>
      </c>
      <c r="AC81" s="362">
        <v>0.19</v>
      </c>
      <c r="AD81" s="415">
        <v>0.08</v>
      </c>
      <c r="AE81" s="415">
        <v>-0.33</v>
      </c>
      <c r="AF81" s="415">
        <v>-0.11</v>
      </c>
      <c r="AG81" s="362">
        <v>0.35</v>
      </c>
      <c r="AH81" s="361">
        <v>0.16</v>
      </c>
      <c r="AI81" s="51">
        <v>0.40129999999999999</v>
      </c>
      <c r="AJ81" s="51">
        <v>0.34039999999999998</v>
      </c>
      <c r="AK81" s="60">
        <v>0.86</v>
      </c>
      <c r="AL81" s="48">
        <v>0.56999999999999995</v>
      </c>
      <c r="AM81" s="60">
        <v>0.51</v>
      </c>
      <c r="AN81" s="60">
        <v>0.39</v>
      </c>
      <c r="AO81" s="60">
        <v>0.56999999999999995</v>
      </c>
      <c r="AP81" s="196"/>
      <c r="AQ81" s="51">
        <v>0.21</v>
      </c>
      <c r="AR81" s="51">
        <v>0.32</v>
      </c>
      <c r="AS81" s="61">
        <v>-0.31999999999999995</v>
      </c>
      <c r="AT81" s="46">
        <v>-0.5423728813559322</v>
      </c>
      <c r="AU81" s="263"/>
      <c r="AV81" s="48">
        <v>0.27</v>
      </c>
      <c r="AW81" s="48">
        <v>0.59</v>
      </c>
      <c r="AX81" s="48">
        <v>0.16</v>
      </c>
      <c r="AY81" s="48">
        <v>0.28000000000000003</v>
      </c>
      <c r="AZ81" s="48">
        <v>1.56</v>
      </c>
      <c r="BA81" s="48">
        <v>0.86</v>
      </c>
      <c r="BB81" s="48">
        <v>-0.03</v>
      </c>
      <c r="BC81" s="48">
        <v>1.77</v>
      </c>
      <c r="BD81" s="48">
        <v>2.0299999999999998</v>
      </c>
      <c r="BE81" s="48">
        <v>1.82</v>
      </c>
      <c r="BF81" s="48">
        <v>1.17</v>
      </c>
      <c r="BG81" s="48">
        <v>1.43</v>
      </c>
    </row>
    <row r="82" spans="1:59" ht="12.75" customHeight="1" x14ac:dyDescent="0.2">
      <c r="A82" s="7"/>
      <c r="B82" s="7" t="s">
        <v>434</v>
      </c>
      <c r="C82" s="1439">
        <v>-0.2</v>
      </c>
      <c r="D82" s="755">
        <v>-0.8</v>
      </c>
      <c r="E82" s="519"/>
      <c r="F82" s="420">
        <v>0.05</v>
      </c>
      <c r="G82" s="51">
        <v>-0.19</v>
      </c>
      <c r="H82" s="415">
        <v>0.17</v>
      </c>
      <c r="I82" s="601">
        <v>0.2</v>
      </c>
      <c r="J82" s="420">
        <v>0.25</v>
      </c>
      <c r="K82" s="415">
        <v>0.17</v>
      </c>
      <c r="L82" s="415">
        <v>0.03</v>
      </c>
      <c r="M82" s="601">
        <v>0.09</v>
      </c>
      <c r="N82" s="420">
        <v>0.12</v>
      </c>
      <c r="O82" s="415">
        <v>0.17</v>
      </c>
      <c r="P82" s="415">
        <v>0.03</v>
      </c>
      <c r="Q82" s="601">
        <v>-0.2</v>
      </c>
      <c r="R82" s="420">
        <v>0.02</v>
      </c>
      <c r="S82" s="415">
        <v>0.11</v>
      </c>
      <c r="T82" s="415">
        <v>-0.05</v>
      </c>
      <c r="U82" s="610">
        <v>0.17</v>
      </c>
      <c r="V82" s="420">
        <v>0.5</v>
      </c>
      <c r="W82" s="415">
        <v>0.55000000000000004</v>
      </c>
      <c r="X82" s="415">
        <v>0.15</v>
      </c>
      <c r="Y82" s="610">
        <v>0.19</v>
      </c>
      <c r="Z82" s="420">
        <v>0.21</v>
      </c>
      <c r="AA82" s="415">
        <v>0.27</v>
      </c>
      <c r="AB82" s="415">
        <v>0.12</v>
      </c>
      <c r="AC82" s="362">
        <v>0.16</v>
      </c>
      <c r="AD82" s="415">
        <v>7.0000000000000007E-2</v>
      </c>
      <c r="AE82" s="415">
        <v>-0.33</v>
      </c>
      <c r="AF82" s="415">
        <v>-0.11</v>
      </c>
      <c r="AG82" s="362">
        <v>0.31</v>
      </c>
      <c r="AH82" s="361">
        <v>0.15</v>
      </c>
      <c r="AI82" s="51">
        <v>0.35899999999999999</v>
      </c>
      <c r="AJ82" s="51">
        <v>0.3135</v>
      </c>
      <c r="AK82" s="60">
        <v>0.8</v>
      </c>
      <c r="AL82" s="48">
        <v>0.54</v>
      </c>
      <c r="AM82" s="60">
        <v>0.49</v>
      </c>
      <c r="AN82" s="60">
        <v>0.37</v>
      </c>
      <c r="AO82" s="60">
        <v>0.54</v>
      </c>
      <c r="AP82" s="196"/>
      <c r="AQ82" s="51">
        <v>0.2</v>
      </c>
      <c r="AR82" s="51">
        <v>0.28999999999999998</v>
      </c>
      <c r="AS82" s="61">
        <v>-0.29000000000000004</v>
      </c>
      <c r="AT82" s="46">
        <v>-0.53703703703703709</v>
      </c>
      <c r="AU82" s="263"/>
      <c r="AV82" s="48">
        <v>0.25</v>
      </c>
      <c r="AW82" s="48">
        <v>0.54</v>
      </c>
      <c r="AX82" s="48">
        <v>0.14000000000000001</v>
      </c>
      <c r="AY82" s="48">
        <v>0.25</v>
      </c>
      <c r="AZ82" s="48">
        <v>1.4</v>
      </c>
      <c r="BA82" s="48">
        <v>0.76</v>
      </c>
      <c r="BB82" s="48">
        <v>-0.03</v>
      </c>
      <c r="BC82" s="48">
        <v>1.63</v>
      </c>
      <c r="BD82" s="48">
        <v>1.94</v>
      </c>
      <c r="BE82" s="48">
        <v>1.74</v>
      </c>
      <c r="BF82" s="48">
        <v>1.1100000000000001</v>
      </c>
      <c r="BG82" s="48">
        <v>1.1200000000000001</v>
      </c>
    </row>
    <row r="83" spans="1:59" ht="9.75" customHeight="1" x14ac:dyDescent="0.2">
      <c r="A83" s="859"/>
      <c r="B83" s="2"/>
      <c r="C83" s="358"/>
      <c r="D83" s="359"/>
      <c r="E83" s="49"/>
      <c r="F83" s="425"/>
      <c r="G83" s="51"/>
      <c r="H83" s="52"/>
      <c r="I83" s="362"/>
      <c r="J83" s="425"/>
      <c r="K83" s="52"/>
      <c r="L83" s="52"/>
      <c r="M83" s="362"/>
      <c r="N83" s="425"/>
      <c r="O83" s="52"/>
      <c r="P83" s="52"/>
      <c r="Q83" s="362"/>
      <c r="R83" s="425"/>
      <c r="S83" s="52"/>
      <c r="T83" s="52"/>
      <c r="U83" s="362"/>
      <c r="V83" s="425"/>
      <c r="W83" s="52"/>
      <c r="X83" s="52"/>
      <c r="Y83" s="362"/>
      <c r="Z83" s="425"/>
      <c r="AA83" s="1"/>
      <c r="AB83" s="1"/>
      <c r="AC83" s="362"/>
      <c r="AD83" s="52"/>
      <c r="AE83" s="1"/>
      <c r="AF83" s="1"/>
      <c r="AG83" s="362"/>
      <c r="AH83" s="361"/>
      <c r="AI83" s="1"/>
      <c r="AJ83" s="1"/>
      <c r="AK83" s="362"/>
      <c r="AL83" s="196"/>
      <c r="AM83" s="362"/>
      <c r="AN83" s="362"/>
      <c r="AO83" s="362"/>
      <c r="AP83" s="196"/>
      <c r="AQ83" s="1"/>
      <c r="AR83" s="1"/>
      <c r="AS83" s="51"/>
      <c r="AT83" s="60"/>
      <c r="AU83" s="263"/>
      <c r="AV83" s="196"/>
      <c r="AW83" s="196"/>
      <c r="AX83" s="196"/>
      <c r="AY83" s="196"/>
      <c r="AZ83" s="196"/>
      <c r="BA83" s="196"/>
      <c r="BB83" s="196"/>
      <c r="BC83" s="196"/>
      <c r="BD83" s="196"/>
      <c r="BE83" s="196"/>
      <c r="BF83" s="196"/>
      <c r="BG83" s="196"/>
    </row>
    <row r="84" spans="1:59" ht="12.75" customHeight="1" x14ac:dyDescent="0.2">
      <c r="A84" s="615" t="s">
        <v>23</v>
      </c>
      <c r="B84" s="7"/>
      <c r="C84" s="358"/>
      <c r="D84" s="359"/>
      <c r="E84" s="49"/>
      <c r="F84" s="425"/>
      <c r="G84" s="52"/>
      <c r="H84" s="52"/>
      <c r="I84" s="362"/>
      <c r="J84" s="425"/>
      <c r="K84" s="52"/>
      <c r="L84" s="52"/>
      <c r="M84" s="362"/>
      <c r="N84" s="425"/>
      <c r="O84" s="52"/>
      <c r="P84" s="52"/>
      <c r="Q84" s="362"/>
      <c r="R84" s="425"/>
      <c r="S84" s="52"/>
      <c r="T84" s="52"/>
      <c r="U84" s="362"/>
      <c r="V84" s="425"/>
      <c r="W84" s="52"/>
      <c r="X84" s="52"/>
      <c r="Y84" s="362"/>
      <c r="Z84" s="425"/>
      <c r="AA84" s="1"/>
      <c r="AB84" s="1"/>
      <c r="AC84" s="362"/>
      <c r="AD84" s="52"/>
      <c r="AE84" s="1"/>
      <c r="AF84" s="1"/>
      <c r="AG84" s="362"/>
      <c r="AH84" s="361"/>
      <c r="AI84" s="1"/>
      <c r="AJ84" s="1"/>
      <c r="AK84" s="362"/>
      <c r="AL84" s="196"/>
      <c r="AM84" s="362"/>
      <c r="AN84" s="362"/>
      <c r="AO84" s="362"/>
      <c r="AP84" s="196"/>
      <c r="AQ84" s="1"/>
      <c r="AR84" s="1"/>
      <c r="AS84" s="51"/>
      <c r="AT84" s="60"/>
      <c r="AU84" s="263"/>
      <c r="AV84" s="196"/>
      <c r="AW84" s="196"/>
      <c r="AX84" s="196"/>
      <c r="AY84" s="196"/>
      <c r="AZ84" s="196"/>
      <c r="BA84" s="196"/>
      <c r="BB84" s="196"/>
      <c r="BC84" s="196"/>
      <c r="BD84" s="196"/>
      <c r="BE84" s="196"/>
      <c r="BF84" s="196"/>
      <c r="BG84" s="196"/>
    </row>
    <row r="85" spans="1:59" ht="12.75" hidden="1" customHeight="1" x14ac:dyDescent="0.2">
      <c r="A85" s="487"/>
      <c r="B85" s="7" t="s">
        <v>24</v>
      </c>
      <c r="C85" s="86">
        <v>0</v>
      </c>
      <c r="D85" s="46" t="s">
        <v>343</v>
      </c>
      <c r="E85" s="519"/>
      <c r="F85" s="420"/>
      <c r="G85" s="415"/>
      <c r="H85" s="47"/>
      <c r="I85" s="46"/>
      <c r="J85" s="420"/>
      <c r="K85" s="415"/>
      <c r="L85" s="47"/>
      <c r="M85" s="46"/>
      <c r="N85" s="420"/>
      <c r="O85" s="415"/>
      <c r="P85" s="47"/>
      <c r="Q85" s="46"/>
      <c r="R85" s="420"/>
      <c r="S85" s="415"/>
      <c r="T85" s="47"/>
      <c r="U85" s="46"/>
      <c r="V85" s="420"/>
      <c r="W85" s="415"/>
      <c r="X85" s="47"/>
      <c r="Y85" s="46">
        <v>0.05</v>
      </c>
      <c r="Z85" s="420">
        <v>0.05</v>
      </c>
      <c r="AA85" s="415">
        <v>0.05</v>
      </c>
      <c r="AB85" s="415">
        <v>0.05</v>
      </c>
      <c r="AC85" s="46">
        <v>0</v>
      </c>
      <c r="AD85" s="47">
        <v>0</v>
      </c>
      <c r="AE85" s="47">
        <v>0</v>
      </c>
      <c r="AF85" s="47">
        <v>0</v>
      </c>
      <c r="AG85" s="379">
        <v>0.125</v>
      </c>
      <c r="AH85" s="361">
        <v>0.125</v>
      </c>
      <c r="AI85" s="75">
        <v>0.125</v>
      </c>
      <c r="AJ85" s="37">
        <v>0.125</v>
      </c>
      <c r="AK85" s="363">
        <v>0.125</v>
      </c>
      <c r="AL85" s="48">
        <v>0.1</v>
      </c>
      <c r="AM85" s="60">
        <v>0.1</v>
      </c>
      <c r="AN85" s="60">
        <v>0.08</v>
      </c>
      <c r="AO85" s="76">
        <v>0.08</v>
      </c>
      <c r="AP85" s="196"/>
      <c r="AQ85" s="1"/>
      <c r="AR85" s="1"/>
      <c r="AS85" s="51">
        <v>0</v>
      </c>
      <c r="AT85" s="78">
        <v>-0.04</v>
      </c>
      <c r="AU85" s="263"/>
      <c r="AV85" s="506"/>
      <c r="AW85" s="506"/>
      <c r="AX85" s="506"/>
      <c r="AY85" s="506"/>
      <c r="AZ85" s="506">
        <v>0.15000000000000002</v>
      </c>
      <c r="BA85" s="506">
        <v>0.15</v>
      </c>
      <c r="BB85" s="433">
        <v>0.125</v>
      </c>
      <c r="BC85" s="48">
        <v>0.5</v>
      </c>
      <c r="BD85" s="48">
        <v>0.36</v>
      </c>
      <c r="BE85" s="48">
        <v>0.28000000000000003</v>
      </c>
      <c r="BF85" s="48">
        <v>0.26</v>
      </c>
      <c r="BG85" s="48">
        <v>0</v>
      </c>
    </row>
    <row r="86" spans="1:59" ht="12.75" hidden="1" customHeight="1" x14ac:dyDescent="0.2">
      <c r="A86" s="7"/>
      <c r="B86" s="7" t="s">
        <v>25</v>
      </c>
      <c r="C86" s="378">
        <v>0</v>
      </c>
      <c r="D86" s="46" t="e">
        <v>#DIV/0!</v>
      </c>
      <c r="E86" s="519"/>
      <c r="F86" s="365"/>
      <c r="G86" s="47"/>
      <c r="H86" s="47"/>
      <c r="I86" s="46"/>
      <c r="J86" s="365"/>
      <c r="K86" s="47"/>
      <c r="L86" s="47"/>
      <c r="M86" s="46"/>
      <c r="N86" s="365"/>
      <c r="O86" s="47"/>
      <c r="P86" s="47"/>
      <c r="Q86" s="46"/>
      <c r="R86" s="365"/>
      <c r="S86" s="47"/>
      <c r="T86" s="47"/>
      <c r="U86" s="46"/>
      <c r="V86" s="365"/>
      <c r="W86" s="47"/>
      <c r="X86" s="47"/>
      <c r="Y86" s="46">
        <v>0</v>
      </c>
      <c r="Z86" s="365">
        <v>0</v>
      </c>
      <c r="AA86" s="47">
        <v>0</v>
      </c>
      <c r="AB86" s="47">
        <v>0</v>
      </c>
      <c r="AC86" s="46">
        <v>0</v>
      </c>
      <c r="AD86" s="47">
        <v>0</v>
      </c>
      <c r="AE86" s="47">
        <v>0</v>
      </c>
      <c r="AF86" s="47">
        <v>0</v>
      </c>
      <c r="AG86" s="46">
        <v>0</v>
      </c>
      <c r="AH86" s="59">
        <v>0</v>
      </c>
      <c r="AI86" s="51">
        <v>0</v>
      </c>
      <c r="AJ86" s="51">
        <v>0</v>
      </c>
      <c r="AK86" s="364">
        <v>0</v>
      </c>
      <c r="AL86" s="48">
        <v>0</v>
      </c>
      <c r="AM86" s="60">
        <v>0</v>
      </c>
      <c r="AN86" s="60">
        <v>0</v>
      </c>
      <c r="AO86" s="60">
        <v>0</v>
      </c>
      <c r="AP86" s="196"/>
      <c r="AQ86" s="1"/>
      <c r="AR86" s="1"/>
      <c r="AS86" s="77">
        <v>0</v>
      </c>
      <c r="AT86" s="364">
        <v>0</v>
      </c>
      <c r="AU86" s="263"/>
      <c r="AV86" s="48"/>
      <c r="AW86" s="48"/>
      <c r="AX86" s="48"/>
      <c r="AY86" s="48"/>
      <c r="AZ86" s="48">
        <v>0</v>
      </c>
      <c r="BA86" s="48"/>
      <c r="BB86" s="48">
        <v>0</v>
      </c>
      <c r="BC86" s="48">
        <v>0</v>
      </c>
      <c r="BD86" s="48">
        <v>0</v>
      </c>
      <c r="BE86" s="48">
        <v>0</v>
      </c>
      <c r="BF86" s="48">
        <v>0.15</v>
      </c>
      <c r="BG86" s="48">
        <v>0</v>
      </c>
    </row>
    <row r="87" spans="1:59" ht="12.75" hidden="1" customHeight="1" x14ac:dyDescent="0.2">
      <c r="A87" s="487"/>
      <c r="B87" s="11" t="s">
        <v>26</v>
      </c>
      <c r="C87" s="54">
        <v>0</v>
      </c>
      <c r="D87" s="46"/>
      <c r="E87" s="519"/>
      <c r="F87" s="365"/>
      <c r="G87" s="47"/>
      <c r="H87" s="47"/>
      <c r="I87" s="46"/>
      <c r="J87" s="365"/>
      <c r="K87" s="47"/>
      <c r="L87" s="47"/>
      <c r="M87" s="46"/>
      <c r="N87" s="365"/>
      <c r="O87" s="47"/>
      <c r="P87" s="47"/>
      <c r="Q87" s="46"/>
      <c r="R87" s="365"/>
      <c r="S87" s="47"/>
      <c r="T87" s="47"/>
      <c r="U87" s="46"/>
      <c r="V87" s="365"/>
      <c r="W87" s="47"/>
      <c r="X87" s="47"/>
      <c r="Y87" s="46">
        <v>2.1299254526091587E-2</v>
      </c>
      <c r="Z87" s="365">
        <v>1.7999999999999999E-2</v>
      </c>
      <c r="AA87" s="47">
        <v>1.9E-2</v>
      </c>
      <c r="AB87" s="47">
        <v>0.02</v>
      </c>
      <c r="AC87" s="46">
        <v>0</v>
      </c>
      <c r="AD87" s="47">
        <v>0</v>
      </c>
      <c r="AE87" s="47">
        <v>0</v>
      </c>
      <c r="AF87" s="47">
        <v>0</v>
      </c>
      <c r="AG87" s="46">
        <v>6.2899999999999998E-2</v>
      </c>
      <c r="AH87" s="365">
        <v>5.0999999999999997E-2</v>
      </c>
      <c r="AI87" s="53">
        <v>3.3000000000000002E-2</v>
      </c>
      <c r="AJ87" s="53">
        <v>2.63E-2</v>
      </c>
      <c r="AK87" s="73">
        <v>2.4E-2</v>
      </c>
      <c r="AL87" s="50">
        <v>1.7999999999999999E-2</v>
      </c>
      <c r="AM87" s="78">
        <v>2.1999999999999999E-2</v>
      </c>
      <c r="AN87" s="78">
        <v>1.9E-2</v>
      </c>
      <c r="AO87" s="73">
        <v>1.7999999999999999E-2</v>
      </c>
      <c r="AP87" s="196"/>
      <c r="AQ87" s="1"/>
      <c r="AR87" s="1"/>
      <c r="AS87" s="345">
        <v>1.6642857142857146</v>
      </c>
      <c r="AT87" s="46" t="s">
        <v>42</v>
      </c>
      <c r="AU87" s="263"/>
      <c r="AV87" s="49"/>
      <c r="AW87" s="49"/>
      <c r="AX87" s="49"/>
      <c r="AY87" s="49"/>
      <c r="AZ87" s="49">
        <v>1.9642857142857146E-2</v>
      </c>
      <c r="BA87" s="49">
        <v>3.0000000000000001E-3</v>
      </c>
      <c r="BB87" s="49">
        <v>2.3E-2</v>
      </c>
      <c r="BC87" s="49">
        <v>5.0999999999999997E-2</v>
      </c>
      <c r="BD87" s="49">
        <v>1.6E-2</v>
      </c>
      <c r="BE87" s="49">
        <v>1.2999999999999999E-2</v>
      </c>
      <c r="BF87" s="50">
        <v>2.4799999999999999E-2</v>
      </c>
      <c r="BG87" s="48">
        <v>0</v>
      </c>
    </row>
    <row r="88" spans="1:59" ht="13.5" customHeight="1" x14ac:dyDescent="0.2">
      <c r="A88" s="487"/>
      <c r="B88" s="11" t="s">
        <v>246</v>
      </c>
      <c r="C88" s="54">
        <v>84.902743381318317</v>
      </c>
      <c r="D88" s="46"/>
      <c r="E88" s="519"/>
      <c r="F88" s="385">
        <v>1.0466222446627294</v>
      </c>
      <c r="G88" s="47">
        <v>-0.29343575608856942</v>
      </c>
      <c r="H88" s="755">
        <v>0.59866277570728732</v>
      </c>
      <c r="I88" s="742">
        <v>0.25541325766493195</v>
      </c>
      <c r="J88" s="385">
        <v>0.19759481084954622</v>
      </c>
      <c r="K88" s="47">
        <v>0.2986426926810955</v>
      </c>
      <c r="L88" s="755">
        <v>1.5669572035582187</v>
      </c>
      <c r="M88" s="742">
        <v>0.54776438295306695</v>
      </c>
      <c r="N88" s="385">
        <v>0.40288085011413427</v>
      </c>
      <c r="O88" s="755">
        <v>0.28880754862629315</v>
      </c>
      <c r="P88" s="755">
        <v>1.7861383112351712</v>
      </c>
      <c r="Q88" s="742">
        <v>-0.26997507713150198</v>
      </c>
      <c r="R88" s="385">
        <v>8.4804203986323081</v>
      </c>
      <c r="S88" s="755">
        <v>0.92607192639160674</v>
      </c>
      <c r="T88" s="755">
        <v>-2.4049999999999998</v>
      </c>
      <c r="U88" s="742">
        <v>0.59207296758104744</v>
      </c>
      <c r="V88" s="385">
        <v>0.19598608382836721</v>
      </c>
      <c r="W88" s="755">
        <v>0.13588610648188756</v>
      </c>
      <c r="X88" s="755">
        <v>0.34174946183142907</v>
      </c>
      <c r="Y88" s="742">
        <v>0.28999125621431376</v>
      </c>
      <c r="Z88" s="385">
        <v>0.38400000000000001</v>
      </c>
      <c r="AA88" s="755">
        <v>0.189</v>
      </c>
      <c r="AB88" s="755">
        <v>0.42399999999999999</v>
      </c>
      <c r="AC88" s="742">
        <v>0</v>
      </c>
      <c r="AD88" s="755">
        <v>0</v>
      </c>
      <c r="AE88" s="755">
        <v>0</v>
      </c>
      <c r="AF88" s="755">
        <v>0</v>
      </c>
      <c r="AG88" s="742">
        <v>0.436</v>
      </c>
      <c r="AH88" s="385">
        <v>0.86299999999999999</v>
      </c>
      <c r="AI88" s="35">
        <v>0.40799999999999997</v>
      </c>
      <c r="AJ88" s="35">
        <v>0.49199999999999999</v>
      </c>
      <c r="AK88" s="1380">
        <v>0.157</v>
      </c>
      <c r="AL88" s="521">
        <v>0.185</v>
      </c>
      <c r="AM88" s="1380">
        <v>0.20300000000000001</v>
      </c>
      <c r="AN88" s="1380">
        <v>0.216</v>
      </c>
      <c r="AO88" s="1380">
        <v>0.14799999999999999</v>
      </c>
      <c r="AP88" s="85"/>
      <c r="AQ88" s="11">
        <v>1.0376483418153346</v>
      </c>
      <c r="AR88" s="35">
        <v>0.51700000000000002</v>
      </c>
      <c r="AS88" s="345">
        <v>67.028695398674515</v>
      </c>
      <c r="AT88" s="46"/>
      <c r="AU88" s="263"/>
      <c r="AV88" s="600">
        <v>1.0394386155195465</v>
      </c>
      <c r="AW88" s="600">
        <v>0.36915166153280149</v>
      </c>
      <c r="AX88" s="600">
        <v>1.4144099438475644</v>
      </c>
      <c r="AY88" s="600">
        <v>1.6919354406298548</v>
      </c>
      <c r="AZ88" s="600">
        <v>0.19908615785625641</v>
      </c>
      <c r="BA88" s="438">
        <v>0.224</v>
      </c>
      <c r="BB88" s="438" t="s">
        <v>42</v>
      </c>
      <c r="BC88" s="49">
        <v>0.309</v>
      </c>
      <c r="BD88" s="50">
        <v>0.185</v>
      </c>
      <c r="BE88" s="50">
        <v>0.16200000000000001</v>
      </c>
      <c r="BF88" s="50">
        <v>0.247</v>
      </c>
      <c r="BG88" s="48">
        <v>0</v>
      </c>
    </row>
    <row r="89" spans="1:59" ht="12.75" hidden="1" customHeight="1" x14ac:dyDescent="0.2">
      <c r="A89" s="487"/>
      <c r="B89" s="11" t="s">
        <v>145</v>
      </c>
      <c r="C89" s="54">
        <v>-9.7392118039914095</v>
      </c>
      <c r="D89" s="46"/>
      <c r="E89" s="519"/>
      <c r="F89" s="365"/>
      <c r="G89" s="869"/>
      <c r="H89" s="755"/>
      <c r="I89" s="742"/>
      <c r="J89" s="365"/>
      <c r="K89" s="869"/>
      <c r="L89" s="755"/>
      <c r="M89" s="742"/>
      <c r="N89" s="385"/>
      <c r="O89" s="1384"/>
      <c r="P89" s="755"/>
      <c r="Q89" s="742"/>
      <c r="R89" s="385"/>
      <c r="S89" s="755"/>
      <c r="T89" s="755"/>
      <c r="U89" s="742"/>
      <c r="V89" s="385"/>
      <c r="W89" s="755"/>
      <c r="X89" s="755"/>
      <c r="Y89" s="742">
        <v>0.10249610679890299</v>
      </c>
      <c r="Z89" s="385">
        <v>0.11192033795883191</v>
      </c>
      <c r="AA89" s="755">
        <v>0.15200860138677713</v>
      </c>
      <c r="AB89" s="755">
        <v>6.9191559534010669E-2</v>
      </c>
      <c r="AC89" s="742">
        <v>9.73921180399141E-2</v>
      </c>
      <c r="AD89" s="755">
        <v>4.177146702872294E-2</v>
      </c>
      <c r="AE89" s="755">
        <v>-0.16696019195523099</v>
      </c>
      <c r="AF89" s="755">
        <v>-0.05</v>
      </c>
      <c r="AG89" s="755">
        <v>0.157</v>
      </c>
      <c r="AH89" s="385"/>
      <c r="AI89" s="35"/>
      <c r="AJ89" s="35"/>
      <c r="AK89" s="1380"/>
      <c r="AL89" s="521"/>
      <c r="AM89" s="1380"/>
      <c r="AN89" s="1380"/>
      <c r="AO89" s="1380"/>
      <c r="AP89" s="85"/>
      <c r="AQ89" s="868"/>
      <c r="AR89" s="872"/>
      <c r="AS89" s="345"/>
      <c r="AT89" s="46"/>
      <c r="AU89" s="263"/>
      <c r="AV89" s="438"/>
      <c r="AW89" s="438"/>
      <c r="AX89" s="438"/>
      <c r="AY89" s="438"/>
      <c r="AZ89" s="438"/>
      <c r="BA89" s="438">
        <v>0.10808038612073342</v>
      </c>
      <c r="BB89" s="438">
        <v>-3.8814048658628113E-3</v>
      </c>
      <c r="BC89" s="438">
        <v>0.21749504889431018</v>
      </c>
      <c r="BD89" s="438">
        <v>0.28319098937761072</v>
      </c>
      <c r="BE89" s="50">
        <v>0.33600000000000002</v>
      </c>
      <c r="BF89" s="50"/>
      <c r="BG89" s="48"/>
    </row>
    <row r="90" spans="1:59" ht="13.5" customHeight="1" x14ac:dyDescent="0.2">
      <c r="A90" s="10"/>
      <c r="B90" s="7" t="s">
        <v>215</v>
      </c>
      <c r="C90" s="89">
        <v>13.16264090177134</v>
      </c>
      <c r="D90" s="755">
        <v>0.86680805938494199</v>
      </c>
      <c r="E90" s="519"/>
      <c r="F90" s="504">
        <v>28.347826086956523</v>
      </c>
      <c r="G90" s="872">
        <v>18.162790697674417</v>
      </c>
      <c r="H90" s="36">
        <v>14.164556962025314</v>
      </c>
      <c r="I90" s="1381">
        <v>18.907692307692304</v>
      </c>
      <c r="J90" s="504">
        <v>15.185185185185183</v>
      </c>
      <c r="K90" s="872">
        <v>16.95121951219512</v>
      </c>
      <c r="L90" s="36">
        <v>16.170731707317071</v>
      </c>
      <c r="M90" s="1381">
        <v>13.926829268292682</v>
      </c>
      <c r="N90" s="1385">
        <v>56.833333333333336</v>
      </c>
      <c r="O90" s="872">
        <v>335.00000000000017</v>
      </c>
      <c r="P90" s="1386">
        <v>-141.99999999999997</v>
      </c>
      <c r="Q90" s="1381">
        <v>-45.833333333333329</v>
      </c>
      <c r="R90" s="1385">
        <v>33.200000000000003</v>
      </c>
      <c r="S90" s="872">
        <v>10.684931506849315</v>
      </c>
      <c r="T90" s="872">
        <v>8.1623931623931636</v>
      </c>
      <c r="U90" s="1381">
        <v>9.0218978102189773</v>
      </c>
      <c r="V90" s="1385">
        <v>10.071942446043165</v>
      </c>
      <c r="W90" s="872">
        <v>13.74757281553398</v>
      </c>
      <c r="X90" s="872">
        <v>13.826666666666664</v>
      </c>
      <c r="Y90" s="1381">
        <v>13.041666666666668</v>
      </c>
      <c r="Z90" s="1385">
        <v>14.6</v>
      </c>
      <c r="AA90" s="872">
        <v>16.7</v>
      </c>
      <c r="AB90" s="36">
        <v>-13.6</v>
      </c>
      <c r="AC90" s="1381">
        <v>-6</v>
      </c>
      <c r="AD90" s="872">
        <v>1.1000000000000001</v>
      </c>
      <c r="AE90" s="872">
        <v>7.1</v>
      </c>
      <c r="AF90" s="872">
        <v>8.1</v>
      </c>
      <c r="AG90" s="1382">
        <v>7.3</v>
      </c>
      <c r="AH90" s="1387">
        <v>7.3</v>
      </c>
      <c r="AI90" s="36">
        <v>7.6119000000000003</v>
      </c>
      <c r="AJ90" s="36">
        <v>8.8691999999999993</v>
      </c>
      <c r="AK90" s="1381">
        <v>9.5</v>
      </c>
      <c r="AL90" s="1383">
        <v>11.4</v>
      </c>
      <c r="AM90" s="1381">
        <v>9.1999999999999993</v>
      </c>
      <c r="AN90" s="1381">
        <v>8.3000000000000007</v>
      </c>
      <c r="AO90" s="1381">
        <v>8.6999999999999993</v>
      </c>
      <c r="AP90" s="85"/>
      <c r="AQ90" s="871">
        <v>18.162790697674417</v>
      </c>
      <c r="AR90" s="36">
        <v>17</v>
      </c>
      <c r="AS90" s="79">
        <v>13.16264090177134</v>
      </c>
      <c r="AT90" s="46">
        <v>0.86680805938494199</v>
      </c>
      <c r="AU90" s="263"/>
      <c r="AV90" s="81">
        <v>28.347826086956523</v>
      </c>
      <c r="AW90" s="81">
        <v>15.185185185185183</v>
      </c>
      <c r="AX90" s="81">
        <v>56.833333333333336</v>
      </c>
      <c r="AY90" s="81">
        <v>33.200000000000003</v>
      </c>
      <c r="AZ90" s="81">
        <v>10.071942446043165</v>
      </c>
      <c r="BA90" s="81">
        <v>14.6</v>
      </c>
      <c r="BB90" s="81">
        <v>1.1000000000000001</v>
      </c>
      <c r="BC90" s="81">
        <v>7.3</v>
      </c>
      <c r="BD90" s="81">
        <v>11.4</v>
      </c>
      <c r="BE90" s="81">
        <v>12</v>
      </c>
      <c r="BF90" s="81">
        <v>9.5273000000000003</v>
      </c>
      <c r="BG90" s="81">
        <v>0</v>
      </c>
    </row>
    <row r="91" spans="1:59" ht="12.75" customHeight="1" x14ac:dyDescent="0.2">
      <c r="A91" s="859"/>
      <c r="B91" s="2"/>
      <c r="C91" s="856"/>
      <c r="D91" s="857"/>
      <c r="E91" s="196"/>
      <c r="F91" s="856"/>
      <c r="G91" s="414"/>
      <c r="H91" s="414"/>
      <c r="I91" s="857"/>
      <c r="J91" s="856"/>
      <c r="K91" s="414"/>
      <c r="L91" s="414"/>
      <c r="M91" s="857"/>
      <c r="N91" s="856"/>
      <c r="O91" s="414"/>
      <c r="P91" s="414"/>
      <c r="Q91" s="857"/>
      <c r="R91" s="856"/>
      <c r="S91" s="414"/>
      <c r="T91" s="414"/>
      <c r="U91" s="857"/>
      <c r="V91" s="856"/>
      <c r="W91" s="414"/>
      <c r="X91" s="414"/>
      <c r="Y91" s="857"/>
      <c r="Z91" s="856"/>
      <c r="AA91" s="414"/>
      <c r="AB91" s="414"/>
      <c r="AC91" s="857"/>
      <c r="AD91" s="414"/>
      <c r="AE91" s="414"/>
      <c r="AF91" s="414"/>
      <c r="AG91" s="857"/>
      <c r="AH91" s="856"/>
      <c r="AI91" s="414"/>
      <c r="AJ91" s="414"/>
      <c r="AK91" s="857"/>
      <c r="AL91" s="350"/>
      <c r="AM91" s="857"/>
      <c r="AN91" s="857"/>
      <c r="AO91" s="857"/>
      <c r="AP91" s="196"/>
      <c r="AQ91" s="856"/>
      <c r="AR91" s="414"/>
      <c r="AS91" s="346"/>
      <c r="AT91" s="347"/>
      <c r="AU91" s="263"/>
      <c r="AV91" s="350"/>
      <c r="AW91" s="350"/>
      <c r="AX91" s="350"/>
      <c r="AY91" s="350"/>
      <c r="AZ91" s="350"/>
      <c r="BA91" s="350"/>
      <c r="BB91" s="350"/>
      <c r="BC91" s="350"/>
      <c r="BD91" s="350"/>
      <c r="BE91" s="350"/>
      <c r="BF91" s="350"/>
      <c r="BG91" s="350"/>
    </row>
    <row r="92" spans="1:59" x14ac:dyDescent="0.2">
      <c r="A92" s="7" t="s">
        <v>439</v>
      </c>
      <c r="B92" s="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row>
    <row r="93" spans="1:59" x14ac:dyDescent="0.2">
      <c r="A93" s="1" t="s">
        <v>29</v>
      </c>
      <c r="B93" s="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2"/>
      <c r="AI93" s="2"/>
      <c r="BC93" s="15"/>
      <c r="BD93" s="15"/>
    </row>
    <row r="94" spans="1:59" ht="9.75" customHeight="1" x14ac:dyDescent="0.2">
      <c r="A94" s="2"/>
      <c r="B94" s="2"/>
      <c r="C94" s="1"/>
      <c r="D94" s="1"/>
      <c r="E94" s="1"/>
      <c r="F94" s="1"/>
      <c r="G94" s="1"/>
      <c r="I94" s="1"/>
      <c r="J94" s="1"/>
      <c r="K94" s="1"/>
      <c r="L94" s="1"/>
      <c r="M94" s="1"/>
      <c r="N94" s="1"/>
      <c r="O94" s="1"/>
      <c r="P94" s="1"/>
      <c r="Q94" s="1"/>
      <c r="R94" s="1"/>
      <c r="S94" s="1"/>
      <c r="T94" s="1"/>
      <c r="U94" s="1"/>
      <c r="V94" s="1"/>
      <c r="W94" s="1"/>
      <c r="X94" s="1"/>
      <c r="Y94" s="1"/>
      <c r="Z94" s="1"/>
      <c r="AA94" s="1"/>
      <c r="AB94" s="1"/>
      <c r="AC94" s="1"/>
      <c r="AD94" s="1"/>
      <c r="AE94" s="1"/>
      <c r="AF94" s="1"/>
      <c r="AG94" s="351"/>
      <c r="AH94" s="15"/>
      <c r="AI94" s="15"/>
      <c r="AJ94" s="15"/>
      <c r="AK94" s="15"/>
      <c r="AL94" s="15"/>
      <c r="AM94" s="15"/>
      <c r="AN94" s="15"/>
      <c r="AO94" s="15"/>
      <c r="AP94" s="2"/>
      <c r="AQ94" s="2"/>
      <c r="AR94" s="2"/>
      <c r="BC94" s="15"/>
      <c r="BD94" s="15"/>
    </row>
    <row r="95" spans="1:59" x14ac:dyDescent="0.2">
      <c r="A95" s="7" t="s">
        <v>339</v>
      </c>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5"/>
      <c r="AH95" s="15"/>
      <c r="AI95" s="15"/>
      <c r="AJ95" s="15"/>
      <c r="AK95" s="15"/>
      <c r="AL95" s="15"/>
      <c r="AM95" s="15"/>
      <c r="AN95" s="15"/>
      <c r="AO95" s="15"/>
      <c r="AP95" s="2"/>
      <c r="AQ95" s="2"/>
      <c r="AR95" s="2"/>
      <c r="BC95" s="2"/>
      <c r="BD95" s="2"/>
    </row>
    <row r="96" spans="1:59" x14ac:dyDescent="0.2">
      <c r="A96" s="2"/>
      <c r="B96" s="2"/>
      <c r="C96" s="2"/>
      <c r="D96" s="2"/>
      <c r="H96" s="680"/>
      <c r="AG96" s="2"/>
      <c r="AH96" s="2"/>
      <c r="AI96" s="2"/>
      <c r="AJ96" s="2"/>
      <c r="AK96" s="2"/>
      <c r="AL96" s="2"/>
      <c r="AM96" s="2"/>
      <c r="AN96" s="2"/>
      <c r="AO96" s="2"/>
      <c r="AP96" s="2"/>
      <c r="AQ96" s="2"/>
      <c r="AR96" s="2"/>
      <c r="BC96" s="754"/>
      <c r="BD96" s="754"/>
    </row>
    <row r="97" spans="1:56" ht="15" x14ac:dyDescent="0.2">
      <c r="A97" s="487"/>
      <c r="B97" s="864"/>
      <c r="H97" s="1321"/>
      <c r="AG97" s="754"/>
      <c r="AH97" s="754"/>
      <c r="AI97" s="754"/>
      <c r="AJ97" s="754"/>
      <c r="AK97" s="754"/>
      <c r="AL97" s="754"/>
      <c r="AM97" s="754"/>
      <c r="AN97" s="754"/>
      <c r="AO97" s="754"/>
      <c r="AP97" s="2"/>
      <c r="AQ97" s="2"/>
      <c r="AR97" s="2"/>
      <c r="BC97" s="754"/>
      <c r="BD97" s="754"/>
    </row>
    <row r="98" spans="1:56" x14ac:dyDescent="0.2">
      <c r="F98" s="865"/>
      <c r="J98" s="865"/>
      <c r="N98" s="865"/>
      <c r="R98" s="865"/>
      <c r="AG98" s="754"/>
      <c r="AH98" s="754"/>
      <c r="AI98" s="754"/>
      <c r="AJ98" s="754"/>
      <c r="AK98" s="754"/>
      <c r="AL98" s="754"/>
      <c r="AM98" s="754"/>
      <c r="AN98" s="754"/>
      <c r="AO98" s="754"/>
      <c r="AP98" s="2"/>
      <c r="AQ98" s="2"/>
      <c r="AR98" s="2"/>
      <c r="BC98" s="754"/>
      <c r="BD98" s="754"/>
    </row>
    <row r="99" spans="1:56" x14ac:dyDescent="0.2">
      <c r="F99" s="865"/>
      <c r="J99" s="865"/>
      <c r="N99" s="865"/>
      <c r="R99" s="865"/>
      <c r="AG99" s="754"/>
      <c r="AH99" s="754"/>
      <c r="AI99" s="754"/>
      <c r="AJ99" s="754"/>
      <c r="AK99" s="754"/>
      <c r="AL99" s="754"/>
      <c r="AM99" s="754"/>
      <c r="AN99" s="754"/>
      <c r="AO99" s="754"/>
      <c r="AP99" s="2"/>
      <c r="AQ99" s="2"/>
      <c r="AR99" s="2"/>
      <c r="BC99" s="754"/>
      <c r="BD99" s="754"/>
    </row>
    <row r="100" spans="1:56" x14ac:dyDescent="0.2">
      <c r="F100" s="865"/>
      <c r="H100" s="36"/>
      <c r="J100" s="865"/>
      <c r="L100" s="36"/>
      <c r="N100" s="865"/>
      <c r="R100" s="865"/>
      <c r="AG100" s="754"/>
      <c r="AH100" s="754"/>
      <c r="AI100" s="754"/>
      <c r="AJ100" s="754"/>
      <c r="AK100" s="754"/>
      <c r="AL100" s="754"/>
      <c r="AM100" s="754"/>
      <c r="AN100" s="754"/>
      <c r="AO100" s="754"/>
      <c r="AP100" s="2"/>
      <c r="AQ100" s="2"/>
      <c r="AR100" s="2"/>
      <c r="BC100" s="2"/>
      <c r="BD100" s="2"/>
    </row>
    <row r="101" spans="1:56" x14ac:dyDescent="0.2">
      <c r="F101" s="865"/>
      <c r="J101" s="865"/>
      <c r="N101" s="865"/>
      <c r="R101" s="865"/>
      <c r="AG101" s="2"/>
      <c r="AH101" s="2"/>
      <c r="AI101" s="2"/>
      <c r="AJ101" s="2"/>
      <c r="AK101" s="2"/>
      <c r="AL101" s="2"/>
      <c r="AM101" s="2"/>
      <c r="AN101" s="2"/>
      <c r="AO101" s="2"/>
      <c r="AP101" s="2"/>
      <c r="AQ101" s="2"/>
      <c r="AR101" s="2"/>
      <c r="BC101" s="2"/>
      <c r="BD101" s="2"/>
    </row>
    <row r="102" spans="1:56" x14ac:dyDescent="0.2">
      <c r="AG102" s="2"/>
      <c r="AH102" s="2"/>
      <c r="AI102" s="2"/>
      <c r="AJ102" s="2"/>
      <c r="AK102" s="2"/>
      <c r="AL102" s="2"/>
      <c r="AM102" s="2"/>
      <c r="AN102" s="2"/>
      <c r="AO102" s="2"/>
      <c r="AP102" s="2"/>
      <c r="AQ102" s="2"/>
      <c r="AR102" s="2"/>
      <c r="BC102" s="2"/>
      <c r="BD102" s="2"/>
    </row>
    <row r="103" spans="1:56" x14ac:dyDescent="0.2">
      <c r="AG103" s="2"/>
      <c r="AH103" s="2"/>
      <c r="AI103" s="2"/>
      <c r="AJ103" s="2"/>
      <c r="AK103" s="2"/>
      <c r="AL103" s="2"/>
      <c r="AM103" s="2"/>
      <c r="AN103" s="2"/>
      <c r="AO103" s="2"/>
      <c r="AP103" s="2"/>
      <c r="AQ103" s="2"/>
      <c r="AR103" s="2"/>
      <c r="BC103" s="32"/>
      <c r="BD103" s="32"/>
    </row>
    <row r="104" spans="1:56" x14ac:dyDescent="0.2">
      <c r="AG104" s="32"/>
      <c r="AH104" s="32"/>
      <c r="AI104" s="32"/>
      <c r="AJ104" s="32"/>
      <c r="AK104" s="32"/>
      <c r="AL104" s="32"/>
      <c r="AM104" s="32"/>
      <c r="AN104" s="32"/>
      <c r="AO104" s="7"/>
      <c r="AP104" s="2"/>
      <c r="AQ104" s="2"/>
      <c r="AR104" s="2"/>
      <c r="BC104" s="32"/>
      <c r="BD104" s="32"/>
    </row>
    <row r="105" spans="1:56" x14ac:dyDescent="0.2">
      <c r="AG105" s="32"/>
      <c r="AH105" s="32"/>
      <c r="AI105" s="32"/>
      <c r="AJ105" s="32"/>
      <c r="AK105" s="32"/>
      <c r="AL105" s="32"/>
      <c r="AM105" s="32"/>
      <c r="AN105" s="32"/>
      <c r="AO105" s="7"/>
      <c r="AP105" s="2"/>
      <c r="AQ105" s="2"/>
      <c r="AR105" s="2"/>
      <c r="BC105" s="32"/>
      <c r="BD105" s="32"/>
    </row>
    <row r="106" spans="1:56" x14ac:dyDescent="0.2">
      <c r="AG106" s="33"/>
      <c r="AH106" s="33"/>
      <c r="AI106" s="33"/>
      <c r="AJ106" s="33"/>
      <c r="AK106" s="33"/>
      <c r="AL106" s="33"/>
      <c r="AM106" s="33"/>
      <c r="AN106" s="33"/>
      <c r="AO106" s="33"/>
      <c r="AP106" s="2"/>
      <c r="AQ106" s="2"/>
      <c r="AR106" s="2"/>
      <c r="BC106" s="2"/>
      <c r="BD106" s="2"/>
    </row>
    <row r="107" spans="1:56" x14ac:dyDescent="0.2">
      <c r="AG107" s="2"/>
      <c r="AH107" s="2"/>
      <c r="AI107" s="2"/>
      <c r="AJ107" s="2"/>
      <c r="AK107" s="2"/>
      <c r="AL107" s="2"/>
      <c r="AM107" s="2"/>
      <c r="AN107" s="2"/>
      <c r="AO107" s="2"/>
      <c r="AP107" s="2"/>
      <c r="AQ107" s="2"/>
      <c r="AR107" s="2"/>
      <c r="BC107" s="2"/>
      <c r="BD107" s="2"/>
    </row>
    <row r="108" spans="1:56" x14ac:dyDescent="0.2">
      <c r="AG108" s="2"/>
      <c r="AH108" s="2"/>
      <c r="AI108" s="2"/>
      <c r="AJ108" s="2"/>
      <c r="AK108" s="2"/>
      <c r="AL108" s="2"/>
      <c r="AM108" s="2"/>
      <c r="AN108" s="2"/>
      <c r="AO108" s="2"/>
      <c r="AP108" s="2"/>
      <c r="AQ108" s="2"/>
      <c r="AR108" s="2"/>
      <c r="BC108" s="51"/>
      <c r="BD108" s="51"/>
    </row>
    <row r="109" spans="1:56" x14ac:dyDescent="0.2">
      <c r="AG109" s="32"/>
      <c r="AH109" s="44"/>
      <c r="AI109" s="32"/>
      <c r="AJ109" s="32"/>
      <c r="AK109" s="32"/>
      <c r="AL109" s="37"/>
      <c r="AM109" s="37"/>
      <c r="AN109" s="34"/>
      <c r="AO109" s="1"/>
      <c r="AP109" s="2"/>
      <c r="AQ109" s="2"/>
      <c r="AR109" s="2"/>
      <c r="BC109" s="51"/>
      <c r="BD109" s="51"/>
    </row>
    <row r="110" spans="1:56" x14ac:dyDescent="0.2">
      <c r="AG110" s="32"/>
      <c r="AH110" s="32"/>
      <c r="AI110" s="32"/>
      <c r="AJ110" s="32"/>
      <c r="AK110" s="32"/>
      <c r="AL110" s="40"/>
      <c r="AM110" s="32"/>
      <c r="AN110" s="32"/>
      <c r="AO110" s="32"/>
      <c r="AP110" s="2"/>
      <c r="AQ110" s="2"/>
      <c r="AR110" s="2"/>
      <c r="BC110" s="52"/>
      <c r="BD110" s="52"/>
    </row>
    <row r="111" spans="1:56" x14ac:dyDescent="0.2">
      <c r="AG111" s="11"/>
      <c r="AH111" s="42"/>
      <c r="AI111" s="35"/>
      <c r="AJ111" s="35"/>
      <c r="AK111" s="35"/>
      <c r="AL111" s="42"/>
      <c r="AM111" s="35"/>
      <c r="AN111" s="35"/>
      <c r="AO111" s="47"/>
      <c r="AP111" s="2"/>
      <c r="AQ111" s="2"/>
      <c r="AR111" s="2"/>
      <c r="BC111" s="53"/>
      <c r="BD111" s="53"/>
    </row>
    <row r="112" spans="1:56" x14ac:dyDescent="0.2">
      <c r="AG112" s="11"/>
      <c r="AH112" s="35"/>
      <c r="AI112" s="35"/>
      <c r="AJ112" s="35"/>
      <c r="AK112" s="35"/>
      <c r="AL112" s="35"/>
      <c r="AM112" s="35"/>
      <c r="AN112" s="35"/>
      <c r="AO112" s="47"/>
      <c r="AP112" s="2"/>
      <c r="AQ112" s="2"/>
      <c r="AR112" s="2"/>
      <c r="BC112" s="35"/>
      <c r="BD112" s="35"/>
    </row>
    <row r="113" spans="33:56" x14ac:dyDescent="0.2">
      <c r="AG113" s="11"/>
      <c r="AH113" s="35"/>
      <c r="AI113" s="35"/>
      <c r="AJ113" s="35"/>
      <c r="AK113" s="35"/>
      <c r="AL113" s="35"/>
      <c r="AM113" s="35"/>
      <c r="AN113" s="35"/>
      <c r="AO113" s="755"/>
      <c r="AP113" s="2"/>
      <c r="AQ113" s="2"/>
      <c r="AR113" s="2"/>
      <c r="BC113" s="35"/>
      <c r="BD113" s="35"/>
    </row>
    <row r="114" spans="33:56" x14ac:dyDescent="0.2">
      <c r="AG114" s="35"/>
      <c r="AH114" s="35"/>
      <c r="AI114" s="35"/>
      <c r="AJ114" s="35"/>
      <c r="AK114" s="35"/>
      <c r="AL114" s="35"/>
      <c r="AM114" s="35"/>
      <c r="AN114" s="35"/>
      <c r="AO114" s="35"/>
      <c r="AP114" s="2"/>
      <c r="AQ114" s="2"/>
      <c r="AR114" s="2"/>
      <c r="BC114" s="36"/>
      <c r="BD114" s="36"/>
    </row>
    <row r="115" spans="33:56" x14ac:dyDescent="0.2">
      <c r="AG115" s="36"/>
      <c r="AH115" s="36"/>
      <c r="AI115" s="36"/>
      <c r="AJ115" s="36"/>
      <c r="AK115" s="36"/>
      <c r="AL115" s="36"/>
      <c r="AM115" s="36"/>
      <c r="AN115" s="36"/>
      <c r="AO115" s="36"/>
      <c r="AP115" s="2"/>
      <c r="AQ115" s="2"/>
      <c r="AR115" s="2"/>
      <c r="BC115" s="36"/>
      <c r="BD115" s="36"/>
    </row>
    <row r="116" spans="33:56" x14ac:dyDescent="0.2">
      <c r="AG116" s="36"/>
      <c r="AH116" s="36"/>
      <c r="AI116" s="36"/>
      <c r="AJ116" s="36"/>
      <c r="AK116" s="36"/>
      <c r="AL116" s="36"/>
      <c r="AM116" s="36"/>
      <c r="AN116" s="36"/>
      <c r="AO116" s="36"/>
      <c r="AP116" s="2"/>
      <c r="AQ116" s="2"/>
      <c r="AR116" s="2"/>
      <c r="BC116" s="2"/>
      <c r="BD116" s="2"/>
    </row>
    <row r="117" spans="33:56" x14ac:dyDescent="0.2">
      <c r="AG117" s="2"/>
      <c r="AH117" s="2"/>
      <c r="AI117" s="2"/>
      <c r="AJ117" s="2"/>
      <c r="AK117" s="2"/>
      <c r="AL117" s="2"/>
      <c r="AM117" s="2"/>
      <c r="AN117" s="2"/>
      <c r="AO117" s="2"/>
      <c r="AP117" s="2"/>
      <c r="AQ117" s="2"/>
      <c r="AR117" s="2"/>
      <c r="BC117" s="2"/>
      <c r="BD117" s="2"/>
    </row>
    <row r="118" spans="33:56" x14ac:dyDescent="0.2">
      <c r="AG118" s="2"/>
      <c r="AH118" s="2"/>
      <c r="AI118" s="2"/>
      <c r="AJ118" s="2"/>
      <c r="AK118" s="2"/>
      <c r="AL118" s="2"/>
      <c r="AM118" s="2"/>
      <c r="AN118" s="2"/>
      <c r="AO118" s="2"/>
      <c r="AP118" s="2"/>
      <c r="AQ118" s="2"/>
      <c r="AR118" s="2"/>
      <c r="BC118" s="2"/>
      <c r="BD118" s="2"/>
    </row>
    <row r="119" spans="33:56" x14ac:dyDescent="0.2">
      <c r="AG119" s="2"/>
      <c r="AH119" s="2"/>
      <c r="AI119" s="2"/>
      <c r="AJ119" s="2"/>
      <c r="AK119" s="2"/>
      <c r="AL119" s="2"/>
      <c r="AM119" s="2"/>
      <c r="AN119" s="2"/>
      <c r="AO119" s="2"/>
      <c r="AP119" s="2"/>
      <c r="AQ119" s="2"/>
      <c r="AR119" s="2"/>
      <c r="BC119" s="2"/>
      <c r="BD119" s="2"/>
    </row>
    <row r="120" spans="33:56" x14ac:dyDescent="0.2">
      <c r="AG120" s="2"/>
      <c r="AH120" s="2"/>
      <c r="AI120" s="2"/>
      <c r="AJ120" s="2"/>
      <c r="AK120" s="2"/>
      <c r="AL120" s="2"/>
      <c r="AM120" s="2"/>
      <c r="AN120" s="2"/>
      <c r="AO120" s="2"/>
      <c r="AP120" s="2"/>
      <c r="AQ120" s="2"/>
      <c r="AR120" s="2"/>
      <c r="BC120" s="2"/>
      <c r="BD120" s="2"/>
    </row>
    <row r="121" spans="33:56" x14ac:dyDescent="0.2">
      <c r="AG121" s="2"/>
      <c r="AH121" s="2"/>
      <c r="AI121" s="2"/>
      <c r="AJ121" s="2"/>
      <c r="AK121" s="2"/>
      <c r="AL121" s="2"/>
      <c r="AM121" s="2"/>
      <c r="AN121" s="2"/>
      <c r="AO121" s="2"/>
      <c r="AP121" s="2"/>
      <c r="AQ121" s="2"/>
      <c r="AR121" s="2"/>
    </row>
  </sheetData>
  <mergeCells count="6">
    <mergeCell ref="AS10:AT10"/>
    <mergeCell ref="AS70:AT70"/>
    <mergeCell ref="C9:D9"/>
    <mergeCell ref="C10:D10"/>
    <mergeCell ref="C69:D69"/>
    <mergeCell ref="C70:D70"/>
  </mergeCells>
  <phoneticPr fontId="6" type="noConversion"/>
  <conditionalFormatting sqref="A91 A83 A78 A67:A68">
    <cfRule type="cellIs" dxfId="52" priority="1" stopIfTrue="1" operator="equal">
      <formula>0</formula>
    </cfRule>
  </conditionalFormatting>
  <printOptions horizontalCentered="1"/>
  <pageMargins left="0.3" right="0.3" top="0.4" bottom="0.53" header="0" footer="0.3"/>
  <pageSetup scale="48" orientation="landscape" r:id="rId1"/>
  <headerFooter alignWithMargins="0">
    <oddFooter>&amp;CPage 1</oddFooter>
  </headerFooter>
  <colBreaks count="1" manualBreakCount="1">
    <brk id="5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99"/>
  <sheetViews>
    <sheetView zoomScaleNormal="100" zoomScaleSheetLayoutView="100" workbookViewId="0">
      <selection activeCell="A41" sqref="A41:XFD43"/>
    </sheetView>
  </sheetViews>
  <sheetFormatPr defaultRowHeight="12.75" x14ac:dyDescent="0.2"/>
  <cols>
    <col min="1" max="1" width="2.7109375" customWidth="1"/>
    <col min="2" max="2" width="45.7109375" customWidth="1"/>
    <col min="3" max="3" width="9.5703125" customWidth="1"/>
    <col min="4" max="4" width="9.7109375" customWidth="1"/>
    <col min="5" max="5" width="1.5703125" style="3" customWidth="1"/>
    <col min="6" max="6" width="9.7109375" style="722" customWidth="1"/>
    <col min="7" max="7" width="8.140625" style="722" bestFit="1" customWidth="1"/>
    <col min="8" max="14" width="9.85546875" style="722" customWidth="1"/>
    <col min="15" max="17" width="9.85546875" style="722" hidden="1" customWidth="1"/>
    <col min="18" max="29" width="9.85546875" style="3" hidden="1" customWidth="1"/>
    <col min="30" max="30" width="9.7109375" style="3" hidden="1" customWidth="1"/>
    <col min="31" max="32" width="8" style="3" hidden="1" customWidth="1"/>
    <col min="33" max="33" width="8" hidden="1" customWidth="1"/>
    <col min="34" max="41" width="7.85546875" hidden="1" customWidth="1"/>
    <col min="42" max="42" width="1.7109375" customWidth="1"/>
    <col min="43" max="43" width="10.28515625" style="613" hidden="1" customWidth="1"/>
    <col min="44" max="44" width="10" style="613" hidden="1" customWidth="1"/>
    <col min="45" max="45" width="10.42578125" customWidth="1"/>
    <col min="46" max="46" width="9.140625" customWidth="1"/>
    <col min="47" max="47" width="2.28515625" customWidth="1"/>
    <col min="48" max="50" width="9.7109375" style="721" customWidth="1"/>
    <col min="51" max="51" width="9.7109375" style="613" customWidth="1"/>
    <col min="52" max="52" width="9.7109375" customWidth="1"/>
    <col min="53" max="59" width="9.7109375" hidden="1" customWidth="1"/>
    <col min="60" max="60" width="1.5703125" customWidth="1"/>
    <col min="62" max="62" width="17.28515625" bestFit="1" customWidth="1"/>
    <col min="63" max="63" width="12.140625" bestFit="1" customWidth="1"/>
  </cols>
  <sheetData>
    <row r="1" spans="1:67" ht="5.25" customHeight="1" x14ac:dyDescent="0.2">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t="e">
        <v>#REF!</v>
      </c>
      <c r="BG1" s="394" t="e">
        <v>#REF!</v>
      </c>
    </row>
    <row r="2" spans="1:67" x14ac:dyDescent="0.2">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t="e">
        <v>#REF!</v>
      </c>
      <c r="BG2" s="394" t="e">
        <v>#REF!</v>
      </c>
    </row>
    <row r="3" spans="1:67" x14ac:dyDescent="0.2">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c r="BD3" s="394"/>
      <c r="BE3" s="394"/>
      <c r="BF3" s="394" t="e">
        <v>#REF!</v>
      </c>
      <c r="BG3" s="394" t="e">
        <v>#REF!</v>
      </c>
    </row>
    <row r="4" spans="1:67" x14ac:dyDescent="0.2">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t="e">
        <v>#REF!</v>
      </c>
      <c r="BG4" s="394" t="e">
        <v>#REF!</v>
      </c>
    </row>
    <row r="5" spans="1:67" ht="5.25" customHeight="1" x14ac:dyDescent="0.2">
      <c r="A5" s="3"/>
      <c r="B5" s="3"/>
      <c r="C5" s="3"/>
      <c r="D5" s="3"/>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394"/>
      <c r="AT5" s="394"/>
      <c r="AU5" s="394"/>
      <c r="AV5" s="394"/>
      <c r="AW5" s="394"/>
      <c r="AX5" s="394"/>
      <c r="AY5" s="394"/>
      <c r="AZ5" s="394"/>
      <c r="BA5" s="394"/>
      <c r="BB5" s="394"/>
      <c r="BC5" s="394"/>
      <c r="BD5" s="394"/>
      <c r="BE5" s="394"/>
      <c r="BF5" s="394" t="e">
        <v>#REF!</v>
      </c>
      <c r="BG5" s="394" t="e">
        <v>#REF!</v>
      </c>
    </row>
    <row r="6" spans="1:67" ht="18" customHeight="1" x14ac:dyDescent="0.2">
      <c r="A6" s="132" t="s">
        <v>457</v>
      </c>
      <c r="B6" s="3"/>
      <c r="C6" s="754"/>
      <c r="D6" s="755"/>
      <c r="E6" s="722"/>
      <c r="F6" s="486"/>
      <c r="G6" s="486"/>
      <c r="H6" s="486"/>
      <c r="I6" s="665"/>
      <c r="J6" s="486"/>
      <c r="K6" s="486"/>
      <c r="L6" s="486"/>
      <c r="M6" s="665"/>
      <c r="N6" s="665"/>
      <c r="O6" s="665"/>
      <c r="P6" s="665"/>
      <c r="Q6" s="665"/>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394"/>
      <c r="AT6" s="394"/>
      <c r="AU6" s="394"/>
      <c r="AV6" s="523"/>
      <c r="AW6" s="523"/>
      <c r="AX6" s="523"/>
      <c r="AY6" s="523"/>
      <c r="AZ6" s="394"/>
      <c r="BA6" s="394"/>
      <c r="BB6" s="394"/>
      <c r="BC6" s="394"/>
      <c r="BD6" s="394"/>
      <c r="BE6" s="394"/>
      <c r="BF6" s="394" t="e">
        <v>#REF!</v>
      </c>
      <c r="BG6" s="394" t="e">
        <v>#REF!</v>
      </c>
    </row>
    <row r="7" spans="1:67" ht="18" customHeight="1" x14ac:dyDescent="0.2">
      <c r="A7" s="164" t="s">
        <v>396</v>
      </c>
      <c r="B7" s="5"/>
      <c r="C7" s="5"/>
      <c r="D7" s="5"/>
      <c r="E7" s="5"/>
      <c r="F7" s="523"/>
      <c r="G7" s="523"/>
      <c r="H7" s="523"/>
      <c r="I7" s="523"/>
      <c r="J7" s="523"/>
      <c r="K7" s="523"/>
      <c r="L7" s="523"/>
      <c r="M7" s="523"/>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394"/>
      <c r="AT7" s="394"/>
      <c r="AU7" s="394"/>
      <c r="AV7" s="523"/>
      <c r="AW7" s="523"/>
      <c r="AX7" s="523"/>
      <c r="AY7" s="523"/>
      <c r="AZ7" s="394"/>
      <c r="BA7" s="394"/>
      <c r="BB7" s="394"/>
      <c r="BC7" s="394"/>
      <c r="BD7" s="394"/>
      <c r="BE7" s="394"/>
      <c r="BF7" s="394" t="e">
        <v>#REF!</v>
      </c>
      <c r="BG7" s="394" t="e">
        <v>#REF!</v>
      </c>
    </row>
    <row r="8" spans="1:67" s="721" customFormat="1" ht="15" customHeight="1" x14ac:dyDescent="0.2">
      <c r="A8" s="760" t="s">
        <v>281</v>
      </c>
      <c r="B8" s="5"/>
      <c r="C8" s="5"/>
      <c r="D8" s="5"/>
      <c r="E8" s="5"/>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row>
    <row r="9" spans="1:67" ht="9.75" customHeight="1" x14ac:dyDescent="0.2">
      <c r="C9" s="2"/>
      <c r="D9" s="2"/>
      <c r="E9" s="2"/>
      <c r="F9" s="2"/>
      <c r="G9" s="2"/>
      <c r="H9" s="2"/>
      <c r="I9" s="2"/>
      <c r="J9" s="2"/>
      <c r="K9" s="2"/>
      <c r="L9" s="2"/>
      <c r="M9" s="2"/>
      <c r="N9" s="2"/>
      <c r="O9" s="2"/>
      <c r="P9" s="2"/>
      <c r="Q9" s="2"/>
      <c r="R9" s="424"/>
      <c r="S9" s="2"/>
      <c r="T9" s="2"/>
      <c r="U9" s="2"/>
      <c r="V9" s="424"/>
      <c r="W9" s="2"/>
      <c r="X9" s="2"/>
      <c r="Y9" s="2"/>
      <c r="Z9" s="424"/>
      <c r="AA9" s="2"/>
      <c r="AB9" s="424"/>
      <c r="AC9" s="2"/>
      <c r="AD9" s="424"/>
      <c r="AE9" s="2"/>
      <c r="AF9" s="2"/>
      <c r="AG9" s="3"/>
      <c r="AH9" s="3"/>
      <c r="AI9" s="3"/>
      <c r="AS9" s="552"/>
      <c r="AT9" s="552"/>
    </row>
    <row r="10" spans="1:67" x14ac:dyDescent="0.2">
      <c r="A10" s="6" t="s">
        <v>1</v>
      </c>
      <c r="B10" s="7"/>
      <c r="C10" s="1479" t="s">
        <v>447</v>
      </c>
      <c r="D10" s="1480"/>
      <c r="E10" s="256"/>
      <c r="F10" s="410"/>
      <c r="G10" s="410"/>
      <c r="H10" s="410"/>
      <c r="I10" s="19"/>
      <c r="J10" s="410"/>
      <c r="K10" s="410"/>
      <c r="L10" s="410"/>
      <c r="M10" s="19"/>
      <c r="N10" s="410"/>
      <c r="O10" s="410"/>
      <c r="P10" s="410"/>
      <c r="Q10" s="19"/>
      <c r="R10" s="17"/>
      <c r="S10" s="18"/>
      <c r="T10" s="410"/>
      <c r="U10" s="19"/>
      <c r="V10" s="17"/>
      <c r="W10" s="18"/>
      <c r="X10" s="410"/>
      <c r="Y10" s="19"/>
      <c r="Z10" s="722"/>
      <c r="AA10" s="18"/>
      <c r="AB10" s="2"/>
      <c r="AC10" s="19"/>
      <c r="AD10" s="18"/>
      <c r="AE10" s="722"/>
      <c r="AF10" s="410"/>
      <c r="AG10" s="19"/>
      <c r="AH10" s="18"/>
      <c r="AI10" s="18"/>
      <c r="AJ10" s="18"/>
      <c r="AK10" s="18"/>
      <c r="AL10" s="22"/>
      <c r="AM10" s="19"/>
      <c r="AN10" s="19"/>
      <c r="AO10" s="19"/>
      <c r="AP10" s="24"/>
      <c r="AQ10" s="661" t="s">
        <v>340</v>
      </c>
      <c r="AR10" s="647"/>
      <c r="AS10" s="647" t="s">
        <v>432</v>
      </c>
      <c r="AT10" s="648"/>
      <c r="AU10" s="15"/>
      <c r="AV10" s="87"/>
      <c r="AW10" s="87"/>
      <c r="AX10" s="87"/>
      <c r="AY10" s="87"/>
      <c r="AZ10" s="87"/>
      <c r="BA10" s="87"/>
      <c r="BB10" s="87"/>
      <c r="BC10" s="17"/>
      <c r="BD10" s="22"/>
      <c r="BE10" s="87"/>
      <c r="BF10" s="297"/>
      <c r="BG10" s="22"/>
      <c r="BH10" s="25"/>
    </row>
    <row r="11" spans="1:67" ht="13.5" x14ac:dyDescent="0.2">
      <c r="A11" s="6" t="s">
        <v>2</v>
      </c>
      <c r="B11" s="7"/>
      <c r="C11" s="1481" t="s">
        <v>39</v>
      </c>
      <c r="D11" s="1482"/>
      <c r="E11" s="530"/>
      <c r="F11" s="21" t="s">
        <v>425</v>
      </c>
      <c r="G11" s="21" t="s">
        <v>426</v>
      </c>
      <c r="H11" s="21" t="s">
        <v>427</v>
      </c>
      <c r="I11" s="14" t="s">
        <v>428</v>
      </c>
      <c r="J11" s="21" t="s">
        <v>363</v>
      </c>
      <c r="K11" s="21" t="s">
        <v>362</v>
      </c>
      <c r="L11" s="21" t="s">
        <v>361</v>
      </c>
      <c r="M11" s="14" t="s">
        <v>359</v>
      </c>
      <c r="N11" s="21" t="s">
        <v>302</v>
      </c>
      <c r="O11" s="21" t="s">
        <v>303</v>
      </c>
      <c r="P11" s="21" t="s">
        <v>304</v>
      </c>
      <c r="Q11" s="14" t="s">
        <v>305</v>
      </c>
      <c r="R11" s="20" t="s">
        <v>231</v>
      </c>
      <c r="S11" s="21" t="s">
        <v>232</v>
      </c>
      <c r="T11" s="21" t="s">
        <v>233</v>
      </c>
      <c r="U11" s="14" t="s">
        <v>230</v>
      </c>
      <c r="V11" s="20" t="s">
        <v>194</v>
      </c>
      <c r="W11" s="21" t="s">
        <v>195</v>
      </c>
      <c r="X11" s="21" t="s">
        <v>196</v>
      </c>
      <c r="Y11" s="14" t="s">
        <v>197</v>
      </c>
      <c r="Z11" s="21" t="s">
        <v>126</v>
      </c>
      <c r="AA11" s="21" t="s">
        <v>125</v>
      </c>
      <c r="AB11" s="21" t="s">
        <v>124</v>
      </c>
      <c r="AC11" s="14" t="s">
        <v>123</v>
      </c>
      <c r="AD11" s="21" t="s">
        <v>86</v>
      </c>
      <c r="AE11" s="21" t="s">
        <v>87</v>
      </c>
      <c r="AF11" s="21" t="s">
        <v>88</v>
      </c>
      <c r="AG11" s="14" t="s">
        <v>30</v>
      </c>
      <c r="AH11" s="21" t="s">
        <v>31</v>
      </c>
      <c r="AI11" s="21" t="s">
        <v>32</v>
      </c>
      <c r="AJ11" s="21" t="s">
        <v>33</v>
      </c>
      <c r="AK11" s="21" t="s">
        <v>34</v>
      </c>
      <c r="AL11" s="23" t="s">
        <v>35</v>
      </c>
      <c r="AM11" s="14" t="s">
        <v>36</v>
      </c>
      <c r="AN11" s="14" t="s">
        <v>37</v>
      </c>
      <c r="AO11" s="14" t="s">
        <v>38</v>
      </c>
      <c r="AP11" s="256"/>
      <c r="AQ11" s="21" t="s">
        <v>426</v>
      </c>
      <c r="AR11" s="21" t="s">
        <v>362</v>
      </c>
      <c r="AS11" s="1477" t="s">
        <v>39</v>
      </c>
      <c r="AT11" s="1478"/>
      <c r="AU11" s="16"/>
      <c r="AV11" s="20" t="s">
        <v>446</v>
      </c>
      <c r="AW11" s="20" t="s">
        <v>365</v>
      </c>
      <c r="AX11" s="20" t="s">
        <v>307</v>
      </c>
      <c r="AY11" s="20" t="s">
        <v>235</v>
      </c>
      <c r="AZ11" s="20" t="s">
        <v>128</v>
      </c>
      <c r="BA11" s="20" t="s">
        <v>127</v>
      </c>
      <c r="BB11" s="20" t="s">
        <v>43</v>
      </c>
      <c r="BC11" s="20" t="s">
        <v>40</v>
      </c>
      <c r="BD11" s="23" t="s">
        <v>41</v>
      </c>
      <c r="BE11" s="23" t="s">
        <v>146</v>
      </c>
      <c r="BF11" s="23" t="s">
        <v>147</v>
      </c>
      <c r="BG11" s="319" t="s">
        <v>148</v>
      </c>
      <c r="BH11" s="25"/>
      <c r="BI11" s="3"/>
      <c r="BJ11" s="3"/>
      <c r="BK11" s="3"/>
      <c r="BL11" s="3"/>
      <c r="BM11" s="3"/>
      <c r="BN11" s="3"/>
      <c r="BO11" s="3"/>
    </row>
    <row r="12" spans="1:67" s="613" customFormat="1" x14ac:dyDescent="0.2">
      <c r="A12" s="6"/>
      <c r="B12" s="7"/>
      <c r="C12" s="629"/>
      <c r="D12" s="631"/>
      <c r="E12" s="530"/>
      <c r="F12" s="633" t="s">
        <v>254</v>
      </c>
      <c r="G12" s="633" t="s">
        <v>254</v>
      </c>
      <c r="H12" s="633" t="s">
        <v>254</v>
      </c>
      <c r="I12" s="634" t="s">
        <v>254</v>
      </c>
      <c r="J12" s="633" t="s">
        <v>254</v>
      </c>
      <c r="K12" s="633" t="s">
        <v>254</v>
      </c>
      <c r="L12" s="633" t="s">
        <v>254</v>
      </c>
      <c r="M12" s="634" t="s">
        <v>254</v>
      </c>
      <c r="N12" s="633" t="s">
        <v>254</v>
      </c>
      <c r="O12" s="633" t="s">
        <v>254</v>
      </c>
      <c r="P12" s="633" t="s">
        <v>254</v>
      </c>
      <c r="Q12" s="634" t="s">
        <v>254</v>
      </c>
      <c r="R12" s="632" t="s">
        <v>254</v>
      </c>
      <c r="S12" s="633" t="s">
        <v>254</v>
      </c>
      <c r="T12" s="633" t="s">
        <v>254</v>
      </c>
      <c r="U12" s="634" t="s">
        <v>254</v>
      </c>
      <c r="V12" s="632" t="s">
        <v>254</v>
      </c>
      <c r="W12" s="633" t="s">
        <v>254</v>
      </c>
      <c r="X12" s="633" t="s">
        <v>254</v>
      </c>
      <c r="Y12" s="634" t="s">
        <v>254</v>
      </c>
      <c r="Z12" s="632" t="s">
        <v>255</v>
      </c>
      <c r="AA12" s="633" t="s">
        <v>255</v>
      </c>
      <c r="AB12" s="633" t="s">
        <v>255</v>
      </c>
      <c r="AC12" s="634" t="s">
        <v>255</v>
      </c>
      <c r="AD12" s="15"/>
      <c r="AE12" s="15"/>
      <c r="AF12" s="15"/>
      <c r="AG12" s="230"/>
      <c r="AH12" s="15"/>
      <c r="AI12" s="15"/>
      <c r="AJ12" s="15"/>
      <c r="AK12" s="15"/>
      <c r="AL12" s="256"/>
      <c r="AM12" s="230"/>
      <c r="AN12" s="230"/>
      <c r="AO12" s="230"/>
      <c r="AP12" s="256"/>
      <c r="AQ12" s="632" t="s">
        <v>254</v>
      </c>
      <c r="AR12" s="633" t="s">
        <v>254</v>
      </c>
      <c r="AS12" s="649"/>
      <c r="AT12" s="650"/>
      <c r="AU12" s="627"/>
      <c r="AV12" s="632" t="s">
        <v>254</v>
      </c>
      <c r="AW12" s="632" t="s">
        <v>254</v>
      </c>
      <c r="AX12" s="632" t="s">
        <v>254</v>
      </c>
      <c r="AY12" s="632" t="s">
        <v>254</v>
      </c>
      <c r="AZ12" s="632" t="s">
        <v>254</v>
      </c>
      <c r="BA12" s="632" t="s">
        <v>255</v>
      </c>
      <c r="BB12" s="632" t="s">
        <v>255</v>
      </c>
      <c r="BC12" s="632" t="s">
        <v>255</v>
      </c>
      <c r="BD12" s="635" t="s">
        <v>255</v>
      </c>
      <c r="BE12" s="256"/>
      <c r="BF12" s="256"/>
      <c r="BG12" s="636"/>
      <c r="BH12" s="25"/>
      <c r="BI12" s="3"/>
      <c r="BJ12" s="3"/>
      <c r="BK12" s="3"/>
      <c r="BL12" s="3"/>
      <c r="BM12" s="3"/>
      <c r="BN12" s="3"/>
      <c r="BO12" s="3"/>
    </row>
    <row r="13" spans="1:67" ht="12.75" customHeight="1" x14ac:dyDescent="0.2">
      <c r="A13" s="140" t="s">
        <v>64</v>
      </c>
      <c r="B13" s="8"/>
      <c r="C13" s="162"/>
      <c r="D13" s="164"/>
      <c r="E13" s="88"/>
      <c r="F13" s="725"/>
      <c r="G13" s="725"/>
      <c r="H13" s="725"/>
      <c r="I13" s="163"/>
      <c r="J13" s="725"/>
      <c r="K13" s="725"/>
      <c r="L13" s="725"/>
      <c r="M13" s="164"/>
      <c r="N13" s="725"/>
      <c r="O13" s="725"/>
      <c r="P13" s="725"/>
      <c r="Q13" s="164"/>
      <c r="R13" s="146"/>
      <c r="S13" s="146"/>
      <c r="T13" s="146"/>
      <c r="U13" s="164"/>
      <c r="V13" s="146"/>
      <c r="W13" s="146"/>
      <c r="X13" s="146"/>
      <c r="Y13" s="164"/>
      <c r="Z13" s="146"/>
      <c r="AA13" s="146"/>
      <c r="AB13" s="146"/>
      <c r="AC13" s="164"/>
      <c r="AD13" s="146"/>
      <c r="AE13" s="146"/>
      <c r="AF13" s="146"/>
      <c r="AG13" s="164"/>
      <c r="AH13" s="146"/>
      <c r="AI13" s="146"/>
      <c r="AJ13" s="146"/>
      <c r="AK13" s="164"/>
      <c r="AL13" s="88"/>
      <c r="AM13" s="164"/>
      <c r="AN13" s="164"/>
      <c r="AO13" s="164"/>
      <c r="AP13" s="88"/>
      <c r="AQ13" s="146"/>
      <c r="AR13" s="146"/>
      <c r="AS13" s="192"/>
      <c r="AT13" s="163"/>
      <c r="AU13" s="82"/>
      <c r="AV13" s="88"/>
      <c r="AW13" s="88"/>
      <c r="AX13" s="88"/>
      <c r="AY13" s="88"/>
      <c r="AZ13" s="88"/>
      <c r="BA13" s="88"/>
      <c r="BB13" s="88"/>
      <c r="BC13" s="162"/>
      <c r="BD13" s="88"/>
      <c r="BE13" s="85"/>
      <c r="BF13" s="85"/>
      <c r="BG13" s="85"/>
      <c r="BH13" s="25"/>
    </row>
    <row r="14" spans="1:67" ht="12.75" customHeight="1" x14ac:dyDescent="0.2">
      <c r="A14" s="7"/>
      <c r="B14" s="7" t="s">
        <v>341</v>
      </c>
      <c r="C14" s="38">
        <v>-1330</v>
      </c>
      <c r="D14" s="742">
        <v>-1.3013825966985979E-2</v>
      </c>
      <c r="E14" s="520"/>
      <c r="F14" s="748">
        <v>100869</v>
      </c>
      <c r="G14" s="748">
        <v>92123</v>
      </c>
      <c r="H14" s="748">
        <v>86240</v>
      </c>
      <c r="I14" s="213">
        <v>94826</v>
      </c>
      <c r="J14" s="748">
        <v>102199</v>
      </c>
      <c r="K14" s="748">
        <v>87581</v>
      </c>
      <c r="L14" s="748">
        <v>81832</v>
      </c>
      <c r="M14" s="213">
        <v>90035</v>
      </c>
      <c r="N14" s="748">
        <v>87438</v>
      </c>
      <c r="O14" s="748">
        <v>89415</v>
      </c>
      <c r="P14" s="748">
        <v>87525</v>
      </c>
      <c r="Q14" s="213">
        <v>88747</v>
      </c>
      <c r="R14" s="398">
        <v>74170</v>
      </c>
      <c r="S14" s="398">
        <v>57380</v>
      </c>
      <c r="T14" s="398">
        <v>60299</v>
      </c>
      <c r="U14" s="213">
        <v>61028</v>
      </c>
      <c r="V14" s="398">
        <v>81959</v>
      </c>
      <c r="W14" s="398">
        <v>87433</v>
      </c>
      <c r="X14" s="398">
        <v>63002</v>
      </c>
      <c r="Y14" s="213">
        <v>62256</v>
      </c>
      <c r="Z14" s="398">
        <v>62826</v>
      </c>
      <c r="AA14" s="398">
        <v>60696</v>
      </c>
      <c r="AB14" s="398">
        <v>56628</v>
      </c>
      <c r="AC14" s="213">
        <v>55456</v>
      </c>
      <c r="AD14" s="398">
        <v>49005</v>
      </c>
      <c r="AE14" s="398">
        <v>51473</v>
      </c>
      <c r="AF14" s="398">
        <v>60630</v>
      </c>
      <c r="AG14" s="213">
        <v>71996</v>
      </c>
      <c r="AH14" s="165">
        <v>69585</v>
      </c>
      <c r="AI14" s="165">
        <v>74959</v>
      </c>
      <c r="AJ14" s="165">
        <v>65728</v>
      </c>
      <c r="AK14" s="166">
        <v>85775</v>
      </c>
      <c r="AL14" s="175">
        <v>87682</v>
      </c>
      <c r="AM14" s="166">
        <v>74380</v>
      </c>
      <c r="AN14" s="166">
        <v>63556</v>
      </c>
      <c r="AO14" s="166">
        <v>78054</v>
      </c>
      <c r="AP14" s="88"/>
      <c r="AQ14" s="327">
        <v>273189</v>
      </c>
      <c r="AR14" s="738">
        <v>259448</v>
      </c>
      <c r="AS14" s="210">
        <v>12411</v>
      </c>
      <c r="AT14" s="742">
        <v>3.4317995172087702E-2</v>
      </c>
      <c r="AU14" s="82"/>
      <c r="AV14" s="58">
        <v>374058</v>
      </c>
      <c r="AW14" s="728">
        <v>361647</v>
      </c>
      <c r="AX14" s="728">
        <v>353125</v>
      </c>
      <c r="AY14" s="159">
        <v>252877</v>
      </c>
      <c r="AZ14" s="159">
        <v>294650</v>
      </c>
      <c r="BA14" s="159">
        <v>235606</v>
      </c>
      <c r="BB14" s="159">
        <v>233104</v>
      </c>
      <c r="BC14" s="159">
        <v>296047</v>
      </c>
      <c r="BD14" s="159">
        <v>303672</v>
      </c>
      <c r="BE14" s="43">
        <v>239460</v>
      </c>
      <c r="BF14" s="43">
        <v>168978</v>
      </c>
      <c r="BG14" s="43">
        <v>162242</v>
      </c>
      <c r="BH14" s="25"/>
    </row>
    <row r="15" spans="1:67" ht="12.75" customHeight="1" x14ac:dyDescent="0.2">
      <c r="A15" s="7"/>
      <c r="B15" s="7" t="s">
        <v>65</v>
      </c>
      <c r="C15" s="38">
        <v>-21198</v>
      </c>
      <c r="D15" s="742">
        <v>-0.2701999923521089</v>
      </c>
      <c r="E15" s="520"/>
      <c r="F15" s="748">
        <v>57255</v>
      </c>
      <c r="G15" s="748">
        <v>27601</v>
      </c>
      <c r="H15" s="748">
        <v>66289</v>
      </c>
      <c r="I15" s="213">
        <v>87372</v>
      </c>
      <c r="J15" s="748">
        <v>78453</v>
      </c>
      <c r="K15" s="748">
        <v>70841</v>
      </c>
      <c r="L15" s="748">
        <v>40283</v>
      </c>
      <c r="M15" s="213">
        <v>31833</v>
      </c>
      <c r="N15" s="748">
        <v>38541</v>
      </c>
      <c r="O15" s="748">
        <v>40609</v>
      </c>
      <c r="P15" s="748">
        <v>37961</v>
      </c>
      <c r="Q15" s="213">
        <v>28661</v>
      </c>
      <c r="R15" s="398">
        <v>53553</v>
      </c>
      <c r="S15" s="398">
        <v>32015</v>
      </c>
      <c r="T15" s="398">
        <v>29799</v>
      </c>
      <c r="U15" s="213">
        <v>59858</v>
      </c>
      <c r="V15" s="398">
        <v>103646</v>
      </c>
      <c r="W15" s="398">
        <v>116716</v>
      </c>
      <c r="X15" s="398">
        <v>51236</v>
      </c>
      <c r="Y15" s="213">
        <v>55901</v>
      </c>
      <c r="Z15" s="398">
        <v>54191</v>
      </c>
      <c r="AA15" s="398">
        <v>82089</v>
      </c>
      <c r="AB15" s="398">
        <v>32366</v>
      </c>
      <c r="AC15" s="213">
        <v>46590</v>
      </c>
      <c r="AD15" s="398">
        <v>30146</v>
      </c>
      <c r="AE15" s="398">
        <v>8887</v>
      </c>
      <c r="AF15" s="398">
        <v>27894</v>
      </c>
      <c r="AG15" s="213">
        <v>50989</v>
      </c>
      <c r="AH15" s="165">
        <v>49608</v>
      </c>
      <c r="AI15" s="165">
        <v>84910</v>
      </c>
      <c r="AJ15" s="165">
        <v>73731</v>
      </c>
      <c r="AK15" s="166">
        <v>128625</v>
      </c>
      <c r="AL15" s="175">
        <v>99138</v>
      </c>
      <c r="AM15" s="166">
        <v>78177</v>
      </c>
      <c r="AN15" s="166">
        <v>70118</v>
      </c>
      <c r="AO15" s="166">
        <v>102840</v>
      </c>
      <c r="AP15" s="88"/>
      <c r="AQ15" s="738">
        <v>181262</v>
      </c>
      <c r="AR15" s="738">
        <v>142957</v>
      </c>
      <c r="AS15" s="210">
        <v>17107</v>
      </c>
      <c r="AT15" s="742">
        <v>7.7263899552865722E-2</v>
      </c>
      <c r="AU15" s="82"/>
      <c r="AV15" s="58">
        <v>238517</v>
      </c>
      <c r="AW15" s="728">
        <v>221410</v>
      </c>
      <c r="AX15" s="728">
        <v>145772</v>
      </c>
      <c r="AY15" s="159">
        <v>175225</v>
      </c>
      <c r="AZ15" s="159">
        <v>327499</v>
      </c>
      <c r="BA15" s="159">
        <v>215237</v>
      </c>
      <c r="BB15" s="159">
        <v>117916</v>
      </c>
      <c r="BC15" s="159">
        <v>295787</v>
      </c>
      <c r="BD15" s="159">
        <v>319240</v>
      </c>
      <c r="BE15" s="43">
        <v>253124</v>
      </c>
      <c r="BF15" s="43">
        <v>214450</v>
      </c>
      <c r="BG15" s="43">
        <v>188001</v>
      </c>
      <c r="BH15" s="25"/>
    </row>
    <row r="16" spans="1:67" ht="12.75" customHeight="1" x14ac:dyDescent="0.2">
      <c r="A16" s="7"/>
      <c r="B16" s="7" t="s">
        <v>213</v>
      </c>
      <c r="C16" s="38">
        <v>6698</v>
      </c>
      <c r="D16" s="742">
        <v>0.19943427125204705</v>
      </c>
      <c r="E16" s="520"/>
      <c r="F16" s="748">
        <v>40283</v>
      </c>
      <c r="G16" s="748">
        <v>22618</v>
      </c>
      <c r="H16" s="748">
        <v>55741</v>
      </c>
      <c r="I16" s="213">
        <v>32694</v>
      </c>
      <c r="J16" s="748">
        <v>33585</v>
      </c>
      <c r="K16" s="748">
        <v>39758</v>
      </c>
      <c r="L16" s="748">
        <v>29894</v>
      </c>
      <c r="M16" s="213">
        <v>35905</v>
      </c>
      <c r="N16" s="748">
        <v>56145</v>
      </c>
      <c r="O16" s="748">
        <v>69348</v>
      </c>
      <c r="P16" s="748">
        <v>28571</v>
      </c>
      <c r="Q16" s="213">
        <v>25626</v>
      </c>
      <c r="R16" s="398">
        <v>24634</v>
      </c>
      <c r="S16" s="398">
        <v>38541</v>
      </c>
      <c r="T16" s="398">
        <v>21664</v>
      </c>
      <c r="U16" s="213">
        <v>22531</v>
      </c>
      <c r="V16" s="398">
        <v>25702</v>
      </c>
      <c r="W16" s="398">
        <v>25276</v>
      </c>
      <c r="X16" s="398">
        <v>13215</v>
      </c>
      <c r="Y16" s="213">
        <v>20721</v>
      </c>
      <c r="Z16" s="398">
        <v>8323</v>
      </c>
      <c r="AA16" s="398">
        <v>6328</v>
      </c>
      <c r="AB16" s="398">
        <v>15254</v>
      </c>
      <c r="AC16" s="213">
        <v>9296</v>
      </c>
      <c r="AD16" s="398">
        <v>8854</v>
      </c>
      <c r="AE16" s="398">
        <v>11311</v>
      </c>
      <c r="AF16" s="398">
        <v>6130</v>
      </c>
      <c r="AG16" s="213">
        <v>25158</v>
      </c>
      <c r="AH16" s="165"/>
      <c r="AI16" s="165"/>
      <c r="AJ16" s="165"/>
      <c r="AK16" s="166"/>
      <c r="AL16" s="175"/>
      <c r="AM16" s="166"/>
      <c r="AN16" s="166"/>
      <c r="AO16" s="166"/>
      <c r="AP16" s="88"/>
      <c r="AQ16" s="738">
        <v>111053</v>
      </c>
      <c r="AR16" s="738">
        <v>105557</v>
      </c>
      <c r="AS16" s="210">
        <v>12194</v>
      </c>
      <c r="AT16" s="742">
        <v>8.7637090166879872E-2</v>
      </c>
      <c r="AU16" s="82"/>
      <c r="AV16" s="58">
        <v>151336</v>
      </c>
      <c r="AW16" s="728">
        <v>139142</v>
      </c>
      <c r="AX16" s="728">
        <v>179690</v>
      </c>
      <c r="AY16" s="159">
        <v>107370</v>
      </c>
      <c r="AZ16" s="159">
        <v>84914</v>
      </c>
      <c r="BA16" s="159">
        <v>39200</v>
      </c>
      <c r="BB16" s="159">
        <v>51453</v>
      </c>
      <c r="BC16" s="159">
        <v>41087</v>
      </c>
      <c r="BD16" s="159">
        <v>31033</v>
      </c>
      <c r="BE16" s="43">
        <v>13082</v>
      </c>
      <c r="BF16" s="43"/>
      <c r="BG16" s="43"/>
      <c r="BH16" s="25"/>
    </row>
    <row r="17" spans="1:63" ht="12.75" customHeight="1" x14ac:dyDescent="0.2">
      <c r="A17" s="7"/>
      <c r="B17" s="7" t="s">
        <v>66</v>
      </c>
      <c r="C17" s="38">
        <v>-8406</v>
      </c>
      <c r="D17" s="742">
        <v>-0.27092532310568213</v>
      </c>
      <c r="E17" s="520"/>
      <c r="F17" s="748">
        <v>22621</v>
      </c>
      <c r="G17" s="748">
        <v>14612</v>
      </c>
      <c r="H17" s="748">
        <v>17708</v>
      </c>
      <c r="I17" s="213">
        <v>20276</v>
      </c>
      <c r="J17" s="748">
        <v>31027</v>
      </c>
      <c r="K17" s="748">
        <v>21863</v>
      </c>
      <c r="L17" s="748">
        <v>18883</v>
      </c>
      <c r="M17" s="213">
        <v>19540</v>
      </c>
      <c r="N17" s="748">
        <v>22780</v>
      </c>
      <c r="O17" s="748">
        <v>18670</v>
      </c>
      <c r="P17" s="748">
        <v>17109</v>
      </c>
      <c r="Q17" s="213">
        <v>7847</v>
      </c>
      <c r="R17" s="398">
        <v>6769</v>
      </c>
      <c r="S17" s="398">
        <v>3304</v>
      </c>
      <c r="T17" s="398">
        <v>-1379</v>
      </c>
      <c r="U17" s="213">
        <v>1953</v>
      </c>
      <c r="V17" s="398">
        <v>17431</v>
      </c>
      <c r="W17" s="398">
        <v>10658</v>
      </c>
      <c r="X17" s="398">
        <v>9597</v>
      </c>
      <c r="Y17" s="213">
        <v>5958</v>
      </c>
      <c r="Z17" s="398">
        <v>7278</v>
      </c>
      <c r="AA17" s="398">
        <v>15645</v>
      </c>
      <c r="AB17" s="398">
        <v>11589</v>
      </c>
      <c r="AC17" s="213">
        <v>11470</v>
      </c>
      <c r="AD17" s="398">
        <v>8540</v>
      </c>
      <c r="AE17" s="398">
        <v>3781</v>
      </c>
      <c r="AF17" s="398">
        <v>87</v>
      </c>
      <c r="AG17" s="213">
        <v>5911</v>
      </c>
      <c r="AH17" s="165">
        <v>4168</v>
      </c>
      <c r="AI17" s="165">
        <v>387</v>
      </c>
      <c r="AJ17" s="165">
        <v>-3925</v>
      </c>
      <c r="AK17" s="166">
        <v>6813</v>
      </c>
      <c r="AL17" s="175">
        <v>9429</v>
      </c>
      <c r="AM17" s="166">
        <v>9035</v>
      </c>
      <c r="AN17" s="166">
        <v>5390</v>
      </c>
      <c r="AO17" s="166">
        <v>7784</v>
      </c>
      <c r="AP17" s="88"/>
      <c r="AQ17" s="738">
        <v>52596</v>
      </c>
      <c r="AR17" s="738">
        <v>60286</v>
      </c>
      <c r="AS17" s="210">
        <v>-16096</v>
      </c>
      <c r="AT17" s="742">
        <v>-0.17627281986135598</v>
      </c>
      <c r="AU17" s="82"/>
      <c r="AV17" s="58">
        <v>75217</v>
      </c>
      <c r="AW17" s="728">
        <v>91313</v>
      </c>
      <c r="AX17" s="728">
        <v>66406</v>
      </c>
      <c r="AY17" s="159">
        <v>10647</v>
      </c>
      <c r="AZ17" s="159">
        <v>43644</v>
      </c>
      <c r="BA17" s="159">
        <v>45982</v>
      </c>
      <c r="BB17" s="159">
        <v>18319</v>
      </c>
      <c r="BC17" s="159">
        <v>7443</v>
      </c>
      <c r="BD17" s="159">
        <v>31638</v>
      </c>
      <c r="BE17" s="43">
        <v>27388</v>
      </c>
      <c r="BF17" s="43">
        <v>13584</v>
      </c>
      <c r="BG17" s="43">
        <v>27513</v>
      </c>
    </row>
    <row r="18" spans="1:63" ht="12.75" customHeight="1" x14ac:dyDescent="0.2">
      <c r="A18" s="7"/>
      <c r="B18" s="7" t="s">
        <v>67</v>
      </c>
      <c r="C18" s="38">
        <v>-947</v>
      </c>
      <c r="D18" s="742">
        <v>-0.16029113067027759</v>
      </c>
      <c r="E18" s="520"/>
      <c r="F18" s="748">
        <v>4961</v>
      </c>
      <c r="G18" s="748">
        <v>5045</v>
      </c>
      <c r="H18" s="748">
        <v>5902</v>
      </c>
      <c r="I18" s="213">
        <v>6304</v>
      </c>
      <c r="J18" s="748">
        <v>5908</v>
      </c>
      <c r="K18" s="748">
        <v>5704</v>
      </c>
      <c r="L18" s="748">
        <v>6132</v>
      </c>
      <c r="M18" s="213">
        <v>6805</v>
      </c>
      <c r="N18" s="748">
        <v>6758</v>
      </c>
      <c r="O18" s="748">
        <v>7291</v>
      </c>
      <c r="P18" s="748">
        <v>6758</v>
      </c>
      <c r="Q18" s="213">
        <v>8392</v>
      </c>
      <c r="R18" s="398">
        <v>8205</v>
      </c>
      <c r="S18" s="398">
        <v>8147</v>
      </c>
      <c r="T18" s="398">
        <v>7590</v>
      </c>
      <c r="U18" s="213">
        <v>7857</v>
      </c>
      <c r="V18" s="398">
        <v>7707</v>
      </c>
      <c r="W18" s="398">
        <v>7753</v>
      </c>
      <c r="X18" s="398">
        <v>5436</v>
      </c>
      <c r="Y18" s="213">
        <v>3144</v>
      </c>
      <c r="Z18" s="398">
        <v>3269</v>
      </c>
      <c r="AA18" s="398">
        <v>3099</v>
      </c>
      <c r="AB18" s="398">
        <v>3121</v>
      </c>
      <c r="AC18" s="213">
        <v>3476</v>
      </c>
      <c r="AD18" s="398">
        <v>5116</v>
      </c>
      <c r="AE18" s="398">
        <v>9108</v>
      </c>
      <c r="AF18" s="398">
        <v>11734</v>
      </c>
      <c r="AG18" s="213">
        <v>12329</v>
      </c>
      <c r="AH18" s="165">
        <v>14574</v>
      </c>
      <c r="AI18" s="165">
        <v>16011</v>
      </c>
      <c r="AJ18" s="165">
        <v>16273</v>
      </c>
      <c r="AK18" s="166">
        <v>16310</v>
      </c>
      <c r="AL18" s="175">
        <v>15656</v>
      </c>
      <c r="AM18" s="166">
        <v>14355</v>
      </c>
      <c r="AN18" s="166">
        <v>14259</v>
      </c>
      <c r="AO18" s="166">
        <v>13638</v>
      </c>
      <c r="AP18" s="88"/>
      <c r="AQ18" s="738">
        <v>17251</v>
      </c>
      <c r="AR18" s="738">
        <v>18641</v>
      </c>
      <c r="AS18" s="210">
        <v>-2337</v>
      </c>
      <c r="AT18" s="342">
        <v>-9.5197360381278254E-2</v>
      </c>
      <c r="AU18" s="82"/>
      <c r="AV18" s="58">
        <v>22212</v>
      </c>
      <c r="AW18" s="728">
        <v>24549</v>
      </c>
      <c r="AX18" s="728">
        <v>29199</v>
      </c>
      <c r="AY18" s="159">
        <v>31799</v>
      </c>
      <c r="AZ18" s="159">
        <v>24040</v>
      </c>
      <c r="BA18" s="159">
        <v>12965</v>
      </c>
      <c r="BB18" s="159">
        <v>38287</v>
      </c>
      <c r="BC18" s="159">
        <v>63168</v>
      </c>
      <c r="BD18" s="159">
        <v>57908</v>
      </c>
      <c r="BE18" s="43">
        <v>36915</v>
      </c>
      <c r="BF18" s="43">
        <v>26488</v>
      </c>
      <c r="BG18" s="43">
        <v>15853</v>
      </c>
    </row>
    <row r="19" spans="1:63" ht="12.75" customHeight="1" x14ac:dyDescent="0.2">
      <c r="A19" s="7"/>
      <c r="B19" s="7" t="s">
        <v>68</v>
      </c>
      <c r="C19" s="38">
        <v>3900</v>
      </c>
      <c r="D19" s="742">
        <v>1.5139751552795031</v>
      </c>
      <c r="E19" s="520"/>
      <c r="F19" s="748">
        <v>6476</v>
      </c>
      <c r="G19" s="748">
        <v>4472</v>
      </c>
      <c r="H19" s="748">
        <v>4391</v>
      </c>
      <c r="I19" s="213">
        <v>4084</v>
      </c>
      <c r="J19" s="748">
        <v>2576</v>
      </c>
      <c r="K19" s="748">
        <v>5212</v>
      </c>
      <c r="L19" s="748">
        <v>6282</v>
      </c>
      <c r="M19" s="213">
        <v>3113</v>
      </c>
      <c r="N19" s="748">
        <v>6309</v>
      </c>
      <c r="O19" s="748">
        <v>4670</v>
      </c>
      <c r="P19" s="748">
        <v>8675</v>
      </c>
      <c r="Q19" s="213">
        <v>3276</v>
      </c>
      <c r="R19" s="398">
        <v>10361</v>
      </c>
      <c r="S19" s="398">
        <v>8502</v>
      </c>
      <c r="T19" s="398">
        <v>1527</v>
      </c>
      <c r="U19" s="213">
        <v>6556</v>
      </c>
      <c r="V19" s="398">
        <v>11150</v>
      </c>
      <c r="W19" s="398">
        <v>6998</v>
      </c>
      <c r="X19" s="398">
        <v>6799</v>
      </c>
      <c r="Y19" s="213">
        <v>3937</v>
      </c>
      <c r="Z19" s="398">
        <v>7246</v>
      </c>
      <c r="AA19" s="398">
        <v>5340</v>
      </c>
      <c r="AB19" s="398">
        <v>4786</v>
      </c>
      <c r="AC19" s="213">
        <v>11175</v>
      </c>
      <c r="AD19" s="398">
        <v>5335</v>
      </c>
      <c r="AE19" s="398">
        <v>2628</v>
      </c>
      <c r="AF19" s="398">
        <v>4354</v>
      </c>
      <c r="AG19" s="213">
        <v>6325</v>
      </c>
      <c r="AH19" s="165">
        <v>5511</v>
      </c>
      <c r="AI19" s="165">
        <v>7087</v>
      </c>
      <c r="AJ19" s="165">
        <v>7062</v>
      </c>
      <c r="AK19" s="166">
        <v>8347</v>
      </c>
      <c r="AL19" s="175">
        <v>4538</v>
      </c>
      <c r="AM19" s="166">
        <v>2366</v>
      </c>
      <c r="AN19" s="166">
        <v>2708</v>
      </c>
      <c r="AO19" s="166">
        <v>3811</v>
      </c>
      <c r="AP19" s="88"/>
      <c r="AQ19" s="738">
        <v>12947</v>
      </c>
      <c r="AR19" s="738">
        <v>14607</v>
      </c>
      <c r="AS19" s="210">
        <v>2240</v>
      </c>
      <c r="AT19" s="342">
        <v>0.13036140371297211</v>
      </c>
      <c r="AU19" s="82"/>
      <c r="AV19" s="58">
        <v>19423</v>
      </c>
      <c r="AW19" s="728">
        <v>17183</v>
      </c>
      <c r="AX19" s="728">
        <v>22930</v>
      </c>
      <c r="AY19" s="159">
        <v>26946</v>
      </c>
      <c r="AZ19" s="159">
        <v>28884</v>
      </c>
      <c r="BA19" s="159">
        <v>28547</v>
      </c>
      <c r="BB19" s="159">
        <v>18642</v>
      </c>
      <c r="BC19" s="159">
        <v>28007</v>
      </c>
      <c r="BD19" s="159">
        <v>13423</v>
      </c>
      <c r="BE19" s="43">
        <v>13446</v>
      </c>
      <c r="BF19" s="43">
        <v>9278</v>
      </c>
      <c r="BG19" s="43">
        <v>8548</v>
      </c>
    </row>
    <row r="20" spans="1:63" ht="12.75" customHeight="1" x14ac:dyDescent="0.2">
      <c r="A20" s="8"/>
      <c r="B20" s="7"/>
      <c r="C20" s="167">
        <v>-21283</v>
      </c>
      <c r="D20" s="168">
        <v>-8.3874552705834132E-2</v>
      </c>
      <c r="E20" s="520"/>
      <c r="F20" s="406">
        <v>232465</v>
      </c>
      <c r="G20" s="406">
        <v>166471</v>
      </c>
      <c r="H20" s="406">
        <v>236271</v>
      </c>
      <c r="I20" s="1405">
        <v>245556</v>
      </c>
      <c r="J20" s="406">
        <v>253748</v>
      </c>
      <c r="K20" s="406">
        <v>230959</v>
      </c>
      <c r="L20" s="406">
        <v>183306</v>
      </c>
      <c r="M20" s="218">
        <v>187231</v>
      </c>
      <c r="N20" s="406">
        <v>217971</v>
      </c>
      <c r="O20" s="406">
        <v>230003</v>
      </c>
      <c r="P20" s="406">
        <v>186599</v>
      </c>
      <c r="Q20" s="218">
        <v>162549</v>
      </c>
      <c r="R20" s="406">
        <v>177692</v>
      </c>
      <c r="S20" s="406">
        <v>147889</v>
      </c>
      <c r="T20" s="406">
        <v>119500</v>
      </c>
      <c r="U20" s="218">
        <v>159783</v>
      </c>
      <c r="V20" s="406">
        <v>247595</v>
      </c>
      <c r="W20" s="406">
        <v>254834</v>
      </c>
      <c r="X20" s="406">
        <v>149285</v>
      </c>
      <c r="Y20" s="218">
        <v>151917</v>
      </c>
      <c r="Z20" s="406">
        <v>143133</v>
      </c>
      <c r="AA20" s="406">
        <v>173197</v>
      </c>
      <c r="AB20" s="406">
        <v>123744</v>
      </c>
      <c r="AC20" s="218">
        <v>137463</v>
      </c>
      <c r="AD20" s="406">
        <v>106996</v>
      </c>
      <c r="AE20" s="406">
        <v>87188</v>
      </c>
      <c r="AF20" s="406">
        <v>110829</v>
      </c>
      <c r="AG20" s="218">
        <v>172708</v>
      </c>
      <c r="AH20" s="170">
        <v>143446</v>
      </c>
      <c r="AI20" s="170">
        <v>183354</v>
      </c>
      <c r="AJ20" s="170">
        <v>158869</v>
      </c>
      <c r="AK20" s="171">
        <v>245870</v>
      </c>
      <c r="AL20" s="426">
        <v>216443</v>
      </c>
      <c r="AM20" s="171">
        <v>178313</v>
      </c>
      <c r="AN20" s="171">
        <v>156031</v>
      </c>
      <c r="AO20" s="171">
        <v>206127</v>
      </c>
      <c r="AP20" s="88"/>
      <c r="AQ20" s="406">
        <v>648298</v>
      </c>
      <c r="AR20" s="406">
        <v>601496</v>
      </c>
      <c r="AS20" s="170">
        <v>25519</v>
      </c>
      <c r="AT20" s="344">
        <v>2.9838268377211648E-2</v>
      </c>
      <c r="AU20" s="82"/>
      <c r="AV20" s="169">
        <v>880763</v>
      </c>
      <c r="AW20" s="169">
        <v>855244</v>
      </c>
      <c r="AX20" s="169">
        <v>797122</v>
      </c>
      <c r="AY20" s="169">
        <v>604864</v>
      </c>
      <c r="AZ20" s="169">
        <v>803631</v>
      </c>
      <c r="BA20" s="169">
        <v>577537</v>
      </c>
      <c r="BB20" s="169">
        <v>477721</v>
      </c>
      <c r="BC20" s="169">
        <v>731539</v>
      </c>
      <c r="BD20" s="169">
        <v>756914</v>
      </c>
      <c r="BE20" s="302">
        <v>583415</v>
      </c>
      <c r="BF20" s="302">
        <v>432778</v>
      </c>
      <c r="BG20" s="302">
        <v>402157</v>
      </c>
    </row>
    <row r="21" spans="1:63" ht="12.75" customHeight="1" x14ac:dyDescent="0.2">
      <c r="A21" s="140" t="s">
        <v>5</v>
      </c>
      <c r="B21" s="7"/>
      <c r="C21" s="38"/>
      <c r="D21" s="30"/>
      <c r="E21" s="520"/>
      <c r="F21" s="748"/>
      <c r="G21" s="748"/>
      <c r="H21" s="748"/>
      <c r="I21" s="213"/>
      <c r="J21" s="748"/>
      <c r="K21" s="748"/>
      <c r="L21" s="748"/>
      <c r="M21" s="213"/>
      <c r="N21" s="748"/>
      <c r="O21" s="748"/>
      <c r="P21" s="748"/>
      <c r="Q21" s="213"/>
      <c r="R21" s="41"/>
      <c r="S21" s="386"/>
      <c r="T21" s="398"/>
      <c r="U21" s="213"/>
      <c r="V21" s="41"/>
      <c r="W21" s="386"/>
      <c r="Y21" s="213"/>
      <c r="Z21" s="41"/>
      <c r="AA21" s="398"/>
      <c r="AB21" s="398"/>
      <c r="AC21" s="213"/>
      <c r="AD21" s="41"/>
      <c r="AE21" s="398"/>
      <c r="AF21" s="398"/>
      <c r="AG21" s="213"/>
      <c r="AH21" s="165"/>
      <c r="AI21" s="165"/>
      <c r="AJ21" s="165"/>
      <c r="AK21" s="166"/>
      <c r="AL21" s="175"/>
      <c r="AM21" s="166"/>
      <c r="AN21" s="166"/>
      <c r="AO21" s="166"/>
      <c r="AP21" s="88"/>
      <c r="AQ21" s="146"/>
      <c r="AR21" s="146"/>
      <c r="AS21" s="210"/>
      <c r="AT21" s="342"/>
      <c r="AU21" s="82"/>
      <c r="AV21" s="88"/>
      <c r="AW21" s="88"/>
      <c r="AX21" s="88"/>
      <c r="AY21" s="88"/>
      <c r="AZ21" s="88"/>
      <c r="BA21" s="88"/>
      <c r="BB21" s="88"/>
      <c r="BC21" s="159"/>
      <c r="BD21" s="159"/>
      <c r="BE21" s="43"/>
      <c r="BF21" s="43"/>
      <c r="BG21" s="43"/>
      <c r="BH21" s="25"/>
    </row>
    <row r="22" spans="1:63" s="721" customFormat="1" ht="12.75" customHeight="1" x14ac:dyDescent="0.2">
      <c r="A22" s="615"/>
      <c r="B22" s="7" t="s">
        <v>333</v>
      </c>
      <c r="C22" s="686">
        <v>1829</v>
      </c>
      <c r="D22" s="742">
        <v>1.5968081298399699E-2</v>
      </c>
      <c r="E22" s="741"/>
      <c r="F22" s="748">
        <v>116370</v>
      </c>
      <c r="G22" s="748">
        <v>77030</v>
      </c>
      <c r="H22" s="748">
        <v>109196</v>
      </c>
      <c r="I22" s="213">
        <v>112084</v>
      </c>
      <c r="J22" s="748">
        <v>114541</v>
      </c>
      <c r="K22" s="748">
        <v>104878</v>
      </c>
      <c r="L22" s="748">
        <v>79362</v>
      </c>
      <c r="M22" s="213">
        <v>77026</v>
      </c>
      <c r="N22" s="748">
        <v>103619</v>
      </c>
      <c r="O22" s="748">
        <v>103806</v>
      </c>
      <c r="P22" s="748">
        <v>82742</v>
      </c>
      <c r="Q22" s="213">
        <v>72663</v>
      </c>
      <c r="R22" s="750">
        <v>88463</v>
      </c>
      <c r="S22" s="750">
        <v>62981</v>
      </c>
      <c r="T22" s="750">
        <v>54138</v>
      </c>
      <c r="U22" s="703">
        <v>77401</v>
      </c>
      <c r="V22" s="750">
        <v>121923</v>
      </c>
      <c r="W22" s="750">
        <v>122575</v>
      </c>
      <c r="X22" s="536">
        <v>65815</v>
      </c>
      <c r="Y22" s="703"/>
      <c r="Z22" s="750"/>
      <c r="AA22" s="750"/>
      <c r="AB22" s="750"/>
      <c r="AC22" s="703"/>
      <c r="AD22" s="750"/>
      <c r="AE22" s="750"/>
      <c r="AF22" s="750"/>
      <c r="AG22" s="703"/>
      <c r="AH22" s="678"/>
      <c r="AI22" s="678"/>
      <c r="AJ22" s="678"/>
      <c r="AK22" s="832"/>
      <c r="AL22" s="751"/>
      <c r="AM22" s="832"/>
      <c r="AN22" s="832"/>
      <c r="AO22" s="832"/>
      <c r="AP22" s="751"/>
      <c r="AQ22" s="738">
        <v>298310</v>
      </c>
      <c r="AR22" s="738">
        <v>261266</v>
      </c>
      <c r="AS22" s="730">
        <v>38873</v>
      </c>
      <c r="AT22" s="742">
        <v>0.10343873317953098</v>
      </c>
      <c r="AU22" s="724"/>
      <c r="AV22" s="58">
        <v>414680</v>
      </c>
      <c r="AW22" s="728">
        <v>375807</v>
      </c>
      <c r="AX22" s="728">
        <v>362830</v>
      </c>
      <c r="AY22" s="728">
        <v>282983</v>
      </c>
      <c r="AZ22" s="728">
        <v>380311</v>
      </c>
      <c r="BA22" s="728">
        <v>281291</v>
      </c>
      <c r="BB22" s="728">
        <v>214550</v>
      </c>
      <c r="BC22" s="728">
        <v>337942</v>
      </c>
      <c r="BD22" s="728"/>
      <c r="BE22" s="43"/>
      <c r="BF22" s="43"/>
      <c r="BG22" s="43"/>
      <c r="BH22" s="25"/>
    </row>
    <row r="23" spans="1:63" s="721" customFormat="1" ht="12.75" customHeight="1" x14ac:dyDescent="0.2">
      <c r="A23" s="615"/>
      <c r="B23" s="7" t="s">
        <v>334</v>
      </c>
      <c r="C23" s="404">
        <v>150</v>
      </c>
      <c r="D23" s="147">
        <v>1.4947683109118086E-2</v>
      </c>
      <c r="E23" s="741"/>
      <c r="F23" s="408">
        <v>10185</v>
      </c>
      <c r="G23" s="408">
        <v>10169</v>
      </c>
      <c r="H23" s="408">
        <v>10193</v>
      </c>
      <c r="I23" s="216">
        <v>10253</v>
      </c>
      <c r="J23" s="408">
        <v>10035</v>
      </c>
      <c r="K23" s="408">
        <v>9999</v>
      </c>
      <c r="L23" s="408">
        <v>8149</v>
      </c>
      <c r="M23" s="216">
        <v>9299</v>
      </c>
      <c r="N23" s="408">
        <v>9678</v>
      </c>
      <c r="O23" s="408">
        <v>10331</v>
      </c>
      <c r="P23" s="408">
        <v>11772</v>
      </c>
      <c r="Q23" s="216">
        <v>12113</v>
      </c>
      <c r="R23" s="836">
        <v>7178</v>
      </c>
      <c r="S23" s="836">
        <v>6834</v>
      </c>
      <c r="T23" s="836">
        <v>7700</v>
      </c>
      <c r="U23" s="837">
        <v>213</v>
      </c>
      <c r="V23" s="836">
        <v>-2540</v>
      </c>
      <c r="W23" s="836">
        <v>4065</v>
      </c>
      <c r="X23" s="537">
        <v>4723</v>
      </c>
      <c r="Y23" s="703"/>
      <c r="Z23" s="750"/>
      <c r="AA23" s="750"/>
      <c r="AB23" s="750"/>
      <c r="AC23" s="703"/>
      <c r="AD23" s="750"/>
      <c r="AE23" s="750"/>
      <c r="AF23" s="750"/>
      <c r="AG23" s="703"/>
      <c r="AH23" s="678"/>
      <c r="AI23" s="678"/>
      <c r="AJ23" s="678"/>
      <c r="AK23" s="832"/>
      <c r="AL23" s="751"/>
      <c r="AM23" s="832"/>
      <c r="AN23" s="832"/>
      <c r="AO23" s="832"/>
      <c r="AP23" s="751"/>
      <c r="AQ23" s="226">
        <v>30615</v>
      </c>
      <c r="AR23" s="335">
        <v>27447</v>
      </c>
      <c r="AS23" s="343">
        <v>3318</v>
      </c>
      <c r="AT23" s="147">
        <v>8.8522490795581874E-2</v>
      </c>
      <c r="AU23" s="724"/>
      <c r="AV23" s="203">
        <v>40800</v>
      </c>
      <c r="AW23" s="203">
        <v>37482</v>
      </c>
      <c r="AX23" s="203">
        <v>43894</v>
      </c>
      <c r="AY23" s="203">
        <v>21925</v>
      </c>
      <c r="AZ23" s="203">
        <v>8735</v>
      </c>
      <c r="BA23" s="203">
        <v>17793</v>
      </c>
      <c r="BB23" s="203">
        <v>7456</v>
      </c>
      <c r="BC23" s="203">
        <v>9137</v>
      </c>
      <c r="BD23" s="728"/>
      <c r="BE23" s="43"/>
      <c r="BF23" s="43"/>
      <c r="BG23" s="43"/>
      <c r="BH23" s="25"/>
    </row>
    <row r="24" spans="1:63" ht="12.75" customHeight="1" x14ac:dyDescent="0.2">
      <c r="A24" s="8"/>
      <c r="B24" s="82" t="s">
        <v>218</v>
      </c>
      <c r="C24" s="38">
        <v>1979</v>
      </c>
      <c r="D24" s="742">
        <v>1.5885884921654252E-2</v>
      </c>
      <c r="E24" s="520"/>
      <c r="F24" s="748">
        <v>126555</v>
      </c>
      <c r="G24" s="748">
        <v>87199</v>
      </c>
      <c r="H24" s="748">
        <v>119389</v>
      </c>
      <c r="I24" s="269">
        <v>122337</v>
      </c>
      <c r="J24" s="748">
        <v>124576</v>
      </c>
      <c r="K24" s="748">
        <v>114877</v>
      </c>
      <c r="L24" s="748">
        <v>87511</v>
      </c>
      <c r="M24" s="213">
        <v>86325</v>
      </c>
      <c r="N24" s="748">
        <v>113297</v>
      </c>
      <c r="O24" s="748">
        <v>114137</v>
      </c>
      <c r="P24" s="748">
        <v>94514</v>
      </c>
      <c r="Q24" s="213">
        <v>84776</v>
      </c>
      <c r="R24" s="398">
        <v>95641</v>
      </c>
      <c r="S24" s="398">
        <v>69815</v>
      </c>
      <c r="T24" s="398">
        <v>61838</v>
      </c>
      <c r="U24" s="213">
        <v>77614</v>
      </c>
      <c r="V24" s="398">
        <v>119383</v>
      </c>
      <c r="W24" s="398">
        <v>126640</v>
      </c>
      <c r="X24" s="398">
        <v>70538</v>
      </c>
      <c r="Y24" s="213">
        <v>72485</v>
      </c>
      <c r="Z24" s="398">
        <v>72783</v>
      </c>
      <c r="AA24" s="398">
        <v>93872</v>
      </c>
      <c r="AB24" s="398">
        <v>63966</v>
      </c>
      <c r="AC24" s="213">
        <v>68463</v>
      </c>
      <c r="AD24" s="398">
        <v>45003</v>
      </c>
      <c r="AE24" s="398">
        <v>43299</v>
      </c>
      <c r="AF24" s="398">
        <v>50977</v>
      </c>
      <c r="AG24" s="213">
        <v>82727</v>
      </c>
      <c r="AH24" s="165">
        <v>63479</v>
      </c>
      <c r="AI24" s="165">
        <v>90778</v>
      </c>
      <c r="AJ24" s="165">
        <v>71416</v>
      </c>
      <c r="AK24" s="166">
        <v>121406</v>
      </c>
      <c r="AL24" s="175">
        <v>113502</v>
      </c>
      <c r="AM24" s="166">
        <v>89466</v>
      </c>
      <c r="AN24" s="166">
        <v>74974</v>
      </c>
      <c r="AO24" s="166">
        <v>104955</v>
      </c>
      <c r="AP24" s="88"/>
      <c r="AQ24" s="738">
        <v>328925</v>
      </c>
      <c r="AR24" s="738">
        <v>288713</v>
      </c>
      <c r="AS24" s="210">
        <v>42191</v>
      </c>
      <c r="AT24" s="742">
        <v>0.1020859495413621</v>
      </c>
      <c r="AU24" s="82"/>
      <c r="AV24" s="728">
        <v>455480</v>
      </c>
      <c r="AW24" s="728">
        <v>413289</v>
      </c>
      <c r="AX24" s="728">
        <v>406724</v>
      </c>
      <c r="AY24" s="159">
        <v>304908</v>
      </c>
      <c r="AZ24" s="159">
        <v>389046</v>
      </c>
      <c r="BA24" s="159">
        <v>299084</v>
      </c>
      <c r="BB24" s="159">
        <v>222006</v>
      </c>
      <c r="BC24" s="159">
        <v>347079</v>
      </c>
      <c r="BD24" s="159">
        <v>382897</v>
      </c>
      <c r="BE24" s="43">
        <v>299188</v>
      </c>
      <c r="BF24" s="43">
        <v>220454</v>
      </c>
      <c r="BG24" s="43">
        <v>218802</v>
      </c>
      <c r="BH24" s="25"/>
      <c r="BJ24" s="104"/>
    </row>
    <row r="25" spans="1:63" ht="12.75" customHeight="1" x14ac:dyDescent="0.2">
      <c r="A25" s="8"/>
      <c r="B25" s="7" t="s">
        <v>69</v>
      </c>
      <c r="C25" s="38">
        <v>-2630</v>
      </c>
      <c r="D25" s="742">
        <v>-0.10449362310779133</v>
      </c>
      <c r="E25" s="520"/>
      <c r="F25" s="748">
        <v>22539</v>
      </c>
      <c r="G25" s="748">
        <v>20430</v>
      </c>
      <c r="H25" s="748">
        <v>20268</v>
      </c>
      <c r="I25" s="213">
        <v>22533</v>
      </c>
      <c r="J25" s="748">
        <v>25169</v>
      </c>
      <c r="K25" s="748">
        <v>21350</v>
      </c>
      <c r="L25" s="748">
        <v>21506</v>
      </c>
      <c r="M25" s="213">
        <v>23110</v>
      </c>
      <c r="N25" s="748">
        <v>22825</v>
      </c>
      <c r="O25" s="748">
        <v>21082</v>
      </c>
      <c r="P25" s="748">
        <v>21417</v>
      </c>
      <c r="Q25" s="213">
        <v>23198</v>
      </c>
      <c r="R25" s="398">
        <v>17635</v>
      </c>
      <c r="S25" s="398">
        <v>15009</v>
      </c>
      <c r="T25" s="398">
        <v>14163</v>
      </c>
      <c r="U25" s="213">
        <v>17117</v>
      </c>
      <c r="V25" s="398">
        <v>17543</v>
      </c>
      <c r="W25" s="398">
        <v>14739</v>
      </c>
      <c r="X25" s="398">
        <v>16322</v>
      </c>
      <c r="Y25" s="213">
        <v>15816</v>
      </c>
      <c r="Z25" s="398">
        <v>16685</v>
      </c>
      <c r="AA25" s="398">
        <v>14945</v>
      </c>
      <c r="AB25" s="398">
        <v>13983</v>
      </c>
      <c r="AC25" s="213">
        <v>13802</v>
      </c>
      <c r="AD25" s="398">
        <v>14316</v>
      </c>
      <c r="AE25" s="398">
        <v>12817</v>
      </c>
      <c r="AF25" s="398">
        <v>14195</v>
      </c>
      <c r="AG25" s="213">
        <v>15443</v>
      </c>
      <c r="AH25" s="165">
        <v>14718</v>
      </c>
      <c r="AI25" s="165">
        <v>12658</v>
      </c>
      <c r="AJ25" s="165">
        <v>12649</v>
      </c>
      <c r="AK25" s="166">
        <v>14269</v>
      </c>
      <c r="AL25" s="175">
        <v>12862</v>
      </c>
      <c r="AM25" s="166">
        <v>11610</v>
      </c>
      <c r="AN25" s="166">
        <v>10643</v>
      </c>
      <c r="AO25" s="166">
        <v>12493</v>
      </c>
      <c r="AP25" s="88"/>
      <c r="AQ25" s="738">
        <v>63231</v>
      </c>
      <c r="AR25" s="738">
        <v>65966</v>
      </c>
      <c r="AS25" s="210">
        <v>-5365</v>
      </c>
      <c r="AT25" s="742">
        <v>-5.8868711252537446E-2</v>
      </c>
      <c r="AU25" s="82"/>
      <c r="AV25" s="58">
        <v>85770</v>
      </c>
      <c r="AW25" s="728">
        <v>91135</v>
      </c>
      <c r="AX25" s="728">
        <v>88522</v>
      </c>
      <c r="AY25" s="159">
        <v>63924</v>
      </c>
      <c r="AZ25" s="159">
        <v>64420</v>
      </c>
      <c r="BA25" s="159">
        <v>59415</v>
      </c>
      <c r="BB25" s="159">
        <v>56771</v>
      </c>
      <c r="BC25" s="159">
        <v>54294</v>
      </c>
      <c r="BD25" s="159">
        <v>47608</v>
      </c>
      <c r="BE25" s="43">
        <v>42019</v>
      </c>
      <c r="BF25" s="43">
        <v>45715</v>
      </c>
      <c r="BG25" s="43">
        <v>37193</v>
      </c>
      <c r="BH25" s="25"/>
      <c r="BJ25" s="104"/>
    </row>
    <row r="26" spans="1:63" s="103" customFormat="1" x14ac:dyDescent="0.2">
      <c r="A26" s="8"/>
      <c r="B26" s="7" t="s">
        <v>70</v>
      </c>
      <c r="C26" s="686">
        <v>-788</v>
      </c>
      <c r="D26" s="742">
        <v>-5.5496865976477218E-2</v>
      </c>
      <c r="E26" s="520"/>
      <c r="F26" s="748">
        <v>13411</v>
      </c>
      <c r="G26" s="748">
        <v>13975</v>
      </c>
      <c r="H26" s="748">
        <v>12775</v>
      </c>
      <c r="I26" s="213">
        <v>12634</v>
      </c>
      <c r="J26" s="748">
        <v>14199</v>
      </c>
      <c r="K26" s="748">
        <v>11370</v>
      </c>
      <c r="L26" s="748">
        <v>10336</v>
      </c>
      <c r="M26" s="213">
        <v>11967</v>
      </c>
      <c r="N26" s="748">
        <v>10697</v>
      </c>
      <c r="O26" s="748">
        <v>10419</v>
      </c>
      <c r="P26" s="748">
        <v>10189</v>
      </c>
      <c r="Q26" s="213">
        <v>12587</v>
      </c>
      <c r="R26" s="398">
        <v>6190</v>
      </c>
      <c r="S26" s="398">
        <v>7416</v>
      </c>
      <c r="T26" s="398">
        <v>7742</v>
      </c>
      <c r="U26" s="213">
        <v>8965</v>
      </c>
      <c r="V26" s="398">
        <v>8624</v>
      </c>
      <c r="W26" s="398">
        <v>7937</v>
      </c>
      <c r="X26" s="398">
        <v>7241</v>
      </c>
      <c r="Y26" s="213">
        <v>7705</v>
      </c>
      <c r="Z26" s="398">
        <v>7418</v>
      </c>
      <c r="AA26" s="398">
        <v>7140</v>
      </c>
      <c r="AB26" s="398">
        <v>7002</v>
      </c>
      <c r="AC26" s="213">
        <v>7324</v>
      </c>
      <c r="AD26" s="398">
        <v>6565</v>
      </c>
      <c r="AE26" s="398">
        <v>6708</v>
      </c>
      <c r="AF26" s="398">
        <v>6717</v>
      </c>
      <c r="AG26" s="213">
        <v>6321</v>
      </c>
      <c r="AH26" s="618">
        <v>5829</v>
      </c>
      <c r="AI26" s="618">
        <v>7054</v>
      </c>
      <c r="AJ26" s="618">
        <v>7249</v>
      </c>
      <c r="AK26" s="321">
        <v>6958</v>
      </c>
      <c r="AL26" s="84">
        <v>6718</v>
      </c>
      <c r="AM26" s="321">
        <v>6056</v>
      </c>
      <c r="AN26" s="321">
        <v>6119</v>
      </c>
      <c r="AO26" s="321">
        <v>8559</v>
      </c>
      <c r="AP26" s="85"/>
      <c r="AQ26" s="738">
        <v>39384</v>
      </c>
      <c r="AR26" s="738">
        <v>33673</v>
      </c>
      <c r="AS26" s="151">
        <v>4923</v>
      </c>
      <c r="AT26" s="742">
        <v>0.10283673128342247</v>
      </c>
      <c r="AU26" s="142"/>
      <c r="AV26" s="58">
        <v>52795</v>
      </c>
      <c r="AW26" s="728">
        <v>47872</v>
      </c>
      <c r="AX26" s="728">
        <v>43892</v>
      </c>
      <c r="AY26" s="159">
        <v>30313</v>
      </c>
      <c r="AZ26" s="159">
        <v>31507</v>
      </c>
      <c r="BA26" s="159">
        <v>28884</v>
      </c>
      <c r="BB26" s="159">
        <v>26311</v>
      </c>
      <c r="BC26" s="159">
        <v>27090</v>
      </c>
      <c r="BD26" s="159">
        <v>27452</v>
      </c>
      <c r="BE26" s="43">
        <v>20615</v>
      </c>
      <c r="BF26" s="43">
        <v>16863</v>
      </c>
      <c r="BG26" s="43">
        <v>17310</v>
      </c>
      <c r="BH26" s="701"/>
      <c r="BJ26" s="1455"/>
    </row>
    <row r="27" spans="1:63" s="103" customFormat="1" x14ac:dyDescent="0.2">
      <c r="A27" s="8"/>
      <c r="B27" s="7" t="s">
        <v>71</v>
      </c>
      <c r="C27" s="686">
        <v>1378</v>
      </c>
      <c r="D27" s="742">
        <v>0.14960373466507437</v>
      </c>
      <c r="E27" s="1415"/>
      <c r="F27" s="748">
        <v>10589</v>
      </c>
      <c r="G27" s="748">
        <v>9579</v>
      </c>
      <c r="H27" s="748">
        <v>10080</v>
      </c>
      <c r="I27" s="213">
        <v>10033</v>
      </c>
      <c r="J27" s="748">
        <v>9211</v>
      </c>
      <c r="K27" s="748">
        <v>10092</v>
      </c>
      <c r="L27" s="748">
        <v>9823</v>
      </c>
      <c r="M27" s="213">
        <v>9335</v>
      </c>
      <c r="N27" s="748">
        <v>9924</v>
      </c>
      <c r="O27" s="748">
        <v>9504</v>
      </c>
      <c r="P27" s="748">
        <v>10842</v>
      </c>
      <c r="Q27" s="213">
        <v>10854</v>
      </c>
      <c r="R27" s="398">
        <v>7354</v>
      </c>
      <c r="S27" s="398">
        <v>6633</v>
      </c>
      <c r="T27" s="398">
        <v>6727</v>
      </c>
      <c r="U27" s="213">
        <v>6832</v>
      </c>
      <c r="V27" s="398">
        <v>7403</v>
      </c>
      <c r="W27" s="398">
        <v>7077</v>
      </c>
      <c r="X27" s="398">
        <v>6640</v>
      </c>
      <c r="Y27" s="213">
        <v>6038</v>
      </c>
      <c r="Z27" s="398">
        <v>6188</v>
      </c>
      <c r="AA27" s="398">
        <v>6228</v>
      </c>
      <c r="AB27" s="398">
        <v>6104</v>
      </c>
      <c r="AC27" s="213">
        <v>5882</v>
      </c>
      <c r="AD27" s="398">
        <v>6404</v>
      </c>
      <c r="AE27" s="398">
        <v>6549</v>
      </c>
      <c r="AF27" s="398">
        <v>5957</v>
      </c>
      <c r="AG27" s="213">
        <v>5785</v>
      </c>
      <c r="AH27" s="618">
        <v>5970</v>
      </c>
      <c r="AI27" s="618">
        <v>5781</v>
      </c>
      <c r="AJ27" s="618">
        <v>5735</v>
      </c>
      <c r="AK27" s="321">
        <v>5259</v>
      </c>
      <c r="AL27" s="84">
        <v>7612</v>
      </c>
      <c r="AM27" s="321">
        <v>5810</v>
      </c>
      <c r="AN27" s="321">
        <v>5814</v>
      </c>
      <c r="AO27" s="321">
        <v>5937</v>
      </c>
      <c r="AP27" s="85"/>
      <c r="AQ27" s="738">
        <v>29692</v>
      </c>
      <c r="AR27" s="738">
        <v>29250</v>
      </c>
      <c r="AS27" s="151">
        <v>1820</v>
      </c>
      <c r="AT27" s="742">
        <v>4.7320662489274849E-2</v>
      </c>
      <c r="AU27" s="142"/>
      <c r="AV27" s="58">
        <v>40281</v>
      </c>
      <c r="AW27" s="728">
        <v>38461</v>
      </c>
      <c r="AX27" s="728">
        <v>41124</v>
      </c>
      <c r="AY27" s="159">
        <v>27546</v>
      </c>
      <c r="AZ27" s="159">
        <v>27158</v>
      </c>
      <c r="BA27" s="159">
        <v>24402</v>
      </c>
      <c r="BB27" s="159">
        <v>24695</v>
      </c>
      <c r="BC27" s="159">
        <v>22745</v>
      </c>
      <c r="BD27" s="159">
        <v>25173</v>
      </c>
      <c r="BE27" s="43">
        <v>15843</v>
      </c>
      <c r="BF27" s="43">
        <v>11849</v>
      </c>
      <c r="BG27" s="43">
        <v>13017</v>
      </c>
      <c r="BH27" s="701"/>
      <c r="BJ27" s="1455"/>
    </row>
    <row r="28" spans="1:63" s="103" customFormat="1" x14ac:dyDescent="0.2">
      <c r="A28" s="8"/>
      <c r="B28" s="9" t="s">
        <v>72</v>
      </c>
      <c r="C28" s="686">
        <v>2553</v>
      </c>
      <c r="D28" s="742">
        <v>0.21653944020356233</v>
      </c>
      <c r="E28" s="520"/>
      <c r="F28" s="748">
        <v>14343</v>
      </c>
      <c r="G28" s="748">
        <v>12997</v>
      </c>
      <c r="H28" s="748">
        <v>12901</v>
      </c>
      <c r="I28" s="213">
        <v>11517</v>
      </c>
      <c r="J28" s="748">
        <v>11790</v>
      </c>
      <c r="K28" s="748">
        <v>12345</v>
      </c>
      <c r="L28" s="748">
        <v>11406</v>
      </c>
      <c r="M28" s="213">
        <v>10524</v>
      </c>
      <c r="N28" s="748">
        <v>11390</v>
      </c>
      <c r="O28" s="748">
        <v>12140</v>
      </c>
      <c r="P28" s="748">
        <v>11280</v>
      </c>
      <c r="Q28" s="213">
        <v>14305</v>
      </c>
      <c r="R28" s="398">
        <v>8458</v>
      </c>
      <c r="S28" s="398">
        <v>6744</v>
      </c>
      <c r="T28" s="398">
        <v>6752</v>
      </c>
      <c r="U28" s="213">
        <v>6389</v>
      </c>
      <c r="V28" s="398">
        <v>6307</v>
      </c>
      <c r="W28" s="398">
        <v>6111</v>
      </c>
      <c r="X28" s="398">
        <v>6779</v>
      </c>
      <c r="Y28" s="213">
        <v>6269</v>
      </c>
      <c r="Z28" s="398">
        <v>5296</v>
      </c>
      <c r="AA28" s="398">
        <v>5838</v>
      </c>
      <c r="AB28" s="398">
        <v>5245</v>
      </c>
      <c r="AC28" s="213">
        <v>5489</v>
      </c>
      <c r="AD28" s="398">
        <v>6249</v>
      </c>
      <c r="AE28" s="398">
        <v>6277</v>
      </c>
      <c r="AF28" s="398">
        <v>6539</v>
      </c>
      <c r="AG28" s="213">
        <v>6163</v>
      </c>
      <c r="AH28" s="618">
        <v>6065</v>
      </c>
      <c r="AI28" s="618">
        <v>5611</v>
      </c>
      <c r="AJ28" s="618">
        <v>5813</v>
      </c>
      <c r="AK28" s="321">
        <v>5739</v>
      </c>
      <c r="AL28" s="84">
        <v>5670</v>
      </c>
      <c r="AM28" s="321">
        <v>5352</v>
      </c>
      <c r="AN28" s="321">
        <v>5387</v>
      </c>
      <c r="AO28" s="321">
        <v>5063</v>
      </c>
      <c r="AP28" s="85"/>
      <c r="AQ28" s="738">
        <v>37415</v>
      </c>
      <c r="AR28" s="738">
        <v>34275</v>
      </c>
      <c r="AS28" s="151">
        <v>5693</v>
      </c>
      <c r="AT28" s="742">
        <v>0.12358623683924888</v>
      </c>
      <c r="AU28" s="142"/>
      <c r="AV28" s="58">
        <v>51758</v>
      </c>
      <c r="AW28" s="728">
        <v>46065</v>
      </c>
      <c r="AX28" s="728">
        <v>49115</v>
      </c>
      <c r="AY28" s="159">
        <v>28343</v>
      </c>
      <c r="AZ28" s="159">
        <v>25466</v>
      </c>
      <c r="BA28" s="159">
        <v>21868</v>
      </c>
      <c r="BB28" s="159">
        <v>25228</v>
      </c>
      <c r="BC28" s="159">
        <v>23228</v>
      </c>
      <c r="BD28" s="159">
        <v>21472</v>
      </c>
      <c r="BE28" s="43">
        <v>16598</v>
      </c>
      <c r="BF28" s="43">
        <v>14037</v>
      </c>
      <c r="BG28" s="43">
        <v>12290</v>
      </c>
      <c r="BH28" s="701"/>
      <c r="BJ28" s="1455"/>
    </row>
    <row r="29" spans="1:63" s="103" customFormat="1" x14ac:dyDescent="0.2">
      <c r="A29" s="8"/>
      <c r="B29" s="7" t="s">
        <v>67</v>
      </c>
      <c r="C29" s="686">
        <v>-877</v>
      </c>
      <c r="D29" s="742">
        <v>-0.23213340391741663</v>
      </c>
      <c r="E29" s="520"/>
      <c r="F29" s="748">
        <v>2901</v>
      </c>
      <c r="G29" s="748">
        <v>3291</v>
      </c>
      <c r="H29" s="748">
        <v>2977</v>
      </c>
      <c r="I29" s="213">
        <v>4255</v>
      </c>
      <c r="J29" s="748">
        <v>3778</v>
      </c>
      <c r="K29" s="748">
        <v>3875</v>
      </c>
      <c r="L29" s="748">
        <v>4063</v>
      </c>
      <c r="M29" s="213">
        <v>4643</v>
      </c>
      <c r="N29" s="748">
        <v>3479</v>
      </c>
      <c r="O29" s="748">
        <v>3981</v>
      </c>
      <c r="P29" s="748">
        <v>3291</v>
      </c>
      <c r="Q29" s="213">
        <v>4551</v>
      </c>
      <c r="R29" s="398">
        <v>3080</v>
      </c>
      <c r="S29" s="398">
        <v>2361</v>
      </c>
      <c r="T29" s="398">
        <v>1967</v>
      </c>
      <c r="U29" s="213">
        <v>2408</v>
      </c>
      <c r="V29" s="398">
        <v>2485</v>
      </c>
      <c r="W29" s="398">
        <v>3037</v>
      </c>
      <c r="X29" s="398">
        <v>1673</v>
      </c>
      <c r="Y29" s="213">
        <v>616</v>
      </c>
      <c r="Z29" s="398">
        <v>613</v>
      </c>
      <c r="AA29" s="398">
        <v>631</v>
      </c>
      <c r="AB29" s="398">
        <v>492</v>
      </c>
      <c r="AC29" s="213">
        <v>845</v>
      </c>
      <c r="AD29" s="398">
        <v>1339</v>
      </c>
      <c r="AE29" s="398">
        <v>2568</v>
      </c>
      <c r="AF29" s="398">
        <v>3354</v>
      </c>
      <c r="AG29" s="213">
        <v>3959</v>
      </c>
      <c r="AH29" s="618">
        <v>5372</v>
      </c>
      <c r="AI29" s="618">
        <v>6574</v>
      </c>
      <c r="AJ29" s="618">
        <v>6413</v>
      </c>
      <c r="AK29" s="321">
        <v>6168</v>
      </c>
      <c r="AL29" s="84">
        <v>5228</v>
      </c>
      <c r="AM29" s="321">
        <v>4926</v>
      </c>
      <c r="AN29" s="321">
        <v>5402</v>
      </c>
      <c r="AO29" s="321">
        <v>4982</v>
      </c>
      <c r="AP29" s="85"/>
      <c r="AQ29" s="738">
        <v>10523</v>
      </c>
      <c r="AR29" s="738">
        <v>12581</v>
      </c>
      <c r="AS29" s="151">
        <v>-2935</v>
      </c>
      <c r="AT29" s="742">
        <v>-0.17941194449538481</v>
      </c>
      <c r="AU29" s="142"/>
      <c r="AV29" s="58">
        <v>13424</v>
      </c>
      <c r="AW29" s="728">
        <v>16359</v>
      </c>
      <c r="AX29" s="728">
        <v>15302</v>
      </c>
      <c r="AY29" s="159">
        <v>9816</v>
      </c>
      <c r="AZ29" s="159">
        <v>7811</v>
      </c>
      <c r="BA29" s="159">
        <v>2581</v>
      </c>
      <c r="BB29" s="159">
        <v>11220</v>
      </c>
      <c r="BC29" s="159">
        <v>24527</v>
      </c>
      <c r="BD29" s="159">
        <v>20538</v>
      </c>
      <c r="BE29" s="43">
        <v>10914</v>
      </c>
      <c r="BF29" s="43">
        <v>7824</v>
      </c>
      <c r="BG29" s="43">
        <v>3994</v>
      </c>
      <c r="BH29" s="701"/>
      <c r="BJ29" s="1455"/>
    </row>
    <row r="30" spans="1:63" s="103" customFormat="1" x14ac:dyDescent="0.2">
      <c r="A30" s="8"/>
      <c r="B30" s="7" t="s">
        <v>73</v>
      </c>
      <c r="C30" s="686">
        <v>1571</v>
      </c>
      <c r="D30" s="742">
        <v>7.6656582414365182E-2</v>
      </c>
      <c r="E30" s="520"/>
      <c r="F30" s="748">
        <v>22065</v>
      </c>
      <c r="G30" s="748">
        <v>26718</v>
      </c>
      <c r="H30" s="748">
        <v>21836</v>
      </c>
      <c r="I30" s="213">
        <v>24069</v>
      </c>
      <c r="J30" s="748">
        <v>20494</v>
      </c>
      <c r="K30" s="748">
        <v>22077</v>
      </c>
      <c r="L30" s="748">
        <v>20440</v>
      </c>
      <c r="M30" s="213">
        <v>20823</v>
      </c>
      <c r="N30" s="748">
        <v>20722</v>
      </c>
      <c r="O30" s="748">
        <v>23809</v>
      </c>
      <c r="P30" s="748">
        <v>20957</v>
      </c>
      <c r="Q30" s="213">
        <v>24016</v>
      </c>
      <c r="R30" s="398">
        <v>20795</v>
      </c>
      <c r="S30" s="398">
        <v>16191</v>
      </c>
      <c r="T30" s="398">
        <v>16263</v>
      </c>
      <c r="U30" s="213">
        <v>16274</v>
      </c>
      <c r="V30" s="398">
        <v>19052</v>
      </c>
      <c r="W30" s="398">
        <v>17049</v>
      </c>
      <c r="X30" s="398">
        <v>15990</v>
      </c>
      <c r="Y30" s="213">
        <v>15791</v>
      </c>
      <c r="Z30" s="398">
        <v>14958</v>
      </c>
      <c r="AA30" s="398">
        <v>13609</v>
      </c>
      <c r="AB30" s="398">
        <v>11698</v>
      </c>
      <c r="AC30" s="213">
        <v>11888</v>
      </c>
      <c r="AD30" s="398">
        <v>10974</v>
      </c>
      <c r="AE30" s="398">
        <v>19827</v>
      </c>
      <c r="AF30" s="398">
        <v>19611</v>
      </c>
      <c r="AG30" s="213">
        <v>19277</v>
      </c>
      <c r="AH30" s="618">
        <v>18047</v>
      </c>
      <c r="AI30" s="618">
        <v>17390</v>
      </c>
      <c r="AJ30" s="618">
        <v>15755</v>
      </c>
      <c r="AK30" s="321">
        <v>18271</v>
      </c>
      <c r="AL30" s="84">
        <v>16375</v>
      </c>
      <c r="AM30" s="321">
        <v>14413</v>
      </c>
      <c r="AN30" s="321">
        <v>14287</v>
      </c>
      <c r="AO30" s="321">
        <v>19107</v>
      </c>
      <c r="AP30" s="85"/>
      <c r="AQ30" s="738">
        <v>72623</v>
      </c>
      <c r="AR30" s="738">
        <v>63340</v>
      </c>
      <c r="AS30" s="151">
        <v>10854</v>
      </c>
      <c r="AT30" s="742">
        <v>0.12947014337858148</v>
      </c>
      <c r="AU30" s="142"/>
      <c r="AV30" s="58">
        <v>94688</v>
      </c>
      <c r="AW30" s="728">
        <v>83834</v>
      </c>
      <c r="AX30" s="728">
        <v>89504</v>
      </c>
      <c r="AY30" s="159">
        <v>69523</v>
      </c>
      <c r="AZ30" s="159">
        <v>67882</v>
      </c>
      <c r="BA30" s="159">
        <v>52153</v>
      </c>
      <c r="BB30" s="159">
        <v>69689</v>
      </c>
      <c r="BC30" s="159">
        <v>69463</v>
      </c>
      <c r="BD30" s="159">
        <v>64182</v>
      </c>
      <c r="BE30" s="43">
        <v>46227</v>
      </c>
      <c r="BF30" s="43">
        <v>32171</v>
      </c>
      <c r="BG30" s="43">
        <v>25189</v>
      </c>
      <c r="BH30" s="701"/>
      <c r="BJ30" s="1455"/>
    </row>
    <row r="31" spans="1:63" s="103" customFormat="1" x14ac:dyDescent="0.2">
      <c r="A31" s="8"/>
      <c r="B31" s="7" t="s">
        <v>74</v>
      </c>
      <c r="C31" s="686">
        <v>-461</v>
      </c>
      <c r="D31" s="742">
        <v>-6.1837692823608313E-2</v>
      </c>
      <c r="E31" s="520"/>
      <c r="F31" s="748">
        <v>6994</v>
      </c>
      <c r="G31" s="748">
        <v>6587</v>
      </c>
      <c r="H31" s="748">
        <v>7475</v>
      </c>
      <c r="I31" s="213">
        <v>7372</v>
      </c>
      <c r="J31" s="748">
        <v>7455</v>
      </c>
      <c r="K31" s="748">
        <v>6750</v>
      </c>
      <c r="L31" s="748">
        <v>6020</v>
      </c>
      <c r="M31" s="213">
        <v>6561</v>
      </c>
      <c r="N31" s="748">
        <v>9490</v>
      </c>
      <c r="O31" s="748">
        <v>8398</v>
      </c>
      <c r="P31" s="748">
        <v>7755</v>
      </c>
      <c r="Q31" s="213">
        <v>8136</v>
      </c>
      <c r="R31" s="398">
        <v>4350</v>
      </c>
      <c r="S31" s="398">
        <v>3906</v>
      </c>
      <c r="T31" s="398">
        <v>2947</v>
      </c>
      <c r="U31" s="213">
        <v>2905</v>
      </c>
      <c r="V31" s="398">
        <v>2966</v>
      </c>
      <c r="W31" s="398">
        <v>2786</v>
      </c>
      <c r="X31" s="398">
        <v>3706</v>
      </c>
      <c r="Y31" s="213">
        <v>3284</v>
      </c>
      <c r="Z31" s="398">
        <v>1878</v>
      </c>
      <c r="AA31" s="398">
        <v>1904</v>
      </c>
      <c r="AB31" s="398">
        <v>1906</v>
      </c>
      <c r="AC31" s="213">
        <v>1921</v>
      </c>
      <c r="AD31" s="398">
        <v>2129</v>
      </c>
      <c r="AE31" s="398">
        <v>2751</v>
      </c>
      <c r="AF31" s="398">
        <v>2072</v>
      </c>
      <c r="AG31" s="213">
        <v>2042</v>
      </c>
      <c r="AH31" s="618">
        <v>2216</v>
      </c>
      <c r="AI31" s="618">
        <v>2197</v>
      </c>
      <c r="AJ31" s="618">
        <v>2146</v>
      </c>
      <c r="AK31" s="321">
        <v>1977</v>
      </c>
      <c r="AL31" s="84">
        <v>1999</v>
      </c>
      <c r="AM31" s="321">
        <v>1797</v>
      </c>
      <c r="AN31" s="321">
        <v>2366</v>
      </c>
      <c r="AO31" s="321">
        <v>1989</v>
      </c>
      <c r="AP31" s="85"/>
      <c r="AQ31" s="738">
        <v>21434</v>
      </c>
      <c r="AR31" s="738">
        <v>19331</v>
      </c>
      <c r="AS31" s="151">
        <v>1642</v>
      </c>
      <c r="AT31" s="742">
        <v>6.1300679459419097E-2</v>
      </c>
      <c r="AU31" s="142"/>
      <c r="AV31" s="58">
        <v>28428</v>
      </c>
      <c r="AW31" s="728">
        <v>26786</v>
      </c>
      <c r="AX31" s="728">
        <v>33779</v>
      </c>
      <c r="AY31" s="159">
        <v>14108</v>
      </c>
      <c r="AZ31" s="159">
        <v>12742</v>
      </c>
      <c r="BA31" s="159">
        <v>7609</v>
      </c>
      <c r="BB31" s="159">
        <v>8994</v>
      </c>
      <c r="BC31" s="159">
        <v>8536</v>
      </c>
      <c r="BD31" s="159">
        <v>8151</v>
      </c>
      <c r="BE31" s="43">
        <v>4817</v>
      </c>
      <c r="BF31" s="43">
        <v>3185</v>
      </c>
      <c r="BG31" s="43">
        <v>3565</v>
      </c>
      <c r="BH31" s="701"/>
      <c r="BJ31" s="1455"/>
    </row>
    <row r="32" spans="1:63" x14ac:dyDescent="0.2">
      <c r="A32" s="7"/>
      <c r="B32" s="7" t="s">
        <v>75</v>
      </c>
      <c r="C32" s="38">
        <v>3943</v>
      </c>
      <c r="D32" s="742">
        <v>0.77847976307996047</v>
      </c>
      <c r="E32" s="520"/>
      <c r="F32" s="748">
        <v>9008</v>
      </c>
      <c r="G32" s="748">
        <v>6680</v>
      </c>
      <c r="H32" s="748">
        <v>3625</v>
      </c>
      <c r="I32" s="213">
        <v>5135</v>
      </c>
      <c r="J32" s="748">
        <v>5065</v>
      </c>
      <c r="K32" s="748">
        <v>3803</v>
      </c>
      <c r="L32" s="748">
        <v>7671</v>
      </c>
      <c r="M32" s="213">
        <v>4830</v>
      </c>
      <c r="N32" s="748">
        <v>3715</v>
      </c>
      <c r="O32" s="748">
        <v>6671</v>
      </c>
      <c r="P32" s="748">
        <v>4515</v>
      </c>
      <c r="Q32" s="213">
        <v>4625</v>
      </c>
      <c r="R32" s="398">
        <v>4867</v>
      </c>
      <c r="S32" s="398">
        <v>5755</v>
      </c>
      <c r="T32" s="398">
        <v>5041</v>
      </c>
      <c r="U32" s="213">
        <v>5530</v>
      </c>
      <c r="V32" s="398">
        <v>5516</v>
      </c>
      <c r="W32" s="398">
        <v>5792</v>
      </c>
      <c r="X32" s="398">
        <v>5787</v>
      </c>
      <c r="Y32" s="213">
        <v>5292</v>
      </c>
      <c r="Z32" s="398">
        <v>6839</v>
      </c>
      <c r="AA32" s="398">
        <v>6720</v>
      </c>
      <c r="AB32" s="398">
        <v>5487</v>
      </c>
      <c r="AC32" s="213">
        <v>5854</v>
      </c>
      <c r="AD32" s="398">
        <v>7190</v>
      </c>
      <c r="AE32" s="398">
        <v>7738</v>
      </c>
      <c r="AF32" s="398">
        <v>6383</v>
      </c>
      <c r="AG32" s="213">
        <v>7462</v>
      </c>
      <c r="AH32" s="165">
        <v>9936</v>
      </c>
      <c r="AI32" s="165">
        <v>6774</v>
      </c>
      <c r="AJ32" s="165">
        <v>8166</v>
      </c>
      <c r="AK32" s="166">
        <v>7173</v>
      </c>
      <c r="AL32" s="175">
        <v>6341</v>
      </c>
      <c r="AM32" s="166">
        <v>5247</v>
      </c>
      <c r="AN32" s="166">
        <v>5789</v>
      </c>
      <c r="AO32" s="166">
        <v>3867</v>
      </c>
      <c r="AP32" s="88"/>
      <c r="AQ32" s="738">
        <v>15440</v>
      </c>
      <c r="AR32" s="738">
        <v>16304</v>
      </c>
      <c r="AS32" s="210">
        <v>3079</v>
      </c>
      <c r="AT32" s="742">
        <v>0.14408722916374186</v>
      </c>
      <c r="AU32" s="82"/>
      <c r="AV32" s="58">
        <v>24448</v>
      </c>
      <c r="AW32" s="728">
        <v>21369</v>
      </c>
      <c r="AX32" s="728">
        <v>19526</v>
      </c>
      <c r="AY32" s="159">
        <v>21193</v>
      </c>
      <c r="AZ32" s="159">
        <v>22387</v>
      </c>
      <c r="BA32" s="159">
        <v>24900</v>
      </c>
      <c r="BB32" s="159">
        <v>28773</v>
      </c>
      <c r="BC32" s="159">
        <v>32049</v>
      </c>
      <c r="BD32" s="159">
        <v>21244</v>
      </c>
      <c r="BE32" s="43">
        <v>9797</v>
      </c>
      <c r="BF32" s="43">
        <v>7924</v>
      </c>
      <c r="BG32" s="43">
        <v>8240</v>
      </c>
      <c r="BH32" s="25"/>
      <c r="BI32" s="323"/>
      <c r="BJ32" s="104"/>
      <c r="BK32" s="323"/>
    </row>
    <row r="33" spans="1:62" x14ac:dyDescent="0.2">
      <c r="A33" s="8"/>
      <c r="B33" s="7" t="s">
        <v>169</v>
      </c>
      <c r="C33" s="38">
        <v>22430</v>
      </c>
      <c r="D33" s="742" t="s">
        <v>42</v>
      </c>
      <c r="E33" s="520"/>
      <c r="F33" s="151">
        <v>22430</v>
      </c>
      <c r="G33" s="730">
        <v>0</v>
      </c>
      <c r="H33" s="730">
        <v>0</v>
      </c>
      <c r="I33" s="166">
        <v>2383</v>
      </c>
      <c r="J33" s="151">
        <v>0</v>
      </c>
      <c r="K33" s="730">
        <v>0</v>
      </c>
      <c r="L33" s="730">
        <v>5486</v>
      </c>
      <c r="M33" s="166">
        <v>0</v>
      </c>
      <c r="N33" s="730">
        <v>6445</v>
      </c>
      <c r="O33" s="730">
        <v>6310</v>
      </c>
      <c r="P33" s="730">
        <v>18862</v>
      </c>
      <c r="Q33" s="166">
        <v>0</v>
      </c>
      <c r="R33" s="210">
        <v>28961</v>
      </c>
      <c r="S33" s="210">
        <v>6292</v>
      </c>
      <c r="T33" s="210">
        <v>0</v>
      </c>
      <c r="U33" s="166">
        <v>0</v>
      </c>
      <c r="V33" s="210">
        <v>0</v>
      </c>
      <c r="W33" s="210">
        <v>0</v>
      </c>
      <c r="X33" s="210">
        <v>0</v>
      </c>
      <c r="Y33" s="166">
        <v>0</v>
      </c>
      <c r="Z33" s="210">
        <v>0</v>
      </c>
      <c r="AA33" s="210">
        <v>0</v>
      </c>
      <c r="AB33" s="210">
        <v>0</v>
      </c>
      <c r="AC33" s="166">
        <v>0</v>
      </c>
      <c r="AD33" s="398">
        <v>142</v>
      </c>
      <c r="AE33" s="398">
        <v>7520</v>
      </c>
      <c r="AF33" s="210">
        <v>0</v>
      </c>
      <c r="AG33" s="166">
        <v>0</v>
      </c>
      <c r="AH33" s="165">
        <v>4000</v>
      </c>
      <c r="AI33" s="165">
        <v>0</v>
      </c>
      <c r="AJ33" s="165">
        <v>0</v>
      </c>
      <c r="AK33" s="166">
        <v>0</v>
      </c>
      <c r="AL33" s="175">
        <v>0</v>
      </c>
      <c r="AM33" s="166">
        <v>0</v>
      </c>
      <c r="AN33" s="166"/>
      <c r="AO33" s="166"/>
      <c r="AP33" s="88"/>
      <c r="AQ33" s="730">
        <v>2383</v>
      </c>
      <c r="AR33" s="730">
        <v>5486</v>
      </c>
      <c r="AS33" s="210">
        <v>19327</v>
      </c>
      <c r="AT33" s="742" t="s">
        <v>42</v>
      </c>
      <c r="AU33" s="82"/>
      <c r="AV33" s="58">
        <v>24813</v>
      </c>
      <c r="AW33" s="728">
        <v>5486</v>
      </c>
      <c r="AX33" s="728">
        <v>31617</v>
      </c>
      <c r="AY33" s="159">
        <v>35253</v>
      </c>
      <c r="AZ33" s="175">
        <v>0</v>
      </c>
      <c r="BA33" s="175">
        <v>0</v>
      </c>
      <c r="BB33" s="175">
        <v>7662</v>
      </c>
      <c r="BC33" s="175">
        <v>4000</v>
      </c>
      <c r="BD33" s="175">
        <v>0</v>
      </c>
      <c r="BE33" s="43">
        <v>0</v>
      </c>
      <c r="BF33" s="43">
        <v>0</v>
      </c>
      <c r="BG33" s="43">
        <v>0</v>
      </c>
      <c r="BH33" s="25"/>
      <c r="BJ33" s="104"/>
    </row>
    <row r="34" spans="1:62" x14ac:dyDescent="0.2">
      <c r="A34" s="7"/>
      <c r="B34" s="7" t="s">
        <v>190</v>
      </c>
      <c r="C34" s="38">
        <v>0</v>
      </c>
      <c r="D34" s="742">
        <v>0</v>
      </c>
      <c r="E34" s="520"/>
      <c r="F34" s="151">
        <v>0</v>
      </c>
      <c r="G34" s="730">
        <v>0</v>
      </c>
      <c r="H34" s="730">
        <v>0</v>
      </c>
      <c r="I34" s="166"/>
      <c r="J34" s="151">
        <v>0</v>
      </c>
      <c r="K34" s="730">
        <v>0</v>
      </c>
      <c r="L34" s="730">
        <v>0</v>
      </c>
      <c r="M34" s="166">
        <v>0</v>
      </c>
      <c r="N34" s="730">
        <v>0</v>
      </c>
      <c r="O34" s="730">
        <v>431</v>
      </c>
      <c r="P34" s="730">
        <v>1288</v>
      </c>
      <c r="Q34" s="166">
        <v>0</v>
      </c>
      <c r="R34" s="210">
        <v>10400</v>
      </c>
      <c r="S34" s="210">
        <v>2700</v>
      </c>
      <c r="T34" s="210">
        <v>2956</v>
      </c>
      <c r="U34" s="166">
        <v>0</v>
      </c>
      <c r="V34" s="210">
        <v>0</v>
      </c>
      <c r="W34" s="210">
        <v>1750</v>
      </c>
      <c r="X34" s="210">
        <v>0</v>
      </c>
      <c r="Y34" s="166">
        <v>10990</v>
      </c>
      <c r="Z34" s="210">
        <v>5000</v>
      </c>
      <c r="AA34" s="210">
        <v>0</v>
      </c>
      <c r="AB34" s="210">
        <v>0</v>
      </c>
      <c r="AC34" s="166">
        <v>0</v>
      </c>
      <c r="AD34" s="210">
        <v>0</v>
      </c>
      <c r="AE34" s="210">
        <v>0</v>
      </c>
      <c r="AF34" s="210">
        <v>0</v>
      </c>
      <c r="AG34" s="166">
        <v>0</v>
      </c>
      <c r="AH34" s="165">
        <v>0</v>
      </c>
      <c r="AI34" s="165"/>
      <c r="AJ34" s="165"/>
      <c r="AK34" s="166"/>
      <c r="AL34" s="175"/>
      <c r="AM34" s="166"/>
      <c r="AN34" s="166"/>
      <c r="AO34" s="166"/>
      <c r="AP34" s="88"/>
      <c r="AQ34" s="730">
        <v>0</v>
      </c>
      <c r="AR34" s="730">
        <v>0</v>
      </c>
      <c r="AS34" s="210">
        <v>0</v>
      </c>
      <c r="AT34" s="742">
        <v>0</v>
      </c>
      <c r="AU34" s="82"/>
      <c r="AV34" s="681">
        <v>0</v>
      </c>
      <c r="AW34" s="681">
        <v>0</v>
      </c>
      <c r="AX34" s="728">
        <v>1719</v>
      </c>
      <c r="AY34" s="159">
        <v>16056</v>
      </c>
      <c r="AZ34" s="159">
        <v>12740</v>
      </c>
      <c r="BA34" s="175">
        <v>5000</v>
      </c>
      <c r="BB34" s="175">
        <v>0</v>
      </c>
      <c r="BC34" s="173">
        <v>0</v>
      </c>
      <c r="BD34" s="175">
        <v>0</v>
      </c>
      <c r="BE34" s="43">
        <v>0</v>
      </c>
      <c r="BF34" s="43"/>
      <c r="BG34" s="43"/>
      <c r="BH34" s="25"/>
    </row>
    <row r="35" spans="1:62" ht="17.25" hidden="1" x14ac:dyDescent="0.2">
      <c r="A35" s="7"/>
      <c r="B35" s="7" t="s">
        <v>76</v>
      </c>
      <c r="C35" s="38"/>
      <c r="D35" s="742"/>
      <c r="E35" s="520"/>
      <c r="F35" s="151"/>
      <c r="G35" s="730"/>
      <c r="H35" s="730"/>
      <c r="I35" s="166"/>
      <c r="J35" s="151"/>
      <c r="K35" s="730"/>
      <c r="L35" s="730"/>
      <c r="M35" s="166"/>
      <c r="N35" s="730"/>
      <c r="O35" s="730"/>
      <c r="P35" s="730"/>
      <c r="Q35" s="166"/>
      <c r="R35" s="210"/>
      <c r="S35" s="210">
        <v>0</v>
      </c>
      <c r="T35" s="210">
        <v>0</v>
      </c>
      <c r="U35" s="166">
        <v>0</v>
      </c>
      <c r="V35" s="210">
        <v>0</v>
      </c>
      <c r="W35" s="210">
        <v>0</v>
      </c>
      <c r="X35" s="210">
        <v>0</v>
      </c>
      <c r="Y35" s="166">
        <v>0</v>
      </c>
      <c r="Z35" s="210">
        <v>0</v>
      </c>
      <c r="AA35" s="210">
        <v>0</v>
      </c>
      <c r="AB35" s="210">
        <v>0</v>
      </c>
      <c r="AC35" s="166">
        <v>0</v>
      </c>
      <c r="AD35" s="210">
        <v>0</v>
      </c>
      <c r="AE35" s="210">
        <v>6700</v>
      </c>
      <c r="AF35" s="210">
        <v>0</v>
      </c>
      <c r="AG35" s="166">
        <v>0</v>
      </c>
      <c r="AH35" s="165">
        <v>4172</v>
      </c>
      <c r="AI35" s="165">
        <v>4226</v>
      </c>
      <c r="AJ35" s="165">
        <v>4399</v>
      </c>
      <c r="AK35" s="166">
        <v>0</v>
      </c>
      <c r="AL35" s="175">
        <v>0</v>
      </c>
      <c r="AM35" s="166">
        <v>0</v>
      </c>
      <c r="AN35" s="166">
        <v>0</v>
      </c>
      <c r="AO35" s="166">
        <v>0</v>
      </c>
      <c r="AP35" s="88"/>
      <c r="AQ35" s="730">
        <v>0</v>
      </c>
      <c r="AR35" s="730">
        <v>0</v>
      </c>
      <c r="AS35" s="210"/>
      <c r="AT35" s="166"/>
      <c r="AU35" s="82"/>
      <c r="AV35" s="681"/>
      <c r="AW35" s="681"/>
      <c r="AX35" s="681"/>
      <c r="AY35" s="681"/>
      <c r="AZ35" s="175"/>
      <c r="BA35" s="175"/>
      <c r="BB35" s="175">
        <v>6700</v>
      </c>
      <c r="BC35" s="174">
        <v>12797</v>
      </c>
      <c r="BD35" s="175">
        <v>0</v>
      </c>
      <c r="BE35" s="43">
        <v>0</v>
      </c>
      <c r="BF35" s="43">
        <v>0</v>
      </c>
      <c r="BG35" s="43">
        <v>0</v>
      </c>
      <c r="BH35" s="25"/>
    </row>
    <row r="36" spans="1:62" hidden="1" x14ac:dyDescent="0.2">
      <c r="A36" s="7"/>
      <c r="B36" s="7" t="s">
        <v>168</v>
      </c>
      <c r="C36" s="38"/>
      <c r="D36" s="742"/>
      <c r="E36" s="520"/>
      <c r="F36" s="151"/>
      <c r="G36" s="730"/>
      <c r="H36" s="730"/>
      <c r="I36" s="166"/>
      <c r="J36" s="151"/>
      <c r="K36" s="730"/>
      <c r="L36" s="730"/>
      <c r="M36" s="166"/>
      <c r="N36" s="730"/>
      <c r="O36" s="730"/>
      <c r="P36" s="730"/>
      <c r="Q36" s="166"/>
      <c r="R36" s="210"/>
      <c r="S36" s="210">
        <v>0</v>
      </c>
      <c r="T36" s="210">
        <v>0</v>
      </c>
      <c r="U36" s="166">
        <v>0</v>
      </c>
      <c r="V36" s="210">
        <v>0</v>
      </c>
      <c r="W36" s="210">
        <v>0</v>
      </c>
      <c r="X36" s="210">
        <v>0</v>
      </c>
      <c r="Y36" s="166">
        <v>0</v>
      </c>
      <c r="Z36" s="210">
        <v>0</v>
      </c>
      <c r="AA36" s="210">
        <v>0</v>
      </c>
      <c r="AB36" s="210">
        <v>0</v>
      </c>
      <c r="AC36" s="166">
        <v>0</v>
      </c>
      <c r="AD36" s="210">
        <v>0</v>
      </c>
      <c r="AE36" s="210">
        <v>5347</v>
      </c>
      <c r="AF36" s="210">
        <v>0</v>
      </c>
      <c r="AG36" s="166">
        <v>0</v>
      </c>
      <c r="AH36" s="165">
        <v>54200</v>
      </c>
      <c r="AI36" s="165">
        <v>0</v>
      </c>
      <c r="AJ36" s="165">
        <v>0</v>
      </c>
      <c r="AK36" s="166">
        <v>0</v>
      </c>
      <c r="AL36" s="175">
        <v>0</v>
      </c>
      <c r="AM36" s="166">
        <v>0</v>
      </c>
      <c r="AN36" s="166">
        <v>0</v>
      </c>
      <c r="AO36" s="166">
        <v>0</v>
      </c>
      <c r="AP36" s="88"/>
      <c r="AQ36" s="730">
        <v>0</v>
      </c>
      <c r="AR36" s="730">
        <v>0</v>
      </c>
      <c r="AS36" s="210"/>
      <c r="AT36" s="166"/>
      <c r="AU36" s="82"/>
      <c r="AV36" s="681"/>
      <c r="AW36" s="681"/>
      <c r="AX36" s="681"/>
      <c r="AY36" s="681"/>
      <c r="AZ36" s="175"/>
      <c r="BA36" s="175"/>
      <c r="BB36" s="175">
        <v>5347</v>
      </c>
      <c r="BC36" s="174">
        <v>54200</v>
      </c>
      <c r="BD36" s="175">
        <v>0</v>
      </c>
      <c r="BE36" s="43">
        <v>0</v>
      </c>
      <c r="BF36" s="43">
        <v>0</v>
      </c>
      <c r="BG36" s="43">
        <v>0</v>
      </c>
      <c r="BH36" s="25"/>
    </row>
    <row r="37" spans="1:62" x14ac:dyDescent="0.2">
      <c r="A37" s="7"/>
      <c r="B37" s="7" t="s">
        <v>441</v>
      </c>
      <c r="C37" s="686">
        <v>10000</v>
      </c>
      <c r="D37" s="742">
        <v>0</v>
      </c>
      <c r="E37" s="520"/>
      <c r="F37" s="151">
        <v>10000</v>
      </c>
      <c r="G37" s="730">
        <v>4535</v>
      </c>
      <c r="H37" s="730">
        <v>0</v>
      </c>
      <c r="I37" s="166">
        <v>0</v>
      </c>
      <c r="J37" s="151">
        <v>0</v>
      </c>
      <c r="K37" s="730">
        <v>0</v>
      </c>
      <c r="L37" s="730">
        <v>0</v>
      </c>
      <c r="M37" s="166">
        <v>0</v>
      </c>
      <c r="N37" s="730">
        <v>0</v>
      </c>
      <c r="O37" s="730">
        <v>0</v>
      </c>
      <c r="P37" s="730"/>
      <c r="Q37" s="166"/>
      <c r="R37" s="210"/>
      <c r="S37" s="210">
        <v>0</v>
      </c>
      <c r="T37" s="210">
        <v>0</v>
      </c>
      <c r="U37" s="166">
        <v>0</v>
      </c>
      <c r="V37" s="210">
        <v>0</v>
      </c>
      <c r="W37" s="210">
        <v>0</v>
      </c>
      <c r="X37" s="210">
        <v>0</v>
      </c>
      <c r="Y37" s="166">
        <v>0</v>
      </c>
      <c r="Z37" s="210">
        <v>0</v>
      </c>
      <c r="AA37" s="210">
        <v>0</v>
      </c>
      <c r="AB37" s="210">
        <v>0</v>
      </c>
      <c r="AC37" s="166">
        <v>0</v>
      </c>
      <c r="AD37" s="210">
        <v>0</v>
      </c>
      <c r="AE37" s="210">
        <v>31524</v>
      </c>
      <c r="AF37" s="210">
        <v>0</v>
      </c>
      <c r="AG37" s="166">
        <v>0</v>
      </c>
      <c r="AH37" s="165">
        <v>0</v>
      </c>
      <c r="AI37" s="165">
        <v>0</v>
      </c>
      <c r="AJ37" s="165">
        <v>0</v>
      </c>
      <c r="AK37" s="166">
        <v>0</v>
      </c>
      <c r="AL37" s="175">
        <v>0</v>
      </c>
      <c r="AM37" s="166">
        <v>0</v>
      </c>
      <c r="AN37" s="166"/>
      <c r="AO37" s="166"/>
      <c r="AP37" s="88"/>
      <c r="AQ37" s="730">
        <v>4535</v>
      </c>
      <c r="AR37" s="730">
        <v>0</v>
      </c>
      <c r="AS37" s="210">
        <v>14535</v>
      </c>
      <c r="AT37" s="214" t="s">
        <v>42</v>
      </c>
      <c r="AU37" s="82"/>
      <c r="AV37" s="705">
        <v>14535</v>
      </c>
      <c r="AW37" s="681">
        <v>0</v>
      </c>
      <c r="AX37" s="681">
        <v>0</v>
      </c>
      <c r="AY37" s="681">
        <v>0</v>
      </c>
      <c r="AZ37" s="175">
        <v>0</v>
      </c>
      <c r="BA37" s="175">
        <v>0</v>
      </c>
      <c r="BB37" s="175">
        <v>31524</v>
      </c>
      <c r="BC37" s="173">
        <v>0</v>
      </c>
      <c r="BD37" s="175">
        <v>0</v>
      </c>
      <c r="BE37" s="43">
        <v>0</v>
      </c>
      <c r="BF37" s="43">
        <v>0</v>
      </c>
      <c r="BG37" s="43">
        <v>0</v>
      </c>
      <c r="BH37" s="25"/>
    </row>
    <row r="38" spans="1:62" x14ac:dyDescent="0.2">
      <c r="A38" s="8"/>
      <c r="B38" s="7"/>
      <c r="C38" s="1319">
        <v>39098</v>
      </c>
      <c r="D38" s="168">
        <v>0.17632600783811453</v>
      </c>
      <c r="E38" s="520"/>
      <c r="F38" s="217">
        <v>260835</v>
      </c>
      <c r="G38" s="217">
        <v>191991</v>
      </c>
      <c r="H38" s="217">
        <v>211326</v>
      </c>
      <c r="I38" s="218">
        <v>222268</v>
      </c>
      <c r="J38" s="217">
        <v>221737</v>
      </c>
      <c r="K38" s="217">
        <v>206539</v>
      </c>
      <c r="L38" s="217">
        <v>184262</v>
      </c>
      <c r="M38" s="218">
        <v>178118</v>
      </c>
      <c r="N38" s="217">
        <v>211984</v>
      </c>
      <c r="O38" s="217">
        <v>216882</v>
      </c>
      <c r="P38" s="217">
        <v>204910</v>
      </c>
      <c r="Q38" s="218">
        <v>187048</v>
      </c>
      <c r="R38" s="217">
        <v>207731</v>
      </c>
      <c r="S38" s="217">
        <v>142822</v>
      </c>
      <c r="T38" s="217">
        <v>126396</v>
      </c>
      <c r="U38" s="218">
        <v>144034</v>
      </c>
      <c r="V38" s="217">
        <v>189279</v>
      </c>
      <c r="W38" s="217">
        <v>192918</v>
      </c>
      <c r="X38" s="217">
        <v>134676</v>
      </c>
      <c r="Y38" s="218">
        <v>144286</v>
      </c>
      <c r="Z38" s="217">
        <v>137658</v>
      </c>
      <c r="AA38" s="217">
        <v>150887</v>
      </c>
      <c r="AB38" s="217">
        <v>115883</v>
      </c>
      <c r="AC38" s="218">
        <v>121468</v>
      </c>
      <c r="AD38" s="217">
        <v>100311</v>
      </c>
      <c r="AE38" s="217">
        <v>159625</v>
      </c>
      <c r="AF38" s="217">
        <v>115805</v>
      </c>
      <c r="AG38" s="218">
        <v>149179</v>
      </c>
      <c r="AH38" s="170">
        <v>194004</v>
      </c>
      <c r="AI38" s="170">
        <v>159043</v>
      </c>
      <c r="AJ38" s="170">
        <v>139741</v>
      </c>
      <c r="AK38" s="171">
        <v>187220</v>
      </c>
      <c r="AL38" s="426">
        <v>176307</v>
      </c>
      <c r="AM38" s="171">
        <v>144677</v>
      </c>
      <c r="AN38" s="171">
        <v>130781</v>
      </c>
      <c r="AO38" s="171">
        <v>166952</v>
      </c>
      <c r="AP38" s="88"/>
      <c r="AQ38" s="217">
        <v>625585</v>
      </c>
      <c r="AR38" s="217">
        <v>568919</v>
      </c>
      <c r="AS38" s="170">
        <v>95764</v>
      </c>
      <c r="AT38" s="679">
        <v>0.12111967783713777</v>
      </c>
      <c r="AU38" s="82"/>
      <c r="AV38" s="1317">
        <v>886420</v>
      </c>
      <c r="AW38" s="1317">
        <v>790656</v>
      </c>
      <c r="AX38" s="1317">
        <v>820824</v>
      </c>
      <c r="AY38" s="1317">
        <v>620983</v>
      </c>
      <c r="AZ38" s="1317">
        <v>661159</v>
      </c>
      <c r="BA38" s="1317">
        <v>525896</v>
      </c>
      <c r="BB38" s="1317">
        <v>524920</v>
      </c>
      <c r="BC38" s="169">
        <v>680008</v>
      </c>
      <c r="BD38" s="169">
        <v>618717</v>
      </c>
      <c r="BE38" s="302">
        <v>466018</v>
      </c>
      <c r="BF38" s="302">
        <v>360022</v>
      </c>
      <c r="BG38" s="302">
        <v>339600</v>
      </c>
      <c r="BH38" s="25"/>
    </row>
    <row r="39" spans="1:62" ht="9" customHeight="1" x14ac:dyDescent="0.2">
      <c r="A39" s="8"/>
      <c r="B39" s="7"/>
      <c r="C39" s="172"/>
      <c r="D39" s="30"/>
      <c r="E39" s="520"/>
      <c r="F39" s="748"/>
      <c r="G39" s="748"/>
      <c r="H39" s="748"/>
      <c r="I39" s="269"/>
      <c r="J39" s="748"/>
      <c r="K39" s="748"/>
      <c r="L39" s="748"/>
      <c r="M39" s="213"/>
      <c r="N39" s="748"/>
      <c r="O39" s="748"/>
      <c r="P39" s="748"/>
      <c r="Q39" s="213"/>
      <c r="R39" s="398"/>
      <c r="S39" s="398"/>
      <c r="T39" s="398"/>
      <c r="U39" s="213"/>
      <c r="V39" s="398"/>
      <c r="W39" s="398"/>
      <c r="X39" s="398"/>
      <c r="Y39" s="213"/>
      <c r="Z39" s="398"/>
      <c r="AA39" s="398"/>
      <c r="AB39" s="398"/>
      <c r="AC39" s="213"/>
      <c r="AD39" s="398"/>
      <c r="AE39" s="398"/>
      <c r="AF39" s="398"/>
      <c r="AG39" s="213"/>
      <c r="AH39" s="165"/>
      <c r="AI39" s="165"/>
      <c r="AJ39" s="165"/>
      <c r="AK39" s="166"/>
      <c r="AL39" s="175"/>
      <c r="AM39" s="166"/>
      <c r="AN39" s="166"/>
      <c r="AO39" s="166"/>
      <c r="AP39" s="88"/>
      <c r="AQ39" s="398"/>
      <c r="AR39" s="398"/>
      <c r="AS39" s="210"/>
      <c r="AT39" s="484"/>
      <c r="AU39" s="82"/>
      <c r="AV39" s="705"/>
      <c r="AW39" s="705"/>
      <c r="AX39" s="705"/>
      <c r="AY39" s="705"/>
      <c r="AZ39" s="705"/>
      <c r="BA39" s="705"/>
      <c r="BB39" s="705"/>
      <c r="BC39" s="159"/>
      <c r="BD39" s="159"/>
      <c r="BE39" s="43"/>
      <c r="BF39" s="43"/>
      <c r="BG39" s="43"/>
      <c r="BH39" s="25"/>
    </row>
    <row r="40" spans="1:62" s="95" customFormat="1" ht="12.75" customHeight="1" x14ac:dyDescent="0.2">
      <c r="A40" s="141" t="s">
        <v>77</v>
      </c>
      <c r="B40" s="140"/>
      <c r="C40" s="1337">
        <v>-60381</v>
      </c>
      <c r="D40" s="742">
        <v>-1.8862578488644528</v>
      </c>
      <c r="E40" s="520"/>
      <c r="F40" s="421">
        <v>-28370</v>
      </c>
      <c r="G40" s="421">
        <v>-25520</v>
      </c>
      <c r="H40" s="421">
        <v>24945</v>
      </c>
      <c r="I40" s="213">
        <v>23288</v>
      </c>
      <c r="J40" s="209">
        <v>32011</v>
      </c>
      <c r="K40" s="209">
        <v>24420</v>
      </c>
      <c r="L40" s="421">
        <v>-956</v>
      </c>
      <c r="M40" s="213">
        <v>9113</v>
      </c>
      <c r="N40" s="209">
        <v>5987</v>
      </c>
      <c r="O40" s="209">
        <v>13121</v>
      </c>
      <c r="P40" s="421">
        <v>-18311</v>
      </c>
      <c r="Q40" s="703">
        <v>-24499</v>
      </c>
      <c r="R40" s="421">
        <v>-30039</v>
      </c>
      <c r="S40" s="421">
        <v>5067</v>
      </c>
      <c r="T40" s="421">
        <v>-6896</v>
      </c>
      <c r="U40" s="703">
        <v>15749</v>
      </c>
      <c r="V40" s="421">
        <v>58316</v>
      </c>
      <c r="W40" s="421">
        <v>61916</v>
      </c>
      <c r="X40" s="421">
        <v>14609</v>
      </c>
      <c r="Y40" s="703">
        <v>7631</v>
      </c>
      <c r="Z40" s="421">
        <v>5475</v>
      </c>
      <c r="AA40" s="421">
        <v>22310</v>
      </c>
      <c r="AB40" s="421">
        <v>7861</v>
      </c>
      <c r="AC40" s="703">
        <v>15995</v>
      </c>
      <c r="AD40" s="421">
        <v>6685</v>
      </c>
      <c r="AE40" s="421">
        <v>-72437</v>
      </c>
      <c r="AF40" s="421">
        <v>-4976</v>
      </c>
      <c r="AG40" s="703">
        <v>23529</v>
      </c>
      <c r="AH40" s="678">
        <v>-50558</v>
      </c>
      <c r="AI40" s="678">
        <v>24311</v>
      </c>
      <c r="AJ40" s="678">
        <v>19128</v>
      </c>
      <c r="AK40" s="832">
        <v>58650</v>
      </c>
      <c r="AL40" s="751">
        <v>40136</v>
      </c>
      <c r="AM40" s="832">
        <v>33636</v>
      </c>
      <c r="AN40" s="832">
        <v>25250</v>
      </c>
      <c r="AO40" s="832">
        <v>39175</v>
      </c>
      <c r="AP40" s="751"/>
      <c r="AQ40" s="421">
        <v>22713</v>
      </c>
      <c r="AR40" s="421">
        <v>32577</v>
      </c>
      <c r="AS40" s="536">
        <v>-70245</v>
      </c>
      <c r="AT40" s="742">
        <v>-1.0875859292747878</v>
      </c>
      <c r="AU40" s="82"/>
      <c r="AV40" s="705">
        <v>-5657</v>
      </c>
      <c r="AW40" s="705">
        <v>64588</v>
      </c>
      <c r="AX40" s="705">
        <v>-23702</v>
      </c>
      <c r="AY40" s="705">
        <v>-16119</v>
      </c>
      <c r="AZ40" s="705">
        <v>142472</v>
      </c>
      <c r="BA40" s="705">
        <v>51641</v>
      </c>
      <c r="BB40" s="705">
        <v>-47199</v>
      </c>
      <c r="BC40" s="159">
        <v>51531</v>
      </c>
      <c r="BD40" s="159">
        <v>138197</v>
      </c>
      <c r="BE40" s="43">
        <v>117397</v>
      </c>
      <c r="BF40" s="43">
        <v>72756</v>
      </c>
      <c r="BG40" s="43">
        <v>62557</v>
      </c>
      <c r="BH40" s="702"/>
    </row>
    <row r="41" spans="1:62" ht="9" customHeight="1" x14ac:dyDescent="0.2">
      <c r="A41" s="8"/>
      <c r="B41" s="7"/>
      <c r="C41" s="1337"/>
      <c r="D41" s="30"/>
      <c r="E41" s="520"/>
      <c r="F41" s="748"/>
      <c r="G41" s="748"/>
      <c r="H41" s="750"/>
      <c r="I41" s="739"/>
      <c r="J41" s="748"/>
      <c r="K41" s="748"/>
      <c r="L41" s="750"/>
      <c r="M41" s="739"/>
      <c r="N41" s="748"/>
      <c r="O41" s="748"/>
      <c r="P41" s="750"/>
      <c r="Q41" s="832"/>
      <c r="R41" s="750"/>
      <c r="S41" s="750"/>
      <c r="T41" s="750"/>
      <c r="U41" s="832"/>
      <c r="V41" s="750"/>
      <c r="W41" s="750"/>
      <c r="X41" s="750"/>
      <c r="Y41" s="832"/>
      <c r="Z41" s="750"/>
      <c r="AA41" s="750"/>
      <c r="AB41" s="750"/>
      <c r="AC41" s="832"/>
      <c r="AD41" s="750"/>
      <c r="AE41" s="750"/>
      <c r="AF41" s="750"/>
      <c r="AG41" s="832"/>
      <c r="AH41" s="678"/>
      <c r="AI41" s="678"/>
      <c r="AJ41" s="678"/>
      <c r="AK41" s="832"/>
      <c r="AL41" s="751"/>
      <c r="AM41" s="832"/>
      <c r="AN41" s="832"/>
      <c r="AO41" s="832"/>
      <c r="AP41" s="751"/>
      <c r="AQ41" s="750"/>
      <c r="AR41" s="750"/>
      <c r="AS41" s="536"/>
      <c r="AT41" s="484"/>
      <c r="AU41" s="82"/>
      <c r="AV41" s="751"/>
      <c r="AW41" s="751"/>
      <c r="AX41" s="751"/>
      <c r="AY41" s="751"/>
      <c r="AZ41" s="751"/>
      <c r="BA41" s="751"/>
      <c r="BB41" s="751"/>
      <c r="BC41" s="177"/>
      <c r="BD41" s="159"/>
      <c r="BE41" s="43"/>
      <c r="BF41" s="43"/>
      <c r="BG41" s="43"/>
      <c r="BH41" s="25"/>
    </row>
    <row r="42" spans="1:62" ht="12.75" customHeight="1" x14ac:dyDescent="0.2">
      <c r="A42" s="82"/>
      <c r="B42" s="82" t="s">
        <v>6</v>
      </c>
      <c r="C42" s="1337">
        <v>-8139</v>
      </c>
      <c r="D42" s="742">
        <v>-1.3362337875554096</v>
      </c>
      <c r="E42" s="520"/>
      <c r="F42" s="750">
        <v>-2048</v>
      </c>
      <c r="G42" s="750">
        <v>-4041</v>
      </c>
      <c r="H42" s="750">
        <v>7331</v>
      </c>
      <c r="I42" s="619">
        <v>4419</v>
      </c>
      <c r="J42" s="748">
        <v>6091</v>
      </c>
      <c r="K42" s="748">
        <v>6086</v>
      </c>
      <c r="L42" s="750">
        <v>-876</v>
      </c>
      <c r="M42" s="619">
        <v>1230</v>
      </c>
      <c r="N42" s="750">
        <v>-437</v>
      </c>
      <c r="O42" s="748">
        <v>2857</v>
      </c>
      <c r="P42" s="750">
        <v>-3470</v>
      </c>
      <c r="Q42" s="703">
        <v>-3877</v>
      </c>
      <c r="R42" s="750">
        <v>1755</v>
      </c>
      <c r="S42" s="750">
        <v>2536</v>
      </c>
      <c r="T42" s="750">
        <v>-1618</v>
      </c>
      <c r="U42" s="703">
        <v>2554</v>
      </c>
      <c r="V42" s="750">
        <v>16993</v>
      </c>
      <c r="W42" s="750">
        <v>18919</v>
      </c>
      <c r="X42" s="750">
        <v>4358</v>
      </c>
      <c r="Y42" s="703">
        <v>2459</v>
      </c>
      <c r="Z42" s="750">
        <v>-2051</v>
      </c>
      <c r="AA42" s="750">
        <v>7197</v>
      </c>
      <c r="AB42" s="750">
        <v>1115</v>
      </c>
      <c r="AC42" s="703">
        <v>6883</v>
      </c>
      <c r="AD42" s="750">
        <v>3019</v>
      </c>
      <c r="AE42" s="750">
        <v>-10059</v>
      </c>
      <c r="AF42" s="750">
        <v>422</v>
      </c>
      <c r="AG42" s="832">
        <v>7070</v>
      </c>
      <c r="AH42" s="678">
        <v>-15404</v>
      </c>
      <c r="AI42" s="678">
        <v>9263</v>
      </c>
      <c r="AJ42" s="678">
        <v>6717</v>
      </c>
      <c r="AK42" s="832">
        <v>19621</v>
      </c>
      <c r="AL42" s="751">
        <v>14120</v>
      </c>
      <c r="AM42" s="832">
        <v>9944</v>
      </c>
      <c r="AN42" s="832">
        <v>7444</v>
      </c>
      <c r="AO42" s="832">
        <v>13233</v>
      </c>
      <c r="AP42" s="751"/>
      <c r="AQ42" s="536">
        <v>7709</v>
      </c>
      <c r="AR42" s="536">
        <v>6440</v>
      </c>
      <c r="AS42" s="536">
        <v>-6870</v>
      </c>
      <c r="AT42" s="742">
        <v>-0.54824036389753417</v>
      </c>
      <c r="AU42" s="82"/>
      <c r="AV42" s="705">
        <v>5661</v>
      </c>
      <c r="AW42" s="705">
        <v>12531</v>
      </c>
      <c r="AX42" s="705">
        <v>-4927</v>
      </c>
      <c r="AY42" s="705">
        <v>5227</v>
      </c>
      <c r="AZ42" s="705">
        <v>42729</v>
      </c>
      <c r="BA42" s="751">
        <v>13144</v>
      </c>
      <c r="BB42" s="751">
        <v>452</v>
      </c>
      <c r="BC42" s="177">
        <v>20197</v>
      </c>
      <c r="BD42" s="159">
        <v>44741</v>
      </c>
      <c r="BE42" s="43">
        <v>37880</v>
      </c>
      <c r="BF42" s="43">
        <v>24177</v>
      </c>
      <c r="BG42" s="43">
        <v>22128</v>
      </c>
      <c r="BH42" s="25"/>
    </row>
    <row r="43" spans="1:62" ht="9" customHeight="1" x14ac:dyDescent="0.2">
      <c r="A43" s="82"/>
      <c r="B43" s="82"/>
      <c r="C43" s="1337"/>
      <c r="D43" s="30"/>
      <c r="E43" s="520"/>
      <c r="F43" s="748"/>
      <c r="G43" s="748"/>
      <c r="H43" s="748"/>
      <c r="I43" s="213"/>
      <c r="J43" s="748"/>
      <c r="K43" s="748"/>
      <c r="L43" s="748"/>
      <c r="M43" s="213"/>
      <c r="N43" s="748"/>
      <c r="O43" s="748"/>
      <c r="P43" s="750"/>
      <c r="Q43" s="703"/>
      <c r="R43" s="836"/>
      <c r="S43" s="750"/>
      <c r="T43" s="750"/>
      <c r="U43" s="703"/>
      <c r="V43" s="836"/>
      <c r="W43" s="750"/>
      <c r="X43" s="750"/>
      <c r="Y43" s="703"/>
      <c r="Z43" s="836"/>
      <c r="AA43" s="750"/>
      <c r="AB43" s="750"/>
      <c r="AC43" s="703"/>
      <c r="AD43" s="750"/>
      <c r="AE43" s="750"/>
      <c r="AF43" s="750"/>
      <c r="AG43" s="703"/>
      <c r="AH43" s="678"/>
      <c r="AI43" s="678"/>
      <c r="AJ43" s="678"/>
      <c r="AK43" s="832"/>
      <c r="AL43" s="1309"/>
      <c r="AM43" s="1310"/>
      <c r="AN43" s="832"/>
      <c r="AO43" s="832"/>
      <c r="AP43" s="751"/>
      <c r="AQ43" s="836"/>
      <c r="AR43" s="750"/>
      <c r="AS43" s="536"/>
      <c r="AT43" s="484"/>
      <c r="AU43" s="82"/>
      <c r="AV43" s="705"/>
      <c r="AW43" s="705"/>
      <c r="AX43" s="705"/>
      <c r="AY43" s="705"/>
      <c r="AZ43" s="705"/>
      <c r="BA43" s="705"/>
      <c r="BB43" s="705"/>
      <c r="BC43" s="159"/>
      <c r="BD43" s="159"/>
      <c r="BE43" s="158"/>
      <c r="BF43" s="158"/>
      <c r="BG43" s="158"/>
      <c r="BH43" s="25"/>
    </row>
    <row r="44" spans="1:62" ht="14.25" customHeight="1" thickBot="1" x14ac:dyDescent="0.25">
      <c r="A44" s="141" t="s">
        <v>78</v>
      </c>
      <c r="B44" s="82"/>
      <c r="C44" s="1319">
        <v>-52242</v>
      </c>
      <c r="D44" s="168">
        <v>-2.0155092592592592</v>
      </c>
      <c r="E44" s="520"/>
      <c r="F44" s="1308">
        <v>-26322</v>
      </c>
      <c r="G44" s="1308">
        <v>-21479</v>
      </c>
      <c r="H44" s="1308">
        <v>17614</v>
      </c>
      <c r="I44" s="218">
        <v>18869</v>
      </c>
      <c r="J44" s="217">
        <v>25920</v>
      </c>
      <c r="K44" s="217">
        <v>18334</v>
      </c>
      <c r="L44" s="1308">
        <v>-80</v>
      </c>
      <c r="M44" s="218">
        <v>7883</v>
      </c>
      <c r="N44" s="217">
        <v>6424</v>
      </c>
      <c r="O44" s="217">
        <v>10264</v>
      </c>
      <c r="P44" s="1308">
        <v>-14841</v>
      </c>
      <c r="Q44" s="1311">
        <v>-20622</v>
      </c>
      <c r="R44" s="1308">
        <v>-31794</v>
      </c>
      <c r="S44" s="1308">
        <v>2531</v>
      </c>
      <c r="T44" s="1308">
        <v>-5278</v>
      </c>
      <c r="U44" s="1311">
        <v>13195</v>
      </c>
      <c r="V44" s="1308">
        <v>41323</v>
      </c>
      <c r="W44" s="1308">
        <v>42997</v>
      </c>
      <c r="X44" s="1308">
        <v>10251</v>
      </c>
      <c r="Y44" s="1311">
        <v>5172</v>
      </c>
      <c r="Z44" s="1308">
        <v>7526</v>
      </c>
      <c r="AA44" s="1308">
        <v>15113</v>
      </c>
      <c r="AB44" s="1308">
        <v>6746</v>
      </c>
      <c r="AC44" s="1312">
        <v>9112</v>
      </c>
      <c r="AD44" s="1313">
        <v>3666</v>
      </c>
      <c r="AE44" s="1313">
        <v>-62378</v>
      </c>
      <c r="AF44" s="1313">
        <v>-5398</v>
      </c>
      <c r="AG44" s="1312">
        <v>16459</v>
      </c>
      <c r="AH44" s="1314">
        <v>-35154</v>
      </c>
      <c r="AI44" s="1314">
        <v>15048</v>
      </c>
      <c r="AJ44" s="1314">
        <v>12411</v>
      </c>
      <c r="AK44" s="1315">
        <v>39029</v>
      </c>
      <c r="AL44" s="1316">
        <v>26016</v>
      </c>
      <c r="AM44" s="1315">
        <v>23692</v>
      </c>
      <c r="AN44" s="1315">
        <v>17806</v>
      </c>
      <c r="AO44" s="1315">
        <v>25942</v>
      </c>
      <c r="AP44" s="751"/>
      <c r="AQ44" s="1308">
        <v>15004</v>
      </c>
      <c r="AR44" s="1308">
        <v>26137</v>
      </c>
      <c r="AS44" s="512">
        <v>-63375</v>
      </c>
      <c r="AT44" s="679">
        <v>-1.2174155252895864</v>
      </c>
      <c r="AU44" s="82"/>
      <c r="AV44" s="1317">
        <v>-11318</v>
      </c>
      <c r="AW44" s="1317">
        <v>52057</v>
      </c>
      <c r="AX44" s="1317">
        <v>-18775</v>
      </c>
      <c r="AY44" s="1317">
        <v>-21346</v>
      </c>
      <c r="AZ44" s="1317">
        <v>99743</v>
      </c>
      <c r="BA44" s="1317">
        <v>38497</v>
      </c>
      <c r="BB44" s="1317">
        <v>-47651</v>
      </c>
      <c r="BC44" s="169">
        <v>31334</v>
      </c>
      <c r="BD44" s="169">
        <v>93456</v>
      </c>
      <c r="BE44" s="303">
        <v>79517</v>
      </c>
      <c r="BF44" s="303">
        <v>48579</v>
      </c>
      <c r="BG44" s="303">
        <v>40429</v>
      </c>
      <c r="BH44" s="25"/>
    </row>
    <row r="45" spans="1:62" s="613" customFormat="1" ht="9" customHeight="1" thickTop="1" x14ac:dyDescent="0.2">
      <c r="A45" s="141"/>
      <c r="B45" s="82"/>
      <c r="C45" s="1337"/>
      <c r="D45" s="660"/>
      <c r="E45" s="520"/>
      <c r="F45" s="209"/>
      <c r="G45" s="209"/>
      <c r="H45" s="209"/>
      <c r="I45" s="213"/>
      <c r="J45" s="209"/>
      <c r="K45" s="209"/>
      <c r="L45" s="209"/>
      <c r="M45" s="213"/>
      <c r="N45" s="209"/>
      <c r="O45" s="209"/>
      <c r="P45" s="209"/>
      <c r="Q45" s="213"/>
      <c r="R45" s="209"/>
      <c r="S45" s="209"/>
      <c r="T45" s="209"/>
      <c r="U45" s="213"/>
      <c r="V45" s="209"/>
      <c r="W45" s="209"/>
      <c r="X45" s="209"/>
      <c r="Y45" s="213"/>
      <c r="Z45" s="209"/>
      <c r="AA45" s="209"/>
      <c r="AB45" s="209"/>
      <c r="AC45" s="213"/>
      <c r="AD45" s="209"/>
      <c r="AE45" s="209"/>
      <c r="AF45" s="209"/>
      <c r="AG45" s="213"/>
      <c r="AH45" s="210"/>
      <c r="AI45" s="210"/>
      <c r="AJ45" s="210"/>
      <c r="AK45" s="166"/>
      <c r="AL45" s="616"/>
      <c r="AM45" s="166"/>
      <c r="AN45" s="166"/>
      <c r="AO45" s="166"/>
      <c r="AP45" s="88"/>
      <c r="AQ45" s="209"/>
      <c r="AR45" s="209"/>
      <c r="AS45" s="210"/>
      <c r="AT45" s="484"/>
      <c r="AU45" s="82"/>
      <c r="AV45" s="705"/>
      <c r="AW45" s="705"/>
      <c r="AX45" s="705"/>
      <c r="AY45" s="705"/>
      <c r="AZ45" s="705"/>
      <c r="BA45" s="705"/>
      <c r="BB45" s="705"/>
      <c r="BC45" s="159"/>
      <c r="BD45" s="159"/>
      <c r="BE45" s="43"/>
      <c r="BF45" s="43"/>
      <c r="BG45" s="43"/>
      <c r="BH45" s="25"/>
    </row>
    <row r="46" spans="1:62" s="613" customFormat="1" ht="14.25" customHeight="1" x14ac:dyDescent="0.2">
      <c r="A46" s="141"/>
      <c r="B46" s="724" t="s">
        <v>395</v>
      </c>
      <c r="C46" s="1337">
        <v>486</v>
      </c>
      <c r="D46" s="742">
        <v>2.6129032258064515</v>
      </c>
      <c r="E46" s="520"/>
      <c r="F46" s="730">
        <v>672</v>
      </c>
      <c r="G46" s="730">
        <v>-99</v>
      </c>
      <c r="H46" s="730">
        <v>505</v>
      </c>
      <c r="I46" s="166">
        <v>788</v>
      </c>
      <c r="J46" s="730">
        <v>186</v>
      </c>
      <c r="K46" s="730">
        <v>1013</v>
      </c>
      <c r="L46" s="730">
        <v>303</v>
      </c>
      <c r="M46" s="166">
        <v>-858</v>
      </c>
      <c r="N46" s="730">
        <v>-406</v>
      </c>
      <c r="O46" s="730">
        <v>-616</v>
      </c>
      <c r="P46" s="730">
        <v>-279</v>
      </c>
      <c r="Q46" s="166">
        <v>-655</v>
      </c>
      <c r="R46" s="210">
        <v>-544</v>
      </c>
      <c r="S46" s="210">
        <v>-495</v>
      </c>
      <c r="T46" s="210">
        <v>0</v>
      </c>
      <c r="U46" s="166">
        <v>0</v>
      </c>
      <c r="V46" s="210">
        <v>0</v>
      </c>
      <c r="W46" s="210">
        <v>0</v>
      </c>
      <c r="X46" s="210">
        <v>0</v>
      </c>
      <c r="Y46" s="166">
        <v>0</v>
      </c>
      <c r="Z46" s="210">
        <v>0</v>
      </c>
      <c r="AA46" s="210">
        <v>0</v>
      </c>
      <c r="AB46" s="209"/>
      <c r="AC46" s="213"/>
      <c r="AD46" s="209"/>
      <c r="AE46" s="209"/>
      <c r="AF46" s="209"/>
      <c r="AG46" s="213"/>
      <c r="AH46" s="210"/>
      <c r="AI46" s="210"/>
      <c r="AJ46" s="210"/>
      <c r="AK46" s="166"/>
      <c r="AL46" s="616"/>
      <c r="AM46" s="166"/>
      <c r="AN46" s="166"/>
      <c r="AO46" s="166"/>
      <c r="AP46" s="88"/>
      <c r="AQ46" s="210">
        <v>1194</v>
      </c>
      <c r="AR46" s="210">
        <v>458</v>
      </c>
      <c r="AS46" s="210">
        <v>1222</v>
      </c>
      <c r="AT46" s="742">
        <v>1.8975155279503106</v>
      </c>
      <c r="AU46" s="82"/>
      <c r="AV46" s="705">
        <v>1866</v>
      </c>
      <c r="AW46" s="705">
        <v>644</v>
      </c>
      <c r="AX46" s="705">
        <v>-1956</v>
      </c>
      <c r="AY46" s="705">
        <v>-1039</v>
      </c>
      <c r="AZ46" s="705">
        <v>0</v>
      </c>
      <c r="BA46" s="705">
        <v>0</v>
      </c>
      <c r="BB46" s="705">
        <v>0</v>
      </c>
      <c r="BC46" s="681">
        <v>0</v>
      </c>
      <c r="BD46" s="681">
        <v>0</v>
      </c>
      <c r="BE46" s="43"/>
      <c r="BF46" s="43"/>
      <c r="BG46" s="43"/>
      <c r="BH46" s="25"/>
    </row>
    <row r="47" spans="1:62" s="613" customFormat="1" ht="9" customHeight="1" x14ac:dyDescent="0.2">
      <c r="A47" s="141"/>
      <c r="B47" s="124"/>
      <c r="C47" s="1337"/>
      <c r="D47" s="660"/>
      <c r="E47" s="520"/>
      <c r="F47" s="209"/>
      <c r="G47" s="209"/>
      <c r="H47" s="209"/>
      <c r="I47" s="213"/>
      <c r="J47" s="209"/>
      <c r="K47" s="209"/>
      <c r="L47" s="209"/>
      <c r="M47" s="213"/>
      <c r="N47" s="209"/>
      <c r="O47" s="209"/>
      <c r="P47" s="209"/>
      <c r="Q47" s="213"/>
      <c r="R47" s="209"/>
      <c r="S47" s="209"/>
      <c r="T47" s="209"/>
      <c r="U47" s="213"/>
      <c r="V47" s="209"/>
      <c r="W47" s="209"/>
      <c r="X47" s="209"/>
      <c r="Y47" s="213"/>
      <c r="Z47" s="209"/>
      <c r="AA47" s="209"/>
      <c r="AB47" s="209"/>
      <c r="AC47" s="213"/>
      <c r="AD47" s="209"/>
      <c r="AE47" s="209"/>
      <c r="AF47" s="209"/>
      <c r="AG47" s="213"/>
      <c r="AH47" s="210"/>
      <c r="AI47" s="210"/>
      <c r="AJ47" s="210"/>
      <c r="AK47" s="166"/>
      <c r="AL47" s="616"/>
      <c r="AM47" s="166"/>
      <c r="AN47" s="166"/>
      <c r="AO47" s="166"/>
      <c r="AP47" s="88"/>
      <c r="AQ47" s="209"/>
      <c r="AR47" s="209"/>
      <c r="AS47" s="210"/>
      <c r="AT47" s="484"/>
      <c r="AU47" s="82"/>
      <c r="AV47" s="705"/>
      <c r="AW47" s="705"/>
      <c r="AX47" s="705"/>
      <c r="AY47" s="705"/>
      <c r="AZ47" s="705"/>
      <c r="BA47" s="705"/>
      <c r="BB47" s="705"/>
      <c r="BC47" s="159"/>
      <c r="BD47" s="159"/>
      <c r="BE47" s="43"/>
      <c r="BF47" s="43"/>
      <c r="BG47" s="43"/>
      <c r="BH47" s="25"/>
    </row>
    <row r="48" spans="1:62" s="613" customFormat="1" ht="14.25" customHeight="1" thickBot="1" x14ac:dyDescent="0.25">
      <c r="A48" s="141" t="s">
        <v>406</v>
      </c>
      <c r="B48" s="82"/>
      <c r="C48" s="1319">
        <v>-52728</v>
      </c>
      <c r="D48" s="168">
        <v>-2.0489624621123803</v>
      </c>
      <c r="E48" s="520"/>
      <c r="F48" s="1308">
        <v>-26994</v>
      </c>
      <c r="G48" s="1308">
        <v>-21380</v>
      </c>
      <c r="H48" s="1308">
        <v>17109</v>
      </c>
      <c r="I48" s="218">
        <v>18081</v>
      </c>
      <c r="J48" s="217">
        <v>25734</v>
      </c>
      <c r="K48" s="217">
        <v>17321</v>
      </c>
      <c r="L48" s="1308">
        <v>-383</v>
      </c>
      <c r="M48" s="218">
        <v>8741</v>
      </c>
      <c r="N48" s="217">
        <v>6830</v>
      </c>
      <c r="O48" s="217">
        <v>10880</v>
      </c>
      <c r="P48" s="1308">
        <v>-14562</v>
      </c>
      <c r="Q48" s="1311">
        <v>-19967</v>
      </c>
      <c r="R48" s="1308">
        <v>-31250</v>
      </c>
      <c r="S48" s="1308">
        <v>3026</v>
      </c>
      <c r="T48" s="1308">
        <v>-5278</v>
      </c>
      <c r="U48" s="218">
        <v>13195</v>
      </c>
      <c r="V48" s="217">
        <v>41323</v>
      </c>
      <c r="W48" s="217">
        <v>42997</v>
      </c>
      <c r="X48" s="217">
        <v>10251</v>
      </c>
      <c r="Y48" s="218">
        <v>5172</v>
      </c>
      <c r="Z48" s="217">
        <v>7526</v>
      </c>
      <c r="AA48" s="217">
        <v>15113</v>
      </c>
      <c r="AB48" s="217">
        <v>6746</v>
      </c>
      <c r="AC48" s="220"/>
      <c r="AD48" s="219"/>
      <c r="AE48" s="219"/>
      <c r="AF48" s="219"/>
      <c r="AG48" s="220"/>
      <c r="AH48" s="181"/>
      <c r="AI48" s="181"/>
      <c r="AJ48" s="181"/>
      <c r="AK48" s="182"/>
      <c r="AL48" s="428"/>
      <c r="AM48" s="182"/>
      <c r="AN48" s="182"/>
      <c r="AO48" s="182"/>
      <c r="AP48" s="88"/>
      <c r="AQ48" s="217">
        <v>13810</v>
      </c>
      <c r="AR48" s="1308">
        <v>25679</v>
      </c>
      <c r="AS48" s="170">
        <v>-64597</v>
      </c>
      <c r="AT48" s="679">
        <v>-1.2564331978293428</v>
      </c>
      <c r="AU48" s="82"/>
      <c r="AV48" s="1317">
        <v>-13184</v>
      </c>
      <c r="AW48" s="1317">
        <v>51413</v>
      </c>
      <c r="AX48" s="1317">
        <v>-16819</v>
      </c>
      <c r="AY48" s="1317">
        <v>-20307</v>
      </c>
      <c r="AZ48" s="1317">
        <v>99743</v>
      </c>
      <c r="BA48" s="1317">
        <v>38497</v>
      </c>
      <c r="BB48" s="1317">
        <v>-47651</v>
      </c>
      <c r="BC48" s="169">
        <v>31334</v>
      </c>
      <c r="BD48" s="169">
        <v>93456</v>
      </c>
      <c r="BE48" s="303"/>
      <c r="BF48" s="303"/>
      <c r="BG48" s="303"/>
      <c r="BH48" s="25"/>
    </row>
    <row r="49" spans="1:60" s="613" customFormat="1" ht="9" customHeight="1" thickTop="1" x14ac:dyDescent="0.2">
      <c r="A49" s="8"/>
      <c r="B49" s="7"/>
      <c r="C49" s="1337"/>
      <c r="D49" s="660"/>
      <c r="E49" s="520"/>
      <c r="F49" s="748"/>
      <c r="G49" s="748"/>
      <c r="H49" s="748"/>
      <c r="I49" s="739"/>
      <c r="J49" s="748"/>
      <c r="K49" s="748"/>
      <c r="L49" s="748"/>
      <c r="M49" s="739"/>
      <c r="N49" s="748"/>
      <c r="O49" s="748"/>
      <c r="P49" s="750"/>
      <c r="Q49" s="832"/>
      <c r="R49" s="750"/>
      <c r="S49" s="750"/>
      <c r="T49" s="750"/>
      <c r="U49" s="368"/>
      <c r="V49" s="398"/>
      <c r="W49" s="398"/>
      <c r="X49" s="398"/>
      <c r="Y49" s="368"/>
      <c r="Z49" s="398"/>
      <c r="AA49" s="398"/>
      <c r="AB49" s="398"/>
      <c r="AC49" s="368"/>
      <c r="AD49" s="398"/>
      <c r="AE49" s="398"/>
      <c r="AF49" s="398"/>
      <c r="AG49" s="368"/>
      <c r="AH49" s="165"/>
      <c r="AI49" s="165"/>
      <c r="AJ49" s="165"/>
      <c r="AK49" s="166"/>
      <c r="AL49" s="616"/>
      <c r="AM49" s="166"/>
      <c r="AN49" s="166"/>
      <c r="AO49" s="166"/>
      <c r="AP49" s="88"/>
      <c r="AQ49" s="398"/>
      <c r="AR49" s="398"/>
      <c r="AS49" s="210"/>
      <c r="AT49" s="484"/>
      <c r="AU49" s="82"/>
      <c r="AV49" s="751"/>
      <c r="AW49" s="751"/>
      <c r="AX49" s="751"/>
      <c r="AY49" s="751"/>
      <c r="AZ49" s="751"/>
      <c r="BA49" s="751"/>
      <c r="BB49" s="751"/>
      <c r="BC49" s="177"/>
      <c r="BD49" s="159"/>
      <c r="BE49" s="43"/>
      <c r="BF49" s="43"/>
      <c r="BG49" s="43"/>
      <c r="BH49" s="25"/>
    </row>
    <row r="50" spans="1:60" s="613" customFormat="1" ht="12.75" customHeight="1" x14ac:dyDescent="0.2">
      <c r="A50" s="82"/>
      <c r="B50" s="724" t="s">
        <v>288</v>
      </c>
      <c r="C50" s="1337">
        <v>-38</v>
      </c>
      <c r="D50" s="742">
        <v>-1.2837837837837839E-2</v>
      </c>
      <c r="E50" s="520"/>
      <c r="F50" s="730">
        <v>-2998</v>
      </c>
      <c r="G50" s="730">
        <v>-2960</v>
      </c>
      <c r="H50" s="730">
        <v>-2921</v>
      </c>
      <c r="I50" s="166">
        <v>-2998</v>
      </c>
      <c r="J50" s="730">
        <v>-2960</v>
      </c>
      <c r="K50" s="730">
        <v>-2921</v>
      </c>
      <c r="L50" s="730">
        <v>-2921</v>
      </c>
      <c r="M50" s="166">
        <v>-2960</v>
      </c>
      <c r="N50" s="730">
        <v>-2887</v>
      </c>
      <c r="O50" s="730">
        <v>-2998</v>
      </c>
      <c r="P50" s="536">
        <v>-2998</v>
      </c>
      <c r="Q50" s="832">
        <v>-2837</v>
      </c>
      <c r="R50" s="536">
        <v>-1107</v>
      </c>
      <c r="S50" s="536">
        <v>-1818</v>
      </c>
      <c r="T50" s="536">
        <v>-1800</v>
      </c>
      <c r="U50" s="166">
        <v>-90</v>
      </c>
      <c r="V50" s="210">
        <v>0</v>
      </c>
      <c r="W50" s="210">
        <v>0</v>
      </c>
      <c r="X50" s="210">
        <v>0</v>
      </c>
      <c r="Y50" s="166">
        <v>0</v>
      </c>
      <c r="Z50" s="210">
        <v>0</v>
      </c>
      <c r="AA50" s="210">
        <v>0</v>
      </c>
      <c r="AB50" s="210">
        <v>0</v>
      </c>
      <c r="AC50" s="619"/>
      <c r="AD50" s="398"/>
      <c r="AE50" s="398"/>
      <c r="AF50" s="398"/>
      <c r="AG50" s="368"/>
      <c r="AH50" s="165"/>
      <c r="AI50" s="165"/>
      <c r="AJ50" s="165"/>
      <c r="AK50" s="166"/>
      <c r="AL50" s="616"/>
      <c r="AM50" s="166"/>
      <c r="AN50" s="166"/>
      <c r="AO50" s="166"/>
      <c r="AP50" s="88"/>
      <c r="AQ50" s="536">
        <v>-8879</v>
      </c>
      <c r="AR50" s="536">
        <v>-8802</v>
      </c>
      <c r="AS50" s="210">
        <v>-115</v>
      </c>
      <c r="AT50" s="742">
        <v>-9.7772487672164593E-3</v>
      </c>
      <c r="AU50" s="82"/>
      <c r="AV50" s="751">
        <v>-11877</v>
      </c>
      <c r="AW50" s="751">
        <v>-11762</v>
      </c>
      <c r="AX50" s="751">
        <v>-11720</v>
      </c>
      <c r="AY50" s="751">
        <v>-4815</v>
      </c>
      <c r="AZ50" s="751">
        <v>0</v>
      </c>
      <c r="BA50" s="751">
        <v>0</v>
      </c>
      <c r="BB50" s="751">
        <v>0</v>
      </c>
      <c r="BC50" s="616">
        <v>0</v>
      </c>
      <c r="BD50" s="616">
        <v>0</v>
      </c>
      <c r="BE50" s="43"/>
      <c r="BF50" s="43"/>
      <c r="BG50" s="43"/>
      <c r="BH50" s="25"/>
    </row>
    <row r="51" spans="1:60" s="613" customFormat="1" ht="9" customHeight="1" x14ac:dyDescent="0.2">
      <c r="A51" s="82"/>
      <c r="B51" s="82"/>
      <c r="C51" s="1337"/>
      <c r="D51" s="660"/>
      <c r="E51" s="520"/>
      <c r="F51" s="748"/>
      <c r="G51" s="748"/>
      <c r="H51" s="748"/>
      <c r="I51" s="213"/>
      <c r="J51" s="748"/>
      <c r="K51" s="748"/>
      <c r="L51" s="748"/>
      <c r="M51" s="213"/>
      <c r="N51" s="748"/>
      <c r="O51" s="748"/>
      <c r="P51" s="750"/>
      <c r="Q51" s="703"/>
      <c r="R51" s="836"/>
      <c r="S51" s="750"/>
      <c r="T51" s="750"/>
      <c r="U51" s="213"/>
      <c r="V51" s="408"/>
      <c r="W51" s="398"/>
      <c r="X51" s="398"/>
      <c r="Y51" s="213"/>
      <c r="Z51" s="408"/>
      <c r="AA51" s="398"/>
      <c r="AB51" s="398"/>
      <c r="AC51" s="213"/>
      <c r="AD51" s="398"/>
      <c r="AE51" s="398"/>
      <c r="AF51" s="398"/>
      <c r="AG51" s="213"/>
      <c r="AH51" s="165"/>
      <c r="AI51" s="165"/>
      <c r="AJ51" s="165"/>
      <c r="AK51" s="166"/>
      <c r="AL51" s="427"/>
      <c r="AM51" s="403"/>
      <c r="AN51" s="166"/>
      <c r="AO51" s="166"/>
      <c r="AP51" s="88"/>
      <c r="AQ51" s="408"/>
      <c r="AR51" s="398"/>
      <c r="AS51" s="210"/>
      <c r="AT51" s="342"/>
      <c r="AU51" s="82"/>
      <c r="AV51" s="705"/>
      <c r="AW51" s="705"/>
      <c r="AX51" s="705"/>
      <c r="AY51" s="705"/>
      <c r="AZ51" s="705"/>
      <c r="BA51" s="705"/>
      <c r="BB51" s="705"/>
      <c r="BC51" s="159"/>
      <c r="BD51" s="159"/>
      <c r="BE51" s="158"/>
      <c r="BF51" s="158"/>
      <c r="BG51" s="158"/>
      <c r="BH51" s="25"/>
    </row>
    <row r="52" spans="1:60" s="613" customFormat="1" ht="12.75" customHeight="1" thickBot="1" x14ac:dyDescent="0.25">
      <c r="A52" s="141" t="s">
        <v>423</v>
      </c>
      <c r="B52" s="82"/>
      <c r="C52" s="1438">
        <v>-52766</v>
      </c>
      <c r="D52" s="179">
        <v>-2.3169403705980502</v>
      </c>
      <c r="E52" s="520"/>
      <c r="F52" s="1313">
        <v>-29992</v>
      </c>
      <c r="G52" s="1313">
        <v>-24340</v>
      </c>
      <c r="H52" s="1313">
        <v>14188</v>
      </c>
      <c r="I52" s="220">
        <v>15083</v>
      </c>
      <c r="J52" s="219">
        <v>22774</v>
      </c>
      <c r="K52" s="219">
        <v>14400</v>
      </c>
      <c r="L52" s="1313">
        <v>-3304</v>
      </c>
      <c r="M52" s="220">
        <v>5781</v>
      </c>
      <c r="N52" s="219">
        <v>3943</v>
      </c>
      <c r="O52" s="219">
        <v>7882</v>
      </c>
      <c r="P52" s="1313">
        <v>-17560</v>
      </c>
      <c r="Q52" s="1312">
        <v>-22804</v>
      </c>
      <c r="R52" s="1313">
        <v>-32357</v>
      </c>
      <c r="S52" s="1313">
        <v>1208</v>
      </c>
      <c r="T52" s="1313">
        <v>-7078</v>
      </c>
      <c r="U52" s="220">
        <v>13105</v>
      </c>
      <c r="V52" s="219">
        <v>41323</v>
      </c>
      <c r="W52" s="219">
        <v>42997</v>
      </c>
      <c r="X52" s="219">
        <v>10251</v>
      </c>
      <c r="Y52" s="220">
        <v>5172</v>
      </c>
      <c r="Z52" s="219">
        <v>7526</v>
      </c>
      <c r="AA52" s="219">
        <v>15113</v>
      </c>
      <c r="AB52" s="219">
        <v>6746</v>
      </c>
      <c r="AC52" s="220"/>
      <c r="AD52" s="219"/>
      <c r="AE52" s="219"/>
      <c r="AF52" s="219"/>
      <c r="AG52" s="220"/>
      <c r="AH52" s="181"/>
      <c r="AI52" s="181"/>
      <c r="AJ52" s="181"/>
      <c r="AK52" s="182"/>
      <c r="AL52" s="428"/>
      <c r="AM52" s="182"/>
      <c r="AN52" s="182"/>
      <c r="AO52" s="182"/>
      <c r="AP52" s="88"/>
      <c r="AQ52" s="219">
        <v>4931</v>
      </c>
      <c r="AR52" s="1313">
        <v>16877</v>
      </c>
      <c r="AS52" s="181">
        <v>-64712</v>
      </c>
      <c r="AT52" s="179">
        <v>-1.6320395450303902</v>
      </c>
      <c r="AU52" s="82"/>
      <c r="AV52" s="1318">
        <v>-25061</v>
      </c>
      <c r="AW52" s="1318">
        <v>39651</v>
      </c>
      <c r="AX52" s="1318">
        <v>-28539</v>
      </c>
      <c r="AY52" s="1318">
        <v>-25122</v>
      </c>
      <c r="AZ52" s="1318">
        <v>99743</v>
      </c>
      <c r="BA52" s="1318">
        <v>38497</v>
      </c>
      <c r="BB52" s="1318">
        <v>-47651</v>
      </c>
      <c r="BC52" s="180">
        <v>31334</v>
      </c>
      <c r="BD52" s="180">
        <v>93456</v>
      </c>
      <c r="BE52" s="303"/>
      <c r="BF52" s="303"/>
      <c r="BG52" s="303"/>
      <c r="BH52" s="25"/>
    </row>
    <row r="53" spans="1:60" ht="12.75" customHeight="1" thickTop="1" x14ac:dyDescent="0.2">
      <c r="A53" s="142"/>
      <c r="B53" s="142"/>
      <c r="C53" s="31"/>
      <c r="D53" s="41"/>
      <c r="E53" s="41"/>
      <c r="F53" s="755"/>
      <c r="G53" s="755"/>
      <c r="H53" s="755"/>
      <c r="I53" s="755"/>
      <c r="J53" s="755"/>
      <c r="K53" s="755"/>
      <c r="L53" s="755"/>
      <c r="M53" s="725"/>
      <c r="N53" s="755"/>
      <c r="O53" s="755"/>
      <c r="P53" s="755"/>
      <c r="Q53" s="725"/>
      <c r="R53" s="41"/>
      <c r="S53" s="41"/>
      <c r="T53" s="41"/>
      <c r="U53" s="146"/>
      <c r="V53" s="41"/>
      <c r="W53" s="41"/>
      <c r="X53" s="41"/>
      <c r="Y53" s="146"/>
      <c r="Z53" s="41"/>
      <c r="AA53" s="41"/>
      <c r="AB53" s="41"/>
      <c r="AC53" s="146"/>
      <c r="AD53" s="41"/>
      <c r="AE53" s="41"/>
      <c r="AF53" s="41"/>
      <c r="AG53" s="146"/>
      <c r="AH53" s="183"/>
      <c r="AI53" s="183"/>
      <c r="AJ53" s="183"/>
      <c r="AK53" s="183"/>
      <c r="AL53" s="183"/>
      <c r="AM53" s="183"/>
      <c r="AN53" s="183"/>
      <c r="AO53" s="183"/>
      <c r="AP53" s="146"/>
      <c r="AQ53" s="146"/>
      <c r="AR53" s="146"/>
      <c r="AS53" s="31"/>
      <c r="AT53" s="41"/>
      <c r="AU53" s="146"/>
      <c r="AV53" s="725"/>
      <c r="AW53" s="725"/>
      <c r="AX53" s="725"/>
      <c r="AY53" s="146"/>
      <c r="AZ53" s="146"/>
      <c r="BA53" s="146"/>
      <c r="BB53" s="146"/>
      <c r="BC53" s="31"/>
      <c r="BD53" s="31"/>
      <c r="BE53" s="304"/>
      <c r="BF53" s="304"/>
      <c r="BG53" s="304"/>
    </row>
    <row r="54" spans="1:60" s="721" customFormat="1" ht="12.75" customHeight="1" x14ac:dyDescent="0.2">
      <c r="A54" s="7" t="s">
        <v>335</v>
      </c>
      <c r="B54" s="726"/>
      <c r="C54" s="160">
        <v>4.9194825636026671</v>
      </c>
      <c r="D54" s="755"/>
      <c r="E54" s="755"/>
      <c r="F54" s="386">
        <v>0.50059148689049959</v>
      </c>
      <c r="G54" s="386">
        <v>0.46272323708033231</v>
      </c>
      <c r="H54" s="386">
        <v>0.46216420974220279</v>
      </c>
      <c r="I54" s="386">
        <v>0.45644985257945236</v>
      </c>
      <c r="J54" s="386">
        <v>0.45139666125447292</v>
      </c>
      <c r="K54" s="386">
        <v>0.45409791348247958</v>
      </c>
      <c r="L54" s="386">
        <v>0.43294818500212762</v>
      </c>
      <c r="M54" s="386">
        <v>0.41139554881403184</v>
      </c>
      <c r="N54" s="386">
        <v>0.47537975235237717</v>
      </c>
      <c r="O54" s="386">
        <v>0.45132454794067906</v>
      </c>
      <c r="P54" s="386">
        <v>0.44342145456299337</v>
      </c>
      <c r="Q54" s="386">
        <v>0.44703443269414145</v>
      </c>
      <c r="R54" s="386">
        <v>0.49784458501226841</v>
      </c>
      <c r="S54" s="386">
        <v>0.42586669732028753</v>
      </c>
      <c r="T54" s="386">
        <v>0.45303765690376568</v>
      </c>
      <c r="U54" s="386">
        <v>0.48441323545057985</v>
      </c>
      <c r="V54" s="386">
        <v>0.49242916860195074</v>
      </c>
      <c r="W54" s="386">
        <v>0.48099939568503419</v>
      </c>
      <c r="X54" s="386">
        <v>0.44086813812506281</v>
      </c>
      <c r="Y54" s="725"/>
      <c r="Z54" s="755"/>
      <c r="AA54" s="755"/>
      <c r="AB54" s="755"/>
      <c r="AC54" s="725"/>
      <c r="AD54" s="755"/>
      <c r="AE54" s="755"/>
      <c r="AF54" s="755"/>
      <c r="AG54" s="725"/>
      <c r="AH54" s="183"/>
      <c r="AI54" s="183"/>
      <c r="AJ54" s="183"/>
      <c r="AK54" s="183"/>
      <c r="AL54" s="183"/>
      <c r="AM54" s="183"/>
      <c r="AN54" s="183"/>
      <c r="AO54" s="183"/>
      <c r="AP54" s="725"/>
      <c r="AQ54" s="386">
        <v>0.46014332914801526</v>
      </c>
      <c r="AR54" s="386">
        <v>0.4343603282482344</v>
      </c>
      <c r="AS54" s="160">
        <v>3.1404100621807709</v>
      </c>
      <c r="AT54" s="755"/>
      <c r="AU54" s="725"/>
      <c r="AV54" s="386">
        <v>0.47081905120900858</v>
      </c>
      <c r="AW54" s="386">
        <v>0.43941495058720087</v>
      </c>
      <c r="AX54" s="386">
        <v>0.45517499203384176</v>
      </c>
      <c r="AY54" s="386">
        <v>0.46784566447994919</v>
      </c>
      <c r="AZ54" s="386">
        <v>0.4732408281910479</v>
      </c>
      <c r="BA54" s="386">
        <v>0.48705277757096083</v>
      </c>
      <c r="BB54" s="386">
        <v>0.4491115106934801</v>
      </c>
      <c r="BC54" s="386">
        <v>0.46196033294192107</v>
      </c>
      <c r="BD54" s="754"/>
      <c r="BE54" s="304"/>
      <c r="BF54" s="304"/>
      <c r="BG54" s="304"/>
    </row>
    <row r="55" spans="1:60" s="721" customFormat="1" ht="12.75" customHeight="1" x14ac:dyDescent="0.2">
      <c r="A55" s="7" t="s">
        <v>336</v>
      </c>
      <c r="B55" s="726"/>
      <c r="C55" s="160">
        <v>0.42659373944595735</v>
      </c>
      <c r="D55" s="755"/>
      <c r="E55" s="755"/>
      <c r="F55" s="386">
        <v>4.3813047125373712E-2</v>
      </c>
      <c r="G55" s="386">
        <v>6.1085714628974414E-2</v>
      </c>
      <c r="H55" s="386">
        <v>4.3141138777082248E-2</v>
      </c>
      <c r="I55" s="386">
        <v>4.1754223069279513E-2</v>
      </c>
      <c r="J55" s="386">
        <v>3.9547109730914139E-2</v>
      </c>
      <c r="K55" s="386">
        <v>4.3293398395386193E-2</v>
      </c>
      <c r="L55" s="386">
        <v>4.4455718852628938E-2</v>
      </c>
      <c r="M55" s="386">
        <v>4.9665920707575133E-2</v>
      </c>
      <c r="N55" s="386">
        <v>4.4400401888324594E-2</v>
      </c>
      <c r="O55" s="386">
        <v>4.4916805432972613E-2</v>
      </c>
      <c r="P55" s="386">
        <v>6.3087154807903584E-2</v>
      </c>
      <c r="Q55" s="386">
        <v>7.4506764114205565E-2</v>
      </c>
      <c r="R55" s="386">
        <v>4.0395740945005969E-2</v>
      </c>
      <c r="S55" s="386">
        <v>4.6210333425744987E-2</v>
      </c>
      <c r="T55" s="386">
        <v>6.443514644351464E-2</v>
      </c>
      <c r="U55" s="386">
        <v>1.3330579598580575E-3</v>
      </c>
      <c r="V55" s="35">
        <v>-1.0258688584179811E-2</v>
      </c>
      <c r="W55" s="386">
        <v>1.5951560623778616E-2</v>
      </c>
      <c r="X55" s="386">
        <v>3.1637471949626551E-2</v>
      </c>
      <c r="Y55" s="725"/>
      <c r="Z55" s="755"/>
      <c r="AA55" s="755"/>
      <c r="AB55" s="755"/>
      <c r="AC55" s="725"/>
      <c r="AD55" s="755"/>
      <c r="AE55" s="755"/>
      <c r="AF55" s="755"/>
      <c r="AG55" s="725"/>
      <c r="AH55" s="183"/>
      <c r="AI55" s="183"/>
      <c r="AJ55" s="183"/>
      <c r="AK55" s="183"/>
      <c r="AL55" s="183"/>
      <c r="AM55" s="183"/>
      <c r="AN55" s="183"/>
      <c r="AO55" s="183"/>
      <c r="AP55" s="725"/>
      <c r="AQ55" s="386">
        <v>4.7223653319923863E-2</v>
      </c>
      <c r="AR55" s="386">
        <v>4.5631226142817241E-2</v>
      </c>
      <c r="AS55" s="160">
        <v>0.2497382411256327</v>
      </c>
      <c r="AT55" s="755"/>
      <c r="AU55" s="725"/>
      <c r="AV55" s="386">
        <v>4.6323471807966504E-2</v>
      </c>
      <c r="AW55" s="386">
        <v>4.3826089396710177E-2</v>
      </c>
      <c r="AX55" s="386">
        <v>5.5065598490569828E-2</v>
      </c>
      <c r="AY55" s="386">
        <v>3.6247817691249601E-2</v>
      </c>
      <c r="AZ55" s="386">
        <v>1.0869416436150423E-2</v>
      </c>
      <c r="BA55" s="386">
        <v>3.0808415737866145E-2</v>
      </c>
      <c r="BB55" s="386">
        <v>1.560743613950402E-2</v>
      </c>
      <c r="BC55" s="386">
        <v>1.2490106474159272E-2</v>
      </c>
      <c r="BD55" s="754"/>
      <c r="BE55" s="304"/>
      <c r="BF55" s="304"/>
      <c r="BG55" s="304"/>
    </row>
    <row r="56" spans="1:60" ht="12.75" customHeight="1" x14ac:dyDescent="0.2">
      <c r="A56" s="143" t="s">
        <v>79</v>
      </c>
      <c r="B56" s="144"/>
      <c r="C56" s="160">
        <v>5.346076303048636</v>
      </c>
      <c r="D56" s="41"/>
      <c r="E56" s="41"/>
      <c r="F56" s="386">
        <v>0.54440453401587341</v>
      </c>
      <c r="G56" s="386">
        <v>0.52380895170930675</v>
      </c>
      <c r="H56" s="386">
        <v>0.5053053485192851</v>
      </c>
      <c r="I56" s="386">
        <v>0.49820407564873187</v>
      </c>
      <c r="J56" s="386">
        <v>0.49094377098538705</v>
      </c>
      <c r="K56" s="386">
        <v>0.49739131187786578</v>
      </c>
      <c r="L56" s="386">
        <v>0.47740390385475651</v>
      </c>
      <c r="M56" s="386">
        <v>0.46106146952160698</v>
      </c>
      <c r="N56" s="386">
        <v>0.51978015424070179</v>
      </c>
      <c r="O56" s="386">
        <v>0.49624135337365166</v>
      </c>
      <c r="P56" s="386">
        <v>0.50650860937089692</v>
      </c>
      <c r="Q56" s="386">
        <v>0.52194119680834705</v>
      </c>
      <c r="R56" s="386">
        <v>0.53824032595727433</v>
      </c>
      <c r="S56" s="386">
        <v>0.47207703074603252</v>
      </c>
      <c r="T56" s="386">
        <v>0.5174728033472803</v>
      </c>
      <c r="U56" s="386">
        <v>0.4857462934104379</v>
      </c>
      <c r="V56" s="386">
        <v>0.48217048001777096</v>
      </c>
      <c r="W56" s="386">
        <v>0.49695095630881281</v>
      </c>
      <c r="X56" s="386">
        <v>0.47250561007468933</v>
      </c>
      <c r="Y56" s="386">
        <v>0.47713554111784723</v>
      </c>
      <c r="Z56" s="386">
        <v>0.50849908826056889</v>
      </c>
      <c r="AA56" s="386">
        <v>0.5419955311004232</v>
      </c>
      <c r="AB56" s="386">
        <v>0.51692203258339797</v>
      </c>
      <c r="AC56" s="386">
        <v>0.49804674712468083</v>
      </c>
      <c r="AD56" s="386">
        <v>0.42060450857976001</v>
      </c>
      <c r="AE56" s="386">
        <v>0.49661650685874204</v>
      </c>
      <c r="AF56" s="386">
        <v>0.45996084057421793</v>
      </c>
      <c r="AG56" s="184">
        <v>0.47899923570419434</v>
      </c>
      <c r="AH56" s="184">
        <v>0.443</v>
      </c>
      <c r="AI56" s="184">
        <v>0.495</v>
      </c>
      <c r="AJ56" s="184">
        <v>0.45</v>
      </c>
      <c r="AK56" s="184">
        <v>0.49399999999999999</v>
      </c>
      <c r="AL56" s="184">
        <v>0.52400000000000002</v>
      </c>
      <c r="AM56" s="184">
        <v>0.502</v>
      </c>
      <c r="AN56" s="184">
        <v>0.48099999999999998</v>
      </c>
      <c r="AO56" s="184">
        <v>0.50900000000000001</v>
      </c>
      <c r="AP56" s="146"/>
      <c r="AQ56" s="386">
        <v>0.5073669824679391</v>
      </c>
      <c r="AR56" s="386">
        <v>0.47999155439105162</v>
      </c>
      <c r="AS56" s="160">
        <v>3.3901483033064004</v>
      </c>
      <c r="AT56" s="41"/>
      <c r="AU56" s="146"/>
      <c r="AV56" s="386">
        <v>0.51714252301697505</v>
      </c>
      <c r="AW56" s="386">
        <v>0.48324103998391105</v>
      </c>
      <c r="AX56" s="386">
        <v>0.51024059052441162</v>
      </c>
      <c r="AY56" s="386">
        <v>0.50409348217119887</v>
      </c>
      <c r="AZ56" s="386">
        <v>0.48411024462719832</v>
      </c>
      <c r="BA56" s="386">
        <v>0.51786119330882696</v>
      </c>
      <c r="BB56" s="35">
        <v>0.46471894683298409</v>
      </c>
      <c r="BC56" s="35">
        <v>0.47399999999999998</v>
      </c>
      <c r="BD56" s="185">
        <v>0.50600000000000001</v>
      </c>
      <c r="BE56" s="305">
        <v>0.51300000000000001</v>
      </c>
      <c r="BF56" s="305">
        <v>0.50900000000000001</v>
      </c>
      <c r="BG56" s="305">
        <v>0.54400000000000004</v>
      </c>
    </row>
    <row r="57" spans="1:60" ht="12.75" customHeight="1" x14ac:dyDescent="0.2">
      <c r="A57" s="143" t="s">
        <v>217</v>
      </c>
      <c r="B57" s="144"/>
      <c r="C57" s="160">
        <v>5.1228334996387126</v>
      </c>
      <c r="D57" s="547"/>
      <c r="E57" s="41"/>
      <c r="F57" s="386">
        <v>0.6413610651065752</v>
      </c>
      <c r="G57" s="386">
        <v>0.64653302977695815</v>
      </c>
      <c r="H57" s="386">
        <v>0.59108819956744585</v>
      </c>
      <c r="I57" s="386">
        <v>0.58996725797781358</v>
      </c>
      <c r="J57" s="386">
        <v>0.59013273011018808</v>
      </c>
      <c r="K57" s="386">
        <v>0.58983196151697925</v>
      </c>
      <c r="L57" s="386">
        <v>0.59472685018493665</v>
      </c>
      <c r="M57" s="386">
        <v>0.58449188435675714</v>
      </c>
      <c r="N57" s="386">
        <v>0.6244959191819095</v>
      </c>
      <c r="O57" s="386">
        <v>0.58790102737790373</v>
      </c>
      <c r="P57" s="386">
        <v>0.62228414407365529</v>
      </c>
      <c r="Q57" s="386">
        <v>0.66525508615863527</v>
      </c>
      <c r="R57" s="386">
        <v>0.63748508655426239</v>
      </c>
      <c r="S57" s="386">
        <v>0.5735653091169729</v>
      </c>
      <c r="T57" s="386">
        <v>0.63599163179916318</v>
      </c>
      <c r="U57" s="386">
        <v>0.59187283378081523</v>
      </c>
      <c r="V57" s="386">
        <v>0.55302409176275769</v>
      </c>
      <c r="W57" s="386">
        <v>0.55478860748565728</v>
      </c>
      <c r="X57" s="386">
        <v>0.58184010449810764</v>
      </c>
      <c r="Y57" s="386">
        <v>0.58124502195277683</v>
      </c>
      <c r="Z57" s="386">
        <v>0.6250689917768788</v>
      </c>
      <c r="AA57" s="386">
        <v>0.62828455458235422</v>
      </c>
      <c r="AB57" s="386">
        <v>0.62992145073700545</v>
      </c>
      <c r="AC57" s="386">
        <v>0.5984519470693932</v>
      </c>
      <c r="AD57" s="386">
        <v>0.55440390294964292</v>
      </c>
      <c r="AE57" s="386">
        <v>0.64362068174519427</v>
      </c>
      <c r="AF57" s="386">
        <v>0.58804103619088866</v>
      </c>
      <c r="AG57" s="184">
        <v>0.56841605484401414</v>
      </c>
      <c r="AH57" s="184">
        <v>0.54500000000000004</v>
      </c>
      <c r="AI57" s="184">
        <v>0.56399999999999995</v>
      </c>
      <c r="AJ57" s="184">
        <v>0.52900000000000003</v>
      </c>
      <c r="AK57" s="184">
        <v>0.55200000000000005</v>
      </c>
      <c r="AL57" s="184">
        <v>0.58399999999999996</v>
      </c>
      <c r="AM57" s="184">
        <v>0.56699999999999995</v>
      </c>
      <c r="AN57" s="184">
        <v>0.54900000000000004</v>
      </c>
      <c r="AO57" s="184">
        <v>0.56999999999999995</v>
      </c>
      <c r="AP57" s="146"/>
      <c r="AQ57" s="386">
        <v>0.60490083264177896</v>
      </c>
      <c r="AR57" s="386">
        <v>0.58966144413262933</v>
      </c>
      <c r="AS57" s="160">
        <v>2.5222724855714138</v>
      </c>
      <c r="AT57" s="41"/>
      <c r="AU57" s="146"/>
      <c r="AV57" s="386">
        <v>0.61452399794269286</v>
      </c>
      <c r="AW57" s="386">
        <v>0.58980127308697872</v>
      </c>
      <c r="AX57" s="386">
        <v>0.62129260012896392</v>
      </c>
      <c r="AY57" s="386">
        <v>0.60977674320177755</v>
      </c>
      <c r="AZ57" s="386">
        <v>0.5642714131236849</v>
      </c>
      <c r="BA57" s="386">
        <v>0.62073771896865482</v>
      </c>
      <c r="BB57" s="35">
        <v>0.58355609236353434</v>
      </c>
      <c r="BC57" s="35">
        <v>0.54900000000000004</v>
      </c>
      <c r="BD57" s="185">
        <v>0.56899999999999995</v>
      </c>
      <c r="BE57" s="305">
        <v>0.58499999999999996</v>
      </c>
      <c r="BF57" s="305">
        <v>0.61499999999999999</v>
      </c>
      <c r="BG57" s="305">
        <v>0.63600000000000001</v>
      </c>
    </row>
    <row r="58" spans="1:60" ht="12.75" customHeight="1" x14ac:dyDescent="0.2">
      <c r="A58" s="143" t="s">
        <v>80</v>
      </c>
      <c r="B58" s="144"/>
      <c r="C58" s="160">
        <v>19.696426041941113</v>
      </c>
      <c r="D58" s="41"/>
      <c r="E58" s="41"/>
      <c r="F58" s="386">
        <v>0.48067881186415157</v>
      </c>
      <c r="G58" s="386">
        <v>0.50676694439271708</v>
      </c>
      <c r="H58" s="386">
        <v>0.30333388354897556</v>
      </c>
      <c r="I58" s="386">
        <v>0.31519490462460703</v>
      </c>
      <c r="J58" s="386">
        <v>0.28371455144474045</v>
      </c>
      <c r="K58" s="386">
        <v>0.30443498629626903</v>
      </c>
      <c r="L58" s="386">
        <v>0.4104884728268578</v>
      </c>
      <c r="M58" s="386">
        <v>0.36683562016973686</v>
      </c>
      <c r="N58" s="386">
        <v>0.34803712420459604</v>
      </c>
      <c r="O58" s="386">
        <v>0.35505189062751358</v>
      </c>
      <c r="P58" s="386">
        <v>0.47684607098644688</v>
      </c>
      <c r="Q58" s="386">
        <v>0.485562543602237</v>
      </c>
      <c r="R58" s="386">
        <v>0.5315658555252909</v>
      </c>
      <c r="S58" s="386">
        <v>0.39217250775919776</v>
      </c>
      <c r="T58" s="386">
        <v>0.42171548117154811</v>
      </c>
      <c r="U58" s="386">
        <v>0.30856223753465639</v>
      </c>
      <c r="V58" s="386">
        <v>0.21144611159352975</v>
      </c>
      <c r="W58" s="386">
        <v>0.20224538326910851</v>
      </c>
      <c r="X58" s="386">
        <v>0.32030009712965135</v>
      </c>
      <c r="Y58" s="386">
        <v>0.3685236017035618</v>
      </c>
      <c r="Z58" s="386">
        <v>0.33667987116877313</v>
      </c>
      <c r="AA58" s="386">
        <v>0.24290259069152467</v>
      </c>
      <c r="AB58" s="386">
        <v>0.30655223687613137</v>
      </c>
      <c r="AC58" s="386">
        <v>0.28518946916624838</v>
      </c>
      <c r="AD58" s="386">
        <v>0.38311712587386443</v>
      </c>
      <c r="AE58" s="386">
        <v>1.1871931917236318</v>
      </c>
      <c r="AF58" s="386">
        <v>0.45685695982098551</v>
      </c>
      <c r="AG58" s="184">
        <v>0.29634821780114412</v>
      </c>
      <c r="AH58" s="184">
        <v>0.80700000000000005</v>
      </c>
      <c r="AI58" s="184">
        <v>0.30300000000000005</v>
      </c>
      <c r="AJ58" s="184">
        <v>0.35099999999999998</v>
      </c>
      <c r="AK58" s="184">
        <v>0.20899999999999996</v>
      </c>
      <c r="AL58" s="184">
        <v>0.23099999999999998</v>
      </c>
      <c r="AM58" s="184">
        <v>0.24400000000000011</v>
      </c>
      <c r="AN58" s="184">
        <v>0.28899999999999992</v>
      </c>
      <c r="AO58" s="184">
        <v>0.24</v>
      </c>
      <c r="AP58" s="146"/>
      <c r="AQ58" s="386">
        <v>0.36006435312155832</v>
      </c>
      <c r="AR58" s="386">
        <v>0.3561785947038717</v>
      </c>
      <c r="AS58" s="160">
        <v>5.7220083911170114</v>
      </c>
      <c r="AT58" s="41"/>
      <c r="AU58" s="146"/>
      <c r="AV58" s="386">
        <v>0.39189884225381855</v>
      </c>
      <c r="AW58" s="386">
        <v>0.33467875834264843</v>
      </c>
      <c r="AX58" s="386">
        <v>0.40844186962597945</v>
      </c>
      <c r="AY58" s="386">
        <v>0.41687222251613587</v>
      </c>
      <c r="AZ58" s="386">
        <v>0.25844324074108638</v>
      </c>
      <c r="BA58" s="386">
        <v>0.28984636482164777</v>
      </c>
      <c r="BB58" s="35">
        <v>0.51524425344500246</v>
      </c>
      <c r="BC58" s="35">
        <v>0.38100000000000001</v>
      </c>
      <c r="BD58" s="185">
        <v>0.248</v>
      </c>
      <c r="BE58" s="305">
        <v>0.21100000000000008</v>
      </c>
      <c r="BF58" s="305">
        <v>0.21699999999999997</v>
      </c>
      <c r="BG58" s="305">
        <v>0.20799999999999996</v>
      </c>
    </row>
    <row r="59" spans="1:60" ht="12.75" customHeight="1" x14ac:dyDescent="0.2">
      <c r="A59" s="143" t="s">
        <v>81</v>
      </c>
      <c r="B59" s="143"/>
      <c r="C59" s="160">
        <v>24.819259541579818</v>
      </c>
      <c r="D59" s="755"/>
      <c r="E59" s="41"/>
      <c r="F59" s="386">
        <v>1.1220398769707267</v>
      </c>
      <c r="G59" s="386">
        <v>1.1532999741696752</v>
      </c>
      <c r="H59" s="386">
        <v>0.89442208311642135</v>
      </c>
      <c r="I59" s="386">
        <v>0.90516216260242066</v>
      </c>
      <c r="J59" s="386">
        <v>0.87384728155492852</v>
      </c>
      <c r="K59" s="386">
        <v>0.89426694781324823</v>
      </c>
      <c r="L59" s="386">
        <v>1.0052153230117944</v>
      </c>
      <c r="M59" s="386">
        <v>0.95132750452649406</v>
      </c>
      <c r="N59" s="386">
        <v>0.97253304338650559</v>
      </c>
      <c r="O59" s="386">
        <v>0.94295291800541736</v>
      </c>
      <c r="P59" s="386">
        <v>1.0981302150601022</v>
      </c>
      <c r="Q59" s="386">
        <v>1.1511176297608701</v>
      </c>
      <c r="R59" s="386">
        <v>1.1690509420795534</v>
      </c>
      <c r="S59" s="386">
        <v>0.96573781687617066</v>
      </c>
      <c r="T59" s="386">
        <v>1.0577071129707114</v>
      </c>
      <c r="U59" s="386">
        <v>0.90143507131547163</v>
      </c>
      <c r="V59" s="386">
        <v>0.76447020335628746</v>
      </c>
      <c r="W59" s="386">
        <v>0.75703399075476585</v>
      </c>
      <c r="X59" s="386">
        <v>0.90214020162775899</v>
      </c>
      <c r="Y59" s="386">
        <v>0.94976862365633863</v>
      </c>
      <c r="Z59" s="386">
        <v>0.96174886294565198</v>
      </c>
      <c r="AA59" s="386">
        <v>0.87118714527387886</v>
      </c>
      <c r="AB59" s="386">
        <v>0.93747368761313676</v>
      </c>
      <c r="AC59" s="386">
        <v>0.88264141623564163</v>
      </c>
      <c r="AD59" s="386">
        <v>0.93752102882350741</v>
      </c>
      <c r="AE59" s="386">
        <v>1.830813873468826</v>
      </c>
      <c r="AF59" s="386">
        <v>1.0448979960118741</v>
      </c>
      <c r="AG59" s="184">
        <v>0.86376427264515832</v>
      </c>
      <c r="AH59" s="184">
        <v>1.3520000000000001</v>
      </c>
      <c r="AI59" s="184">
        <v>0.86699999999999999</v>
      </c>
      <c r="AJ59" s="184">
        <v>0.88</v>
      </c>
      <c r="AK59" s="184">
        <v>0.76100000000000001</v>
      </c>
      <c r="AL59" s="184">
        <v>0.81499999999999995</v>
      </c>
      <c r="AM59" s="184">
        <v>0.81100000000000005</v>
      </c>
      <c r="AN59" s="184">
        <v>0.83799999999999997</v>
      </c>
      <c r="AO59" s="184">
        <v>0.81</v>
      </c>
      <c r="AP59" s="146"/>
      <c r="AQ59" s="386">
        <v>0.96496518576333723</v>
      </c>
      <c r="AR59" s="386">
        <v>0.94584003883650103</v>
      </c>
      <c r="AS59" s="160">
        <v>8.2442808766884248</v>
      </c>
      <c r="AT59" s="41"/>
      <c r="AU59" s="146"/>
      <c r="AV59" s="386">
        <v>1.0064228401965114</v>
      </c>
      <c r="AW59" s="386">
        <v>0.92398003142962715</v>
      </c>
      <c r="AX59" s="386">
        <v>1.0297344697549433</v>
      </c>
      <c r="AY59" s="386">
        <v>1.0266489657179134</v>
      </c>
      <c r="AZ59" s="386">
        <v>0.82271465386477127</v>
      </c>
      <c r="BA59" s="386">
        <v>0.91058408379030265</v>
      </c>
      <c r="BB59" s="35">
        <v>1.0988003458085367</v>
      </c>
      <c r="BC59" s="35">
        <v>0.93</v>
      </c>
      <c r="BD59" s="185">
        <v>0.81699999999999995</v>
      </c>
      <c r="BE59" s="305">
        <v>0.79600000000000004</v>
      </c>
      <c r="BF59" s="305">
        <v>0.83199999999999996</v>
      </c>
      <c r="BG59" s="305">
        <v>0.84399999999999997</v>
      </c>
    </row>
    <row r="60" spans="1:60" ht="12.75" customHeight="1" x14ac:dyDescent="0.2">
      <c r="A60" s="143" t="s">
        <v>82</v>
      </c>
      <c r="B60" s="143"/>
      <c r="C60" s="160">
        <v>-24.819259541579825</v>
      </c>
      <c r="D60" s="755"/>
      <c r="E60" s="755"/>
      <c r="F60" s="184">
        <v>-0.12203987697072678</v>
      </c>
      <c r="G60" s="184">
        <v>-0.1532999741696752</v>
      </c>
      <c r="H60" s="184">
        <v>0.10557791688357861</v>
      </c>
      <c r="I60" s="184">
        <v>9.4837837397579366E-2</v>
      </c>
      <c r="J60" s="184">
        <v>0.12615271844507148</v>
      </c>
      <c r="K60" s="184">
        <v>0.10573305218675176</v>
      </c>
      <c r="L60" s="184">
        <v>-5.2153230117944855E-3</v>
      </c>
      <c r="M60" s="184">
        <v>4.8672495473505988E-2</v>
      </c>
      <c r="N60" s="184">
        <v>2.7466956613494457E-2</v>
      </c>
      <c r="O60" s="184">
        <v>5.704708199458268E-2</v>
      </c>
      <c r="P60" s="184">
        <v>-9.8130215060102138E-2</v>
      </c>
      <c r="Q60" s="184">
        <v>-0.15071762976087211</v>
      </c>
      <c r="R60" s="184">
        <v>-0.16905094207955337</v>
      </c>
      <c r="S60" s="184">
        <v>3.4262183123829358E-2</v>
      </c>
      <c r="T60" s="184">
        <v>-5.7707112970711294E-2</v>
      </c>
      <c r="U60" s="184">
        <v>9.8564928684528388E-2</v>
      </c>
      <c r="V60" s="184">
        <v>0.23552979664371251</v>
      </c>
      <c r="W60" s="184">
        <v>0.24296600924523415</v>
      </c>
      <c r="X60" s="184">
        <v>9.7859798372241014E-2</v>
      </c>
      <c r="Y60" s="184">
        <v>5.0231376343661344E-2</v>
      </c>
      <c r="Z60" s="184">
        <v>3.8251137054348051E-2</v>
      </c>
      <c r="AA60" s="184">
        <v>0.12881285472612111</v>
      </c>
      <c r="AB60" s="184">
        <v>6.3526312386863196E-2</v>
      </c>
      <c r="AC60" s="184">
        <v>0.11635858376435841</v>
      </c>
      <c r="AD60" s="184">
        <v>6.2478971176492579E-2</v>
      </c>
      <c r="AE60" s="184">
        <v>-0.83081387346882596</v>
      </c>
      <c r="AF60" s="184">
        <v>-4.489799601187415E-2</v>
      </c>
      <c r="AG60" s="184">
        <v>0.13623572735484168</v>
      </c>
      <c r="AH60" s="184">
        <v>-0.35200000000000009</v>
      </c>
      <c r="AI60" s="184">
        <v>0.13300000000000001</v>
      </c>
      <c r="AJ60" s="184">
        <v>0.12</v>
      </c>
      <c r="AK60" s="184">
        <v>0.23899999999999999</v>
      </c>
      <c r="AL60" s="184">
        <v>0.185</v>
      </c>
      <c r="AM60" s="184">
        <v>0.18899999999999995</v>
      </c>
      <c r="AN60" s="184">
        <v>0.16200000000000003</v>
      </c>
      <c r="AO60" s="184">
        <v>0.19</v>
      </c>
      <c r="AP60" s="146"/>
      <c r="AQ60" s="184">
        <v>3.503481423666277E-2</v>
      </c>
      <c r="AR60" s="184">
        <v>5.4159961163499012E-2</v>
      </c>
      <c r="AS60" s="160">
        <v>-8.194280876688433</v>
      </c>
      <c r="AT60" s="41"/>
      <c r="AU60" s="146"/>
      <c r="AV60" s="184">
        <v>-6.4228401965114338E-3</v>
      </c>
      <c r="AW60" s="184">
        <v>7.5519968570372895E-2</v>
      </c>
      <c r="AX60" s="184">
        <v>-2.9734469754943409E-2</v>
      </c>
      <c r="AY60" s="184">
        <v>-2.6648965717913448E-2</v>
      </c>
      <c r="AZ60" s="184">
        <v>0.17728534613522873</v>
      </c>
      <c r="BA60" s="184">
        <v>8.9415916209697383E-2</v>
      </c>
      <c r="BB60" s="35">
        <v>-9.8800345808536777E-2</v>
      </c>
      <c r="BC60" s="35">
        <v>6.9999999999999951E-2</v>
      </c>
      <c r="BD60" s="185">
        <v>0.18300000000000005</v>
      </c>
      <c r="BE60" s="305">
        <v>0.20399999999999996</v>
      </c>
      <c r="BF60" s="305">
        <v>0.16800000000000004</v>
      </c>
      <c r="BG60" s="305">
        <v>0.15600000000000003</v>
      </c>
    </row>
    <row r="61" spans="1:60" ht="12.75" customHeight="1" x14ac:dyDescent="0.2">
      <c r="A61" s="144" t="s">
        <v>83</v>
      </c>
      <c r="B61" s="144"/>
      <c r="C61" s="160">
        <v>-11.80894098496081</v>
      </c>
      <c r="D61" s="41"/>
      <c r="E61" s="41"/>
      <c r="F61" s="184">
        <v>7.2188931970391265E-2</v>
      </c>
      <c r="G61" s="184">
        <v>0.15834639498432601</v>
      </c>
      <c r="H61" s="184">
        <v>0.293886550410904</v>
      </c>
      <c r="I61" s="184">
        <v>0.18975437993816557</v>
      </c>
      <c r="J61" s="184">
        <v>0.19027834181999936</v>
      </c>
      <c r="K61" s="184">
        <v>0.24922194922194923</v>
      </c>
      <c r="L61" s="184">
        <v>0.91631799163179917</v>
      </c>
      <c r="M61" s="184">
        <v>0.13497201799626907</v>
      </c>
      <c r="N61" s="184">
        <v>-7.2991481543343908E-2</v>
      </c>
      <c r="O61" s="184">
        <v>0.21774255011050986</v>
      </c>
      <c r="P61" s="184">
        <v>0.18950357708481241</v>
      </c>
      <c r="Q61" s="184">
        <v>0.15825135719825298</v>
      </c>
      <c r="R61" s="184">
        <v>-5.8424048736642364E-2</v>
      </c>
      <c r="S61" s="184">
        <v>0.50049338859285575</v>
      </c>
      <c r="T61" s="184">
        <v>0.23462877030162413</v>
      </c>
      <c r="U61" s="184">
        <v>0.16216902660486379</v>
      </c>
      <c r="V61" s="184">
        <v>0.29139515741820426</v>
      </c>
      <c r="W61" s="184">
        <v>0.30555914464758704</v>
      </c>
      <c r="X61" s="184">
        <v>0.29830926141419672</v>
      </c>
      <c r="Y61" s="184">
        <v>0.32223823876294061</v>
      </c>
      <c r="Z61" s="184">
        <v>-0.37461187214611874</v>
      </c>
      <c r="AA61" s="184">
        <v>0.3225907664724339</v>
      </c>
      <c r="AB61" s="184">
        <v>0.14183946062841879</v>
      </c>
      <c r="AC61" s="184">
        <v>0.43032197561738045</v>
      </c>
      <c r="AD61" s="184">
        <v>0.45160807778608825</v>
      </c>
      <c r="AE61" s="184">
        <v>0.13886549691456024</v>
      </c>
      <c r="AF61" s="184">
        <v>-8.4807073954983922E-2</v>
      </c>
      <c r="AG61" s="184">
        <v>0.30048025840452208</v>
      </c>
      <c r="AH61" s="184">
        <v>0.30467977372522648</v>
      </c>
      <c r="AI61" s="184">
        <v>0.38100000000000001</v>
      </c>
      <c r="AJ61" s="184">
        <v>0.35099999999999998</v>
      </c>
      <c r="AK61" s="184">
        <v>0.33500000000000002</v>
      </c>
      <c r="AL61" s="184">
        <v>0.35180386685270082</v>
      </c>
      <c r="AM61" s="184">
        <v>0.29599999999999999</v>
      </c>
      <c r="AN61" s="184">
        <v>0.29499999999999998</v>
      </c>
      <c r="AO61" s="184">
        <v>0.33800000000000002</v>
      </c>
      <c r="AP61" s="146"/>
      <c r="AQ61" s="184">
        <v>0.33940914894553781</v>
      </c>
      <c r="AR61" s="184">
        <v>0.19768548362341529</v>
      </c>
      <c r="AS61" s="160">
        <v>-119.47214565568972</v>
      </c>
      <c r="AT61" s="41"/>
      <c r="AU61" s="146"/>
      <c r="AV61" s="184">
        <v>-1.0007070885628424</v>
      </c>
      <c r="AW61" s="184">
        <v>0.19401436799405461</v>
      </c>
      <c r="AX61" s="184">
        <v>0.20787275335414732</v>
      </c>
      <c r="AY61" s="184">
        <v>-0.32427569948507973</v>
      </c>
      <c r="AZ61" s="184">
        <v>0.29991156156999271</v>
      </c>
      <c r="BA61" s="184">
        <v>0.25452644216804476</v>
      </c>
      <c r="BB61" s="35">
        <v>-9.576474077840633E-3</v>
      </c>
      <c r="BC61" s="35">
        <v>0.39193883293551457</v>
      </c>
      <c r="BD61" s="11">
        <v>0.32374798295187307</v>
      </c>
      <c r="BE61" s="305">
        <v>0.318</v>
      </c>
      <c r="BF61" s="305">
        <v>0.33200000000000002</v>
      </c>
      <c r="BG61" s="305">
        <v>0.35399999999999998</v>
      </c>
    </row>
    <row r="62" spans="1:60" ht="12.75" customHeight="1" x14ac:dyDescent="0.2">
      <c r="A62" s="144" t="s">
        <v>84</v>
      </c>
      <c r="B62" s="144"/>
      <c r="C62" s="160">
        <v>-21.537853695767009</v>
      </c>
      <c r="D62" s="41"/>
      <c r="E62" s="41"/>
      <c r="F62" s="184">
        <v>-0.11322994859441206</v>
      </c>
      <c r="G62" s="184">
        <v>-0.12902547590871682</v>
      </c>
      <c r="H62" s="184">
        <v>7.4549987091094547E-2</v>
      </c>
      <c r="I62" s="184">
        <v>7.6841942367525132E-2</v>
      </c>
      <c r="J62" s="184">
        <v>0.10214858836325803</v>
      </c>
      <c r="K62" s="184">
        <v>7.9382054823583403E-2</v>
      </c>
      <c r="L62" s="184">
        <v>-4.3642870391585653E-4</v>
      </c>
      <c r="M62" s="184">
        <v>4.2103070538532614E-2</v>
      </c>
      <c r="N62" s="184">
        <v>2.9471810470200165E-2</v>
      </c>
      <c r="O62" s="184">
        <v>4.4625504884718892E-2</v>
      </c>
      <c r="P62" s="184">
        <v>-7.9534188286110863E-2</v>
      </c>
      <c r="Q62" s="184">
        <v>-0.12686636029751028</v>
      </c>
      <c r="R62" s="184">
        <v>-0.17892758255858451</v>
      </c>
      <c r="S62" s="184">
        <v>1.7114186991595049E-2</v>
      </c>
      <c r="T62" s="184">
        <v>-4.4167364016736405E-2</v>
      </c>
      <c r="U62" s="184">
        <v>8.2580750142380602E-2</v>
      </c>
      <c r="V62" s="184">
        <v>0.16689755447404026</v>
      </c>
      <c r="W62" s="184">
        <v>0.16872552328182266</v>
      </c>
      <c r="X62" s="184">
        <v>6.8667314197675591E-2</v>
      </c>
      <c r="Y62" s="184">
        <v>3.4044906100041468E-2</v>
      </c>
      <c r="Z62" s="184">
        <v>5.2580467117995154E-2</v>
      </c>
      <c r="AA62" s="184">
        <v>8.725901718851943E-2</v>
      </c>
      <c r="AB62" s="184">
        <v>5.4515774502198085E-2</v>
      </c>
      <c r="AC62" s="184">
        <v>6.6286928118839253E-2</v>
      </c>
      <c r="AD62" s="184">
        <v>3.4262963101424355E-2</v>
      </c>
      <c r="AE62" s="184">
        <v>-0.71544249208606692</v>
      </c>
      <c r="AF62" s="184">
        <v>-4.8705663680083736E-2</v>
      </c>
      <c r="AG62" s="184">
        <v>9.5299580795330852E-2</v>
      </c>
      <c r="AH62" s="184">
        <v>-0.245</v>
      </c>
      <c r="AI62" s="184">
        <v>8.2000000000000003E-2</v>
      </c>
      <c r="AJ62" s="184">
        <v>7.8E-2</v>
      </c>
      <c r="AK62" s="184">
        <v>0.159</v>
      </c>
      <c r="AL62" s="184">
        <v>0.12</v>
      </c>
      <c r="AM62" s="184">
        <v>0.13300000000000001</v>
      </c>
      <c r="AN62" s="184">
        <v>0.114</v>
      </c>
      <c r="AO62" s="184">
        <v>0.126</v>
      </c>
      <c r="AP62" s="146"/>
      <c r="AQ62" s="184">
        <v>2.3143677753132048E-2</v>
      </c>
      <c r="AR62" s="184">
        <v>4.3453323047867316E-2</v>
      </c>
      <c r="AS62" s="160">
        <v>-7.3718231507127916</v>
      </c>
      <c r="AT62" s="41"/>
      <c r="AU62" s="146"/>
      <c r="AV62" s="184">
        <v>-1.2850221909866786E-2</v>
      </c>
      <c r="AW62" s="184">
        <v>6.086800959726113E-2</v>
      </c>
      <c r="AX62" s="184">
        <v>-2.3553483657457703E-2</v>
      </c>
      <c r="AY62" s="184">
        <v>-3.5290577716643741E-2</v>
      </c>
      <c r="AZ62" s="184">
        <v>0.12411542113233562</v>
      </c>
      <c r="BA62" s="184">
        <v>6.6657201183647111E-2</v>
      </c>
      <c r="BB62" s="35">
        <v>-9.9746504759053931E-2</v>
      </c>
      <c r="BC62" s="35">
        <v>4.2999999999999997E-2</v>
      </c>
      <c r="BD62" s="11">
        <v>0.12346977331638732</v>
      </c>
      <c r="BE62" s="305">
        <v>0.13900000000000001</v>
      </c>
      <c r="BF62" s="305">
        <v>0.112</v>
      </c>
      <c r="BG62" s="305">
        <v>0.10100000000000001</v>
      </c>
    </row>
    <row r="63" spans="1:60" ht="12.75" customHeight="1" x14ac:dyDescent="0.2">
      <c r="A63" s="142"/>
      <c r="B63" s="142"/>
      <c r="C63" s="186"/>
      <c r="D63" s="41"/>
      <c r="E63" s="41"/>
      <c r="F63" s="755"/>
      <c r="G63" s="755"/>
      <c r="H63" s="755"/>
      <c r="I63" s="725"/>
      <c r="J63" s="755"/>
      <c r="K63" s="755"/>
      <c r="L63" s="755"/>
      <c r="M63" s="725"/>
      <c r="N63" s="755"/>
      <c r="O63" s="755"/>
      <c r="P63" s="755"/>
      <c r="Q63" s="725"/>
      <c r="R63" s="41"/>
      <c r="S63" s="41"/>
      <c r="T63" s="41"/>
      <c r="U63" s="146"/>
      <c r="V63" s="41"/>
      <c r="W63" s="41"/>
      <c r="X63" s="41"/>
      <c r="Y63" s="146"/>
      <c r="Z63" s="41"/>
      <c r="AA63" s="41"/>
      <c r="AB63" s="41"/>
      <c r="AC63" s="146"/>
      <c r="AD63" s="41"/>
      <c r="AE63" s="41"/>
      <c r="AF63" s="41"/>
      <c r="AG63" s="146"/>
      <c r="AH63" s="187"/>
      <c r="AI63" s="187"/>
      <c r="AJ63" s="187"/>
      <c r="AK63" s="187"/>
      <c r="AL63" s="187"/>
      <c r="AM63" s="187"/>
      <c r="AN63" s="187"/>
      <c r="AO63" s="187"/>
      <c r="AP63" s="146"/>
      <c r="AQ63" s="146"/>
      <c r="AR63" s="146"/>
      <c r="AS63" s="31"/>
      <c r="AT63" s="41"/>
      <c r="AU63" s="146"/>
      <c r="AV63" s="35"/>
      <c r="AW63" s="35"/>
      <c r="AX63" s="35"/>
      <c r="AY63" s="35"/>
      <c r="AZ63" s="35"/>
      <c r="BA63" s="35"/>
      <c r="BB63" s="42"/>
      <c r="BC63" s="42"/>
      <c r="BD63" s="188"/>
      <c r="BE63" s="306"/>
      <c r="BF63" s="306"/>
      <c r="BG63" s="306"/>
    </row>
    <row r="64" spans="1:60" s="103" customFormat="1" ht="12.75" customHeight="1" x14ac:dyDescent="0.2">
      <c r="A64" s="726" t="s">
        <v>436</v>
      </c>
      <c r="B64" s="726"/>
      <c r="C64" s="40">
        <v>-0.57000000000000006</v>
      </c>
      <c r="D64" s="755">
        <v>-2.3750000000000004</v>
      </c>
      <c r="E64" s="755"/>
      <c r="F64" s="392">
        <v>-0.33</v>
      </c>
      <c r="G64" s="392">
        <v>-0.27</v>
      </c>
      <c r="H64" s="392">
        <v>0.16</v>
      </c>
      <c r="I64" s="392">
        <v>0.16</v>
      </c>
      <c r="J64" s="392">
        <v>0.24</v>
      </c>
      <c r="K64" s="392">
        <v>0.15</v>
      </c>
      <c r="L64" s="392">
        <v>-0.03</v>
      </c>
      <c r="M64" s="392">
        <v>0.06</v>
      </c>
      <c r="N64" s="392">
        <v>0.04</v>
      </c>
      <c r="O64" s="392">
        <v>0.09</v>
      </c>
      <c r="P64" s="392">
        <v>-0.19</v>
      </c>
      <c r="Q64" s="762">
        <v>-0.24</v>
      </c>
      <c r="R64" s="392">
        <v>-0.42</v>
      </c>
      <c r="S64" s="614">
        <v>0.02</v>
      </c>
      <c r="T64" s="392">
        <v>-0.09</v>
      </c>
      <c r="U64" s="614">
        <v>0.17</v>
      </c>
      <c r="V64" s="614">
        <v>0.55000000000000004</v>
      </c>
      <c r="W64" s="614">
        <v>0.56999999999999995</v>
      </c>
      <c r="X64" s="614">
        <v>0.14000000000000001</v>
      </c>
      <c r="Y64" s="614">
        <v>0.08</v>
      </c>
      <c r="Z64" s="392">
        <v>0.15</v>
      </c>
      <c r="AA64" s="392">
        <v>0.31</v>
      </c>
      <c r="AB64" s="392">
        <v>0.14000000000000001</v>
      </c>
      <c r="AC64" s="7">
        <v>0.19</v>
      </c>
      <c r="AD64" s="392">
        <v>7.0000000000000007E-2</v>
      </c>
      <c r="AE64" s="392">
        <v>-1.27</v>
      </c>
      <c r="AF64" s="392">
        <v>-0.11</v>
      </c>
      <c r="AG64" s="7">
        <v>0.35</v>
      </c>
      <c r="AH64" s="32">
        <v>-0.8</v>
      </c>
      <c r="AI64" s="32">
        <v>0.34</v>
      </c>
      <c r="AJ64" s="32">
        <v>0.28000000000000003</v>
      </c>
      <c r="AK64" s="32">
        <v>0.86</v>
      </c>
      <c r="AL64" s="32">
        <v>0.56999999999999995</v>
      </c>
      <c r="AM64" s="32">
        <v>0.51</v>
      </c>
      <c r="AN64" s="32">
        <v>0.39</v>
      </c>
      <c r="AO64" s="32">
        <v>0.56999999999999995</v>
      </c>
      <c r="AP64" s="7"/>
      <c r="AQ64" s="40">
        <v>0.05</v>
      </c>
      <c r="AR64" s="51">
        <v>0.18</v>
      </c>
      <c r="AS64" s="40">
        <v>-0.69</v>
      </c>
      <c r="AT64" s="755">
        <v>-1.6428571428571428</v>
      </c>
      <c r="AU64" s="7"/>
      <c r="AV64" s="32">
        <v>-0.27</v>
      </c>
      <c r="AW64" s="32">
        <v>0.42</v>
      </c>
      <c r="AX64" s="32">
        <v>-0.31</v>
      </c>
      <c r="AY64" s="32">
        <v>-0.33</v>
      </c>
      <c r="AZ64" s="32">
        <v>1.37</v>
      </c>
      <c r="BA64" s="32">
        <v>0.79</v>
      </c>
      <c r="BB64" s="32">
        <v>-0.97</v>
      </c>
      <c r="BC64" s="32">
        <v>0.7</v>
      </c>
      <c r="BD64" s="32">
        <v>2.0299999999999998</v>
      </c>
      <c r="BE64" s="304">
        <v>1.82</v>
      </c>
      <c r="BF64" s="304">
        <v>1.17</v>
      </c>
      <c r="BG64" s="304">
        <v>1.43</v>
      </c>
    </row>
    <row r="65" spans="1:63" s="103" customFormat="1" ht="12.75" customHeight="1" x14ac:dyDescent="0.2">
      <c r="A65" s="726" t="s">
        <v>437</v>
      </c>
      <c r="B65" s="726"/>
      <c r="C65" s="40">
        <v>-0.55000000000000004</v>
      </c>
      <c r="D65" s="755">
        <v>-2.5</v>
      </c>
      <c r="E65" s="755"/>
      <c r="F65" s="392">
        <v>-0.33</v>
      </c>
      <c r="G65" s="392">
        <v>-0.27</v>
      </c>
      <c r="H65" s="392">
        <v>0.14000000000000001</v>
      </c>
      <c r="I65" s="392">
        <v>0.15</v>
      </c>
      <c r="J65" s="392">
        <v>0.22</v>
      </c>
      <c r="K65" s="392">
        <v>0.14000000000000001</v>
      </c>
      <c r="L65" s="392">
        <v>-0.03</v>
      </c>
      <c r="M65" s="392">
        <v>0.06</v>
      </c>
      <c r="N65" s="392">
        <v>0.04</v>
      </c>
      <c r="O65" s="392">
        <v>0.08</v>
      </c>
      <c r="P65" s="392">
        <v>-0.19</v>
      </c>
      <c r="Q65" s="762">
        <v>-0.24</v>
      </c>
      <c r="R65" s="392">
        <v>-0.42</v>
      </c>
      <c r="S65" s="614">
        <v>0.01</v>
      </c>
      <c r="T65" s="392">
        <v>-0.09</v>
      </c>
      <c r="U65" s="614">
        <v>0.16</v>
      </c>
      <c r="V65" s="614">
        <v>0.49</v>
      </c>
      <c r="W65" s="614">
        <v>0.51</v>
      </c>
      <c r="X65" s="614">
        <v>0.12</v>
      </c>
      <c r="Y65" s="614">
        <v>7.0000000000000007E-2</v>
      </c>
      <c r="Z65" s="392">
        <v>0.14000000000000001</v>
      </c>
      <c r="AA65" s="392">
        <v>0.27</v>
      </c>
      <c r="AB65" s="392">
        <v>0.12</v>
      </c>
      <c r="AC65" s="7">
        <v>0.16</v>
      </c>
      <c r="AD65" s="392">
        <v>7.0000000000000007E-2</v>
      </c>
      <c r="AE65" s="392">
        <v>-1.27</v>
      </c>
      <c r="AF65" s="392">
        <v>-0.11</v>
      </c>
      <c r="AG65" s="7">
        <v>0.31</v>
      </c>
      <c r="AH65" s="32">
        <v>-0.8</v>
      </c>
      <c r="AI65" s="32">
        <v>0.31</v>
      </c>
      <c r="AJ65" s="32">
        <v>0.26</v>
      </c>
      <c r="AK65" s="32">
        <v>0.8</v>
      </c>
      <c r="AL65" s="32">
        <v>0.54</v>
      </c>
      <c r="AM65" s="32">
        <v>0.49</v>
      </c>
      <c r="AN65" s="32">
        <v>0.37</v>
      </c>
      <c r="AO65" s="32">
        <v>0.54</v>
      </c>
      <c r="AP65" s="7"/>
      <c r="AQ65" s="40">
        <v>0.05</v>
      </c>
      <c r="AR65" s="51">
        <v>0.16</v>
      </c>
      <c r="AS65" s="40">
        <v>-0.66</v>
      </c>
      <c r="AT65" s="755">
        <v>-1.6923076923076923</v>
      </c>
      <c r="AU65" s="7"/>
      <c r="AV65" s="32">
        <v>-0.27</v>
      </c>
      <c r="AW65" s="32">
        <v>0.39</v>
      </c>
      <c r="AX65" s="32">
        <v>-0.31</v>
      </c>
      <c r="AY65" s="32">
        <v>-0.33</v>
      </c>
      <c r="AZ65" s="32">
        <v>1.22</v>
      </c>
      <c r="BA65" s="32">
        <v>0.69</v>
      </c>
      <c r="BB65" s="32">
        <v>-0.97</v>
      </c>
      <c r="BC65" s="32">
        <v>0.64</v>
      </c>
      <c r="BD65" s="189">
        <v>1.94</v>
      </c>
      <c r="BE65" s="304">
        <v>1.74</v>
      </c>
      <c r="BF65" s="304">
        <v>1.1100000000000001</v>
      </c>
      <c r="BG65" s="304">
        <v>1.1200000000000001</v>
      </c>
    </row>
    <row r="66" spans="1:63" s="103" customFormat="1" ht="12.75" customHeight="1" x14ac:dyDescent="0.2">
      <c r="A66" s="726" t="s">
        <v>259</v>
      </c>
      <c r="B66" s="726"/>
      <c r="C66" s="40">
        <v>-0.34071674992177847</v>
      </c>
      <c r="D66" s="755">
        <v>-3.764825965986502E-2</v>
      </c>
      <c r="E66" s="755"/>
      <c r="F66" s="392">
        <v>8.7092832500782222</v>
      </c>
      <c r="G66" s="392">
        <v>8.6300000000000008</v>
      </c>
      <c r="H66" s="392">
        <v>8.9</v>
      </c>
      <c r="I66" s="392">
        <v>8.6999999999999993</v>
      </c>
      <c r="J66" s="392">
        <v>9.0500000000000007</v>
      </c>
      <c r="K66" s="392">
        <v>8.43</v>
      </c>
      <c r="L66" s="392">
        <v>8</v>
      </c>
      <c r="M66" s="392">
        <v>7.8690965112156039</v>
      </c>
      <c r="N66" s="392">
        <v>7.6805825717690102</v>
      </c>
      <c r="O66" s="392">
        <v>7.619629128942214</v>
      </c>
      <c r="P66" s="392">
        <v>7.6129029043796193</v>
      </c>
      <c r="Q66" s="614">
        <v>7.9026240300341399</v>
      </c>
      <c r="R66" s="614">
        <v>8.26</v>
      </c>
      <c r="S66" s="614">
        <v>8.54362469180208</v>
      </c>
      <c r="T66" s="392">
        <v>8.7541612287663693</v>
      </c>
      <c r="U66" s="614">
        <v>8.7073727909457759</v>
      </c>
      <c r="V66" s="614">
        <v>8.7928854314765257</v>
      </c>
      <c r="W66" s="614">
        <v>8.4331234596167377</v>
      </c>
      <c r="X66" s="614">
        <v>8.047419145036363</v>
      </c>
      <c r="Y66" s="614">
        <v>7.8610513978754888</v>
      </c>
      <c r="Z66" s="392">
        <v>6.96</v>
      </c>
      <c r="AA66" s="392">
        <v>7</v>
      </c>
      <c r="AB66" s="392">
        <v>6.78</v>
      </c>
      <c r="AC66" s="7">
        <v>6.73</v>
      </c>
      <c r="AD66" s="392">
        <v>6.51</v>
      </c>
      <c r="AE66" s="392">
        <v>6.37</v>
      </c>
      <c r="AF66" s="392">
        <v>7.15</v>
      </c>
      <c r="AG66" s="7">
        <v>7.66</v>
      </c>
      <c r="AH66" s="32">
        <v>7.21</v>
      </c>
      <c r="AI66" s="32">
        <v>7.95</v>
      </c>
      <c r="AJ66" s="32">
        <v>7.83</v>
      </c>
      <c r="AK66" s="32">
        <v>7.96</v>
      </c>
      <c r="AL66" s="32">
        <v>7.74</v>
      </c>
      <c r="AM66" s="32">
        <v>7.43</v>
      </c>
      <c r="AN66" s="32">
        <v>6.82</v>
      </c>
      <c r="AO66" s="32">
        <v>6.49</v>
      </c>
      <c r="AP66" s="7"/>
      <c r="AQ66" s="40">
        <v>8.6300000000000008</v>
      </c>
      <c r="AR66" s="614">
        <v>8.43</v>
      </c>
      <c r="AS66" s="40">
        <v>-0.34071674992177847</v>
      </c>
      <c r="AT66" s="755">
        <v>-3.764825965986502E-2</v>
      </c>
      <c r="AU66" s="7"/>
      <c r="AV66" s="32">
        <v>8.7092832500782222</v>
      </c>
      <c r="AW66" s="32">
        <v>9.0500000000000007</v>
      </c>
      <c r="AX66" s="32">
        <v>7.6805825717690102</v>
      </c>
      <c r="AY66" s="32">
        <v>8.26</v>
      </c>
      <c r="AZ66" s="32">
        <v>8.7885987238297076</v>
      </c>
      <c r="BA66" s="32">
        <v>6.96</v>
      </c>
      <c r="BB66" s="32">
        <v>6.51</v>
      </c>
      <c r="BC66" s="32">
        <v>7.21</v>
      </c>
      <c r="BD66" s="32">
        <v>7.74</v>
      </c>
      <c r="BE66" s="304">
        <v>5.99</v>
      </c>
      <c r="BF66" s="304">
        <v>4.82</v>
      </c>
      <c r="BG66" s="304">
        <v>2.59</v>
      </c>
    </row>
    <row r="67" spans="1:63" s="103" customFormat="1" ht="12.7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26"/>
      <c r="BF67" s="726"/>
      <c r="BG67" s="726"/>
    </row>
    <row r="68" spans="1:63" s="103" customFormat="1" ht="18" customHeight="1" x14ac:dyDescent="0.2">
      <c r="A68" s="859" t="s">
        <v>267</v>
      </c>
      <c r="B68" s="7"/>
      <c r="C68" s="726"/>
      <c r="D68" s="726"/>
      <c r="E68" s="7"/>
      <c r="F68" s="7"/>
      <c r="G68" s="7"/>
      <c r="H68" s="7"/>
      <c r="I68" s="7"/>
      <c r="J68" s="7"/>
      <c r="K68" s="7"/>
      <c r="L68" s="7"/>
      <c r="M68" s="7"/>
      <c r="N68" s="7"/>
      <c r="O68" s="7"/>
      <c r="P68" s="7"/>
      <c r="Q68" s="7"/>
      <c r="R68" s="7"/>
      <c r="S68" s="7"/>
      <c r="T68" s="7"/>
      <c r="U68" s="7"/>
      <c r="V68" s="7"/>
      <c r="W68" s="7"/>
      <c r="X68" s="7"/>
      <c r="Y68" s="7"/>
      <c r="Z68" s="7"/>
      <c r="AA68" s="7"/>
      <c r="AB68" s="399"/>
      <c r="AC68" s="7"/>
      <c r="AD68" s="7"/>
      <c r="AE68" s="7"/>
      <c r="AF68" s="7"/>
      <c r="AG68" s="7"/>
      <c r="AH68" s="7"/>
      <c r="AI68" s="7"/>
      <c r="AJ68" s="726"/>
      <c r="AK68" s="726"/>
      <c r="AL68" s="726"/>
      <c r="AM68" s="726"/>
      <c r="AN68" s="726"/>
      <c r="AO68" s="726"/>
      <c r="AP68" s="726"/>
      <c r="AQ68" s="1429"/>
      <c r="AR68" s="726"/>
      <c r="AS68" s="726"/>
      <c r="AT68" s="726"/>
      <c r="AU68" s="726"/>
      <c r="AV68" s="1430"/>
      <c r="AW68" s="1430"/>
      <c r="AX68" s="1430"/>
      <c r="AY68" s="1430"/>
      <c r="AZ68" s="726"/>
      <c r="BA68" s="726"/>
      <c r="BB68" s="726"/>
      <c r="BC68" s="726"/>
      <c r="BD68" s="726"/>
      <c r="BE68" s="304"/>
      <c r="BF68" s="304"/>
      <c r="BG68" s="304"/>
    </row>
    <row r="69" spans="1:63" s="103" customFormat="1" ht="12.75" customHeight="1" x14ac:dyDescent="0.2">
      <c r="A69" s="10"/>
      <c r="B69" s="7"/>
      <c r="C69" s="726"/>
      <c r="D69" s="726"/>
      <c r="E69" s="7"/>
      <c r="F69" s="1431"/>
      <c r="G69" s="1431"/>
      <c r="H69" s="1431"/>
      <c r="I69" s="7"/>
      <c r="J69" s="1431"/>
      <c r="K69" s="1431"/>
      <c r="L69" s="1431"/>
      <c r="M69" s="7"/>
      <c r="N69" s="1431"/>
      <c r="O69" s="1431"/>
      <c r="P69" s="1431"/>
      <c r="Q69" s="7"/>
      <c r="R69" s="1431"/>
      <c r="S69" s="7"/>
      <c r="T69" s="1431"/>
      <c r="U69" s="7"/>
      <c r="V69" s="1431"/>
      <c r="W69" s="7"/>
      <c r="X69" s="7"/>
      <c r="Y69" s="7"/>
      <c r="Z69" s="1431"/>
      <c r="AA69" s="1431"/>
      <c r="AB69" s="1431"/>
      <c r="AC69" s="7"/>
      <c r="AD69" s="1431"/>
      <c r="AE69" s="1431"/>
      <c r="AF69" s="7"/>
      <c r="AG69" s="7"/>
      <c r="AH69" s="7"/>
      <c r="AI69" s="7"/>
      <c r="AJ69" s="726"/>
      <c r="AK69" s="726"/>
      <c r="AL69" s="726"/>
      <c r="AM69" s="726"/>
      <c r="AN69" s="726"/>
      <c r="AO69" s="726"/>
      <c r="AP69" s="726"/>
      <c r="AQ69" s="726"/>
      <c r="AR69" s="726"/>
      <c r="AS69" s="726"/>
      <c r="AT69" s="726"/>
      <c r="AU69" s="726"/>
      <c r="AV69" s="726"/>
      <c r="AW69" s="726"/>
      <c r="AX69" s="726"/>
      <c r="AY69" s="726"/>
      <c r="AZ69" s="726"/>
      <c r="BA69" s="726"/>
      <c r="BB69" s="726"/>
      <c r="BC69" s="726"/>
      <c r="BD69" s="726"/>
      <c r="BE69" s="304"/>
      <c r="BF69" s="304"/>
      <c r="BG69" s="304"/>
    </row>
    <row r="70" spans="1:63" s="103" customFormat="1" ht="12.75" customHeight="1" x14ac:dyDescent="0.2">
      <c r="A70" s="6"/>
      <c r="B70" s="7"/>
      <c r="C70" s="1479" t="s">
        <v>447</v>
      </c>
      <c r="D70" s="1480"/>
      <c r="E70" s="256"/>
      <c r="F70" s="467"/>
      <c r="G70" s="467"/>
      <c r="H70" s="467"/>
      <c r="I70" s="1432"/>
      <c r="J70" s="467"/>
      <c r="K70" s="467"/>
      <c r="L70" s="467"/>
      <c r="M70" s="1432"/>
      <c r="N70" s="467"/>
      <c r="O70" s="467"/>
      <c r="P70" s="467"/>
      <c r="Q70" s="1432"/>
      <c r="R70" s="1451"/>
      <c r="S70" s="410"/>
      <c r="T70" s="467"/>
      <c r="U70" s="1432"/>
      <c r="V70" s="1451"/>
      <c r="W70" s="410"/>
      <c r="X70" s="410"/>
      <c r="Y70" s="1432"/>
      <c r="Z70" s="1451"/>
      <c r="AA70" s="467"/>
      <c r="AB70" s="2"/>
      <c r="AC70" s="1432"/>
      <c r="AD70" s="467"/>
      <c r="AE70" s="15"/>
      <c r="AF70" s="410"/>
      <c r="AG70" s="1432"/>
      <c r="AH70" s="1433"/>
      <c r="AI70" s="1433"/>
      <c r="AJ70" s="1433"/>
      <c r="AK70" s="1433"/>
      <c r="AL70" s="301"/>
      <c r="AM70" s="1432"/>
      <c r="AN70" s="1432"/>
      <c r="AO70" s="1432"/>
      <c r="AP70" s="85"/>
      <c r="AQ70" s="661" t="s">
        <v>340</v>
      </c>
      <c r="AR70" s="647"/>
      <c r="AS70" s="647" t="s">
        <v>432</v>
      </c>
      <c r="AT70" s="648"/>
      <c r="AU70" s="15"/>
      <c r="AV70" s="87"/>
      <c r="AW70" s="87"/>
      <c r="AX70" s="87"/>
      <c r="AY70" s="87"/>
      <c r="AZ70" s="87"/>
      <c r="BA70" s="87"/>
      <c r="BB70" s="87"/>
      <c r="BC70" s="1434"/>
      <c r="BD70" s="301"/>
      <c r="BE70" s="87"/>
      <c r="BF70" s="87"/>
      <c r="BG70" s="87"/>
      <c r="BH70" s="701"/>
    </row>
    <row r="71" spans="1:63" ht="12.75" customHeight="1" x14ac:dyDescent="0.2">
      <c r="A71" s="145" t="s">
        <v>101</v>
      </c>
      <c r="B71" s="7"/>
      <c r="C71" s="1483" t="s">
        <v>39</v>
      </c>
      <c r="D71" s="1484"/>
      <c r="E71" s="532"/>
      <c r="F71" s="21" t="s">
        <v>425</v>
      </c>
      <c r="G71" s="21" t="s">
        <v>426</v>
      </c>
      <c r="H71" s="21" t="s">
        <v>427</v>
      </c>
      <c r="I71" s="14" t="s">
        <v>428</v>
      </c>
      <c r="J71" s="21" t="s">
        <v>363</v>
      </c>
      <c r="K71" s="21" t="s">
        <v>362</v>
      </c>
      <c r="L71" s="21" t="s">
        <v>361</v>
      </c>
      <c r="M71" s="14" t="s">
        <v>359</v>
      </c>
      <c r="N71" s="21" t="s">
        <v>302</v>
      </c>
      <c r="O71" s="21" t="s">
        <v>303</v>
      </c>
      <c r="P71" s="21" t="s">
        <v>304</v>
      </c>
      <c r="Q71" s="14" t="s">
        <v>305</v>
      </c>
      <c r="R71" s="20" t="s">
        <v>231</v>
      </c>
      <c r="S71" s="21" t="s">
        <v>232</v>
      </c>
      <c r="T71" s="21" t="s">
        <v>233</v>
      </c>
      <c r="U71" s="14" t="s">
        <v>230</v>
      </c>
      <c r="V71" s="20" t="s">
        <v>194</v>
      </c>
      <c r="W71" s="21" t="s">
        <v>195</v>
      </c>
      <c r="X71" s="21" t="s">
        <v>196</v>
      </c>
      <c r="Y71" s="14" t="s">
        <v>197</v>
      </c>
      <c r="Z71" s="20" t="s">
        <v>126</v>
      </c>
      <c r="AA71" s="21" t="s">
        <v>125</v>
      </c>
      <c r="AB71" s="21" t="s">
        <v>124</v>
      </c>
      <c r="AC71" s="14" t="s">
        <v>123</v>
      </c>
      <c r="AD71" s="21" t="s">
        <v>86</v>
      </c>
      <c r="AE71" s="21" t="s">
        <v>87</v>
      </c>
      <c r="AF71" s="21" t="s">
        <v>88</v>
      </c>
      <c r="AG71" s="14" t="s">
        <v>30</v>
      </c>
      <c r="AH71" s="21" t="s">
        <v>31</v>
      </c>
      <c r="AI71" s="21" t="s">
        <v>32</v>
      </c>
      <c r="AJ71" s="21" t="s">
        <v>33</v>
      </c>
      <c r="AK71" s="21" t="s">
        <v>34</v>
      </c>
      <c r="AL71" s="23" t="s">
        <v>35</v>
      </c>
      <c r="AM71" s="14" t="s">
        <v>36</v>
      </c>
      <c r="AN71" s="14" t="s">
        <v>37</v>
      </c>
      <c r="AO71" s="14" t="s">
        <v>38</v>
      </c>
      <c r="AP71" s="256"/>
      <c r="AQ71" s="21" t="s">
        <v>426</v>
      </c>
      <c r="AR71" s="21" t="s">
        <v>362</v>
      </c>
      <c r="AS71" s="1477" t="s">
        <v>39</v>
      </c>
      <c r="AT71" s="1478"/>
      <c r="AU71" s="194"/>
      <c r="AV71" s="20" t="s">
        <v>446</v>
      </c>
      <c r="AW71" s="20" t="s">
        <v>365</v>
      </c>
      <c r="AX71" s="20" t="s">
        <v>307</v>
      </c>
      <c r="AY71" s="20" t="s">
        <v>235</v>
      </c>
      <c r="AZ71" s="20" t="s">
        <v>128</v>
      </c>
      <c r="BA71" s="20" t="s">
        <v>127</v>
      </c>
      <c r="BB71" s="20" t="s">
        <v>43</v>
      </c>
      <c r="BC71" s="20" t="s">
        <v>40</v>
      </c>
      <c r="BD71" s="23" t="s">
        <v>41</v>
      </c>
      <c r="BE71" s="23" t="s">
        <v>146</v>
      </c>
      <c r="BF71" s="23" t="s">
        <v>147</v>
      </c>
      <c r="BG71" s="319" t="s">
        <v>148</v>
      </c>
      <c r="BH71" s="25"/>
    </row>
    <row r="72" spans="1:63" ht="12.75" customHeight="1" x14ac:dyDescent="0.2">
      <c r="A72" s="145"/>
      <c r="B72" s="146" t="s">
        <v>4</v>
      </c>
      <c r="C72" s="83">
        <v>-21283</v>
      </c>
      <c r="D72" s="470">
        <v>-8.3874552705834132E-2</v>
      </c>
      <c r="E72" s="85"/>
      <c r="F72" s="399">
        <v>232465</v>
      </c>
      <c r="G72" s="399">
        <v>166471</v>
      </c>
      <c r="H72" s="399">
        <v>236271</v>
      </c>
      <c r="I72" s="619">
        <v>245556</v>
      </c>
      <c r="J72" s="399">
        <v>253748</v>
      </c>
      <c r="K72" s="399">
        <v>230959</v>
      </c>
      <c r="L72" s="399">
        <v>183306</v>
      </c>
      <c r="M72" s="619">
        <v>187231</v>
      </c>
      <c r="N72" s="399">
        <v>217971</v>
      </c>
      <c r="O72" s="399">
        <v>230003</v>
      </c>
      <c r="P72" s="399">
        <v>186599</v>
      </c>
      <c r="Q72" s="703">
        <v>162549</v>
      </c>
      <c r="R72" s="399">
        <v>177692</v>
      </c>
      <c r="S72" s="399">
        <v>147889</v>
      </c>
      <c r="T72" s="421">
        <v>119500</v>
      </c>
      <c r="U72" s="619">
        <v>159783</v>
      </c>
      <c r="V72" s="399">
        <v>247595</v>
      </c>
      <c r="W72" s="399">
        <v>254834</v>
      </c>
      <c r="X72" s="399">
        <v>149285</v>
      </c>
      <c r="Y72" s="619">
        <v>151917</v>
      </c>
      <c r="Z72" s="1452">
        <v>143133</v>
      </c>
      <c r="AA72" s="538">
        <v>173197</v>
      </c>
      <c r="AB72" s="399">
        <v>123744</v>
      </c>
      <c r="AC72" s="619">
        <v>137463</v>
      </c>
      <c r="AD72" s="429">
        <v>106996</v>
      </c>
      <c r="AE72" s="399">
        <v>87188</v>
      </c>
      <c r="AF72" s="399">
        <v>110829</v>
      </c>
      <c r="AG72" s="619">
        <v>172708</v>
      </c>
      <c r="AH72" s="754">
        <v>143446</v>
      </c>
      <c r="AI72" s="754">
        <v>183354</v>
      </c>
      <c r="AJ72" s="754">
        <v>158869</v>
      </c>
      <c r="AK72" s="155">
        <v>245870</v>
      </c>
      <c r="AL72" s="43">
        <v>216443</v>
      </c>
      <c r="AM72" s="28">
        <v>178313</v>
      </c>
      <c r="AN72" s="28">
        <v>156031</v>
      </c>
      <c r="AO72" s="155">
        <v>206127</v>
      </c>
      <c r="AP72" s="85"/>
      <c r="AQ72" s="421">
        <v>648298</v>
      </c>
      <c r="AR72" s="421">
        <v>601496</v>
      </c>
      <c r="AS72" s="338">
        <v>25519</v>
      </c>
      <c r="AT72" s="339">
        <v>2.9838268377211648E-2</v>
      </c>
      <c r="AU72" s="726"/>
      <c r="AV72" s="728">
        <v>880763</v>
      </c>
      <c r="AW72" s="728">
        <v>855244</v>
      </c>
      <c r="AX72" s="174">
        <v>797122</v>
      </c>
      <c r="AY72" s="174">
        <v>604864</v>
      </c>
      <c r="AZ72" s="177">
        <v>803631</v>
      </c>
      <c r="BA72" s="177">
        <v>577537</v>
      </c>
      <c r="BB72" s="751">
        <v>477721</v>
      </c>
      <c r="BC72" s="84">
        <v>731539</v>
      </c>
      <c r="BD72" s="43">
        <v>756914</v>
      </c>
      <c r="BE72" s="307">
        <v>583415</v>
      </c>
      <c r="BF72" s="307">
        <v>432778</v>
      </c>
      <c r="BG72" s="307">
        <v>402157</v>
      </c>
      <c r="BH72" s="25"/>
    </row>
    <row r="73" spans="1:63" ht="12.75" customHeight="1" x14ac:dyDescent="0.2">
      <c r="A73" s="82"/>
      <c r="B73" s="146" t="s">
        <v>85</v>
      </c>
      <c r="C73" s="83">
        <v>2268</v>
      </c>
      <c r="D73" s="742">
        <v>1.0414227267091868E-2</v>
      </c>
      <c r="E73" s="533"/>
      <c r="F73" s="399">
        <v>220047</v>
      </c>
      <c r="G73" s="399">
        <v>184112</v>
      </c>
      <c r="H73" s="399">
        <v>207395</v>
      </c>
      <c r="I73" s="619">
        <v>215904</v>
      </c>
      <c r="J73" s="399">
        <v>217779</v>
      </c>
      <c r="K73" s="399">
        <v>202914</v>
      </c>
      <c r="L73" s="399">
        <v>175367</v>
      </c>
      <c r="M73" s="619">
        <v>174527</v>
      </c>
      <c r="N73" s="399">
        <v>200481</v>
      </c>
      <c r="O73" s="399">
        <v>205025</v>
      </c>
      <c r="P73" s="399">
        <v>179710</v>
      </c>
      <c r="Q73" s="703">
        <v>181677</v>
      </c>
      <c r="R73" s="399">
        <v>166505</v>
      </c>
      <c r="S73" s="399">
        <v>132063</v>
      </c>
      <c r="T73" s="421">
        <v>122510</v>
      </c>
      <c r="U73" s="619">
        <v>143104</v>
      </c>
      <c r="V73" s="399">
        <v>188349</v>
      </c>
      <c r="W73" s="399">
        <v>190238</v>
      </c>
      <c r="X73" s="399">
        <v>132849</v>
      </c>
      <c r="Y73" s="619">
        <v>131857</v>
      </c>
      <c r="Z73" s="390">
        <v>132658</v>
      </c>
      <c r="AA73" s="619">
        <v>150887</v>
      </c>
      <c r="AB73" s="399">
        <v>115883</v>
      </c>
      <c r="AC73" s="619">
        <v>121468</v>
      </c>
      <c r="AD73" s="399">
        <v>100169</v>
      </c>
      <c r="AE73" s="399">
        <v>108534</v>
      </c>
      <c r="AF73" s="399">
        <v>115805</v>
      </c>
      <c r="AG73" s="619">
        <v>149179</v>
      </c>
      <c r="AH73" s="754">
        <v>131632</v>
      </c>
      <c r="AI73" s="754">
        <v>154817</v>
      </c>
      <c r="AJ73" s="754">
        <v>135342</v>
      </c>
      <c r="AK73" s="28">
        <v>187220</v>
      </c>
      <c r="AL73" s="43">
        <v>176307</v>
      </c>
      <c r="AM73" s="28">
        <v>144677</v>
      </c>
      <c r="AN73" s="28">
        <v>130781</v>
      </c>
      <c r="AO73" s="28">
        <v>166952</v>
      </c>
      <c r="AP73" s="85"/>
      <c r="AQ73" s="421">
        <v>607411</v>
      </c>
      <c r="AR73" s="421">
        <v>552808</v>
      </c>
      <c r="AS73" s="151">
        <v>56871</v>
      </c>
      <c r="AT73" s="45">
        <v>7.3802179377539454E-2</v>
      </c>
      <c r="AU73" s="726"/>
      <c r="AV73" s="174">
        <v>827458</v>
      </c>
      <c r="AW73" s="174">
        <v>770587</v>
      </c>
      <c r="AX73" s="174">
        <v>766893</v>
      </c>
      <c r="AY73" s="174">
        <v>564182</v>
      </c>
      <c r="AZ73" s="177">
        <v>643293</v>
      </c>
      <c r="BA73" s="177">
        <v>520896</v>
      </c>
      <c r="BB73" s="751">
        <v>473687</v>
      </c>
      <c r="BC73" s="84">
        <v>609011</v>
      </c>
      <c r="BD73" s="43">
        <v>618717</v>
      </c>
      <c r="BE73" s="43">
        <v>466018</v>
      </c>
      <c r="BF73" s="43">
        <v>360022</v>
      </c>
      <c r="BG73" s="43">
        <v>339600</v>
      </c>
      <c r="BH73" s="25"/>
    </row>
    <row r="74" spans="1:63" ht="12.75" customHeight="1" x14ac:dyDescent="0.2">
      <c r="A74" s="82"/>
      <c r="B74" s="146" t="s">
        <v>220</v>
      </c>
      <c r="C74" s="83">
        <v>-23551</v>
      </c>
      <c r="D74" s="742">
        <v>-0.65475826406071891</v>
      </c>
      <c r="E74" s="533"/>
      <c r="F74" s="399">
        <v>12418</v>
      </c>
      <c r="G74" s="421">
        <v>-17641</v>
      </c>
      <c r="H74" s="399">
        <v>28876</v>
      </c>
      <c r="I74" s="619">
        <v>29652</v>
      </c>
      <c r="J74" s="399">
        <v>35969</v>
      </c>
      <c r="K74" s="399">
        <v>28045</v>
      </c>
      <c r="L74" s="399">
        <v>7939</v>
      </c>
      <c r="M74" s="619">
        <v>12704</v>
      </c>
      <c r="N74" s="399">
        <v>17490</v>
      </c>
      <c r="O74" s="399">
        <v>24978</v>
      </c>
      <c r="P74" s="399">
        <v>6889</v>
      </c>
      <c r="Q74" s="703">
        <v>-19128</v>
      </c>
      <c r="R74" s="399">
        <v>11187</v>
      </c>
      <c r="S74" s="399">
        <v>15826</v>
      </c>
      <c r="T74" s="421">
        <v>-3010</v>
      </c>
      <c r="U74" s="619">
        <v>16679</v>
      </c>
      <c r="V74" s="399">
        <v>59246</v>
      </c>
      <c r="W74" s="399">
        <v>64596</v>
      </c>
      <c r="X74" s="399">
        <v>16436</v>
      </c>
      <c r="Y74" s="619">
        <v>20060</v>
      </c>
      <c r="Z74" s="390">
        <v>10475</v>
      </c>
      <c r="AA74" s="619">
        <v>22310</v>
      </c>
      <c r="AB74" s="399">
        <v>7861</v>
      </c>
      <c r="AC74" s="619">
        <v>15995</v>
      </c>
      <c r="AD74" s="399">
        <v>6827</v>
      </c>
      <c r="AE74" s="399">
        <v>-21346</v>
      </c>
      <c r="AF74" s="399">
        <v>-4976</v>
      </c>
      <c r="AG74" s="619">
        <v>23529</v>
      </c>
      <c r="AH74" s="754">
        <v>11814</v>
      </c>
      <c r="AI74" s="754">
        <v>28537</v>
      </c>
      <c r="AJ74" s="754">
        <v>23527</v>
      </c>
      <c r="AK74" s="28">
        <v>58650</v>
      </c>
      <c r="AL74" s="43">
        <v>40136</v>
      </c>
      <c r="AM74" s="28">
        <v>33636</v>
      </c>
      <c r="AN74" s="28">
        <v>25250</v>
      </c>
      <c r="AO74" s="28">
        <v>39175</v>
      </c>
      <c r="AP74" s="85"/>
      <c r="AQ74" s="421">
        <v>40887</v>
      </c>
      <c r="AR74" s="421">
        <v>48688</v>
      </c>
      <c r="AS74" s="151">
        <v>-31352</v>
      </c>
      <c r="AT74" s="485">
        <v>-0.37034149568257796</v>
      </c>
      <c r="AU74" s="726"/>
      <c r="AV74" s="174">
        <v>53305</v>
      </c>
      <c r="AW74" s="174">
        <v>84657</v>
      </c>
      <c r="AX74" s="174">
        <v>30229</v>
      </c>
      <c r="AY74" s="174">
        <v>40682</v>
      </c>
      <c r="AZ74" s="177">
        <v>160338</v>
      </c>
      <c r="BA74" s="177">
        <v>56641</v>
      </c>
      <c r="BB74" s="751">
        <v>4034</v>
      </c>
      <c r="BC74" s="84">
        <v>122528</v>
      </c>
      <c r="BD74" s="43">
        <v>138197</v>
      </c>
      <c r="BE74" s="43">
        <v>117397</v>
      </c>
      <c r="BF74" s="43">
        <v>72756</v>
      </c>
      <c r="BG74" s="43">
        <v>62557</v>
      </c>
      <c r="BH74" s="25"/>
      <c r="BJ74" s="273"/>
      <c r="BK74" s="273"/>
    </row>
    <row r="75" spans="1:63" ht="12.75" customHeight="1" x14ac:dyDescent="0.2">
      <c r="A75" s="82"/>
      <c r="B75" s="146" t="s">
        <v>7</v>
      </c>
      <c r="C75" s="83">
        <v>-20255</v>
      </c>
      <c r="D75" s="742">
        <v>-0.69664660361135</v>
      </c>
      <c r="E75" s="533"/>
      <c r="F75" s="421">
        <v>8820</v>
      </c>
      <c r="G75" s="421">
        <v>-14253</v>
      </c>
      <c r="H75" s="399">
        <v>20746</v>
      </c>
      <c r="I75" s="619">
        <v>24017</v>
      </c>
      <c r="J75" s="399">
        <v>29075</v>
      </c>
      <c r="K75" s="399">
        <v>21227</v>
      </c>
      <c r="L75" s="399">
        <v>6734</v>
      </c>
      <c r="M75" s="619">
        <v>11810</v>
      </c>
      <c r="N75" s="399">
        <v>15579</v>
      </c>
      <c r="O75" s="399">
        <v>20453</v>
      </c>
      <c r="P75" s="399">
        <v>5907</v>
      </c>
      <c r="Q75" s="703">
        <v>-16295</v>
      </c>
      <c r="R75" s="390">
        <v>2089</v>
      </c>
      <c r="S75" s="399">
        <v>10644</v>
      </c>
      <c r="T75" s="421">
        <v>-1665</v>
      </c>
      <c r="U75" s="619">
        <v>14125</v>
      </c>
      <c r="V75" s="390">
        <v>42253</v>
      </c>
      <c r="W75" s="399">
        <v>45604</v>
      </c>
      <c r="X75" s="399">
        <v>12078</v>
      </c>
      <c r="Y75" s="619">
        <v>14191.4503</v>
      </c>
      <c r="Z75" s="390">
        <v>11072</v>
      </c>
      <c r="AA75" s="619">
        <v>15113</v>
      </c>
      <c r="AB75" s="399">
        <v>6746</v>
      </c>
      <c r="AC75" s="371">
        <v>9112</v>
      </c>
      <c r="AD75" s="407">
        <v>3764</v>
      </c>
      <c r="AE75" s="407">
        <v>-16242</v>
      </c>
      <c r="AF75" s="407">
        <v>-5398</v>
      </c>
      <c r="AG75" s="371">
        <v>16459</v>
      </c>
      <c r="AH75" s="156">
        <v>7174.52</v>
      </c>
      <c r="AI75" s="156">
        <v>17832.934000000001</v>
      </c>
      <c r="AJ75" s="156">
        <v>15309.940999999999</v>
      </c>
      <c r="AK75" s="157">
        <v>39029</v>
      </c>
      <c r="AL75" s="158">
        <v>26016</v>
      </c>
      <c r="AM75" s="157">
        <v>23692</v>
      </c>
      <c r="AN75" s="157">
        <v>17806</v>
      </c>
      <c r="AO75" s="157">
        <v>25942</v>
      </c>
      <c r="AP75" s="85"/>
      <c r="AQ75" s="421">
        <v>30510</v>
      </c>
      <c r="AR75" s="421">
        <v>39771</v>
      </c>
      <c r="AS75" s="151">
        <v>-29516</v>
      </c>
      <c r="AT75" s="485">
        <v>-0.42872498039101764</v>
      </c>
      <c r="AU75" s="726"/>
      <c r="AV75" s="174">
        <v>39330</v>
      </c>
      <c r="AW75" s="174">
        <v>68846</v>
      </c>
      <c r="AX75" s="174">
        <v>25644</v>
      </c>
      <c r="AY75" s="174">
        <v>25193</v>
      </c>
      <c r="AZ75" s="177">
        <v>114126.4503</v>
      </c>
      <c r="BA75" s="177">
        <v>42043</v>
      </c>
      <c r="BB75" s="751">
        <v>-1417</v>
      </c>
      <c r="BC75" s="84">
        <v>79346.395000000004</v>
      </c>
      <c r="BD75" s="43">
        <v>93256</v>
      </c>
      <c r="BE75" s="158">
        <v>79517</v>
      </c>
      <c r="BF75" s="158">
        <v>48579</v>
      </c>
      <c r="BG75" s="158">
        <v>40429</v>
      </c>
      <c r="BJ75" s="273"/>
    </row>
    <row r="76" spans="1:63" s="613" customFormat="1" ht="12.75" customHeight="1" x14ac:dyDescent="0.2">
      <c r="A76" s="7"/>
      <c r="B76" s="7" t="s">
        <v>406</v>
      </c>
      <c r="C76" s="56">
        <v>-20736.800000000003</v>
      </c>
      <c r="D76" s="742">
        <v>-0.72413498087241357</v>
      </c>
      <c r="E76" s="519"/>
      <c r="F76" s="55">
        <v>7899.85</v>
      </c>
      <c r="G76" s="55">
        <v>-14400.4</v>
      </c>
      <c r="H76" s="55">
        <v>19986.2</v>
      </c>
      <c r="I76" s="57">
        <v>22962.3</v>
      </c>
      <c r="J76" s="55">
        <v>28636.65</v>
      </c>
      <c r="K76" s="55">
        <v>19967.95</v>
      </c>
      <c r="L76" s="55">
        <v>6192.3</v>
      </c>
      <c r="M76" s="57">
        <v>12413.9</v>
      </c>
      <c r="N76" s="55">
        <v>15657.05</v>
      </c>
      <c r="O76" s="55">
        <v>20745.599999999999</v>
      </c>
      <c r="P76" s="55">
        <v>5864</v>
      </c>
      <c r="Q76" s="1320">
        <v>-16059.3</v>
      </c>
      <c r="R76" s="55">
        <v>2306.1</v>
      </c>
      <c r="S76" s="55">
        <v>10825.125</v>
      </c>
      <c r="T76" s="1321">
        <v>-1665</v>
      </c>
      <c r="U76" s="57">
        <v>14125</v>
      </c>
      <c r="V76" s="55">
        <v>42253</v>
      </c>
      <c r="W76" s="55">
        <v>45604</v>
      </c>
      <c r="X76" s="55">
        <v>12078</v>
      </c>
      <c r="Y76" s="57">
        <v>14191.4503</v>
      </c>
      <c r="Z76" s="55">
        <v>11072</v>
      </c>
      <c r="AA76" s="55">
        <v>15113</v>
      </c>
      <c r="AB76" s="55"/>
      <c r="AC76" s="57"/>
      <c r="AD76" s="55"/>
      <c r="AE76" s="55"/>
      <c r="AF76" s="55"/>
      <c r="AG76" s="57"/>
      <c r="AH76" s="55"/>
      <c r="AI76" s="55"/>
      <c r="AJ76" s="55"/>
      <c r="AK76" s="55"/>
      <c r="AL76" s="58"/>
      <c r="AM76" s="57"/>
      <c r="AN76" s="57"/>
      <c r="AO76" s="57"/>
      <c r="AP76" s="196"/>
      <c r="AQ76" s="55">
        <v>28548.1</v>
      </c>
      <c r="AR76" s="1321">
        <v>38574.15</v>
      </c>
      <c r="AS76" s="55">
        <v>-30762.850000000006</v>
      </c>
      <c r="AT76" s="485">
        <v>-0.45770694590750305</v>
      </c>
      <c r="AU76" s="50"/>
      <c r="AV76" s="55">
        <v>36447.949999999997</v>
      </c>
      <c r="AW76" s="58">
        <v>67210.8</v>
      </c>
      <c r="AX76" s="58">
        <v>26207.349999999995</v>
      </c>
      <c r="AY76" s="58">
        <v>25591.224999999999</v>
      </c>
      <c r="AZ76" s="58">
        <v>114126.4503</v>
      </c>
      <c r="BA76" s="58">
        <v>42043</v>
      </c>
      <c r="BB76" s="1323">
        <v>-1417</v>
      </c>
      <c r="BC76" s="58">
        <v>79346.395000000004</v>
      </c>
      <c r="BD76" s="58">
        <v>93256</v>
      </c>
      <c r="BE76" s="58"/>
      <c r="BF76" s="58"/>
      <c r="BG76" s="58"/>
      <c r="BJ76" s="273"/>
    </row>
    <row r="77" spans="1:63" s="613" customFormat="1" ht="12.75" customHeight="1" x14ac:dyDescent="0.2">
      <c r="A77" s="82"/>
      <c r="B77" s="146" t="s">
        <v>423</v>
      </c>
      <c r="C77" s="152">
        <v>-20774.800000000003</v>
      </c>
      <c r="D77" s="147">
        <v>-0.80909308652024314</v>
      </c>
      <c r="E77" s="533"/>
      <c r="F77" s="1322">
        <v>4901.8500000000004</v>
      </c>
      <c r="G77" s="1322">
        <v>-17360.400000000001</v>
      </c>
      <c r="H77" s="407">
        <v>17065.2</v>
      </c>
      <c r="I77" s="371">
        <v>19964.3</v>
      </c>
      <c r="J77" s="407">
        <v>25676.65</v>
      </c>
      <c r="K77" s="407">
        <v>17046.95</v>
      </c>
      <c r="L77" s="407">
        <v>3271.3</v>
      </c>
      <c r="M77" s="371">
        <v>9453.9</v>
      </c>
      <c r="N77" s="407">
        <v>12770.05</v>
      </c>
      <c r="O77" s="407">
        <v>17747.599999999999</v>
      </c>
      <c r="P77" s="407">
        <v>2866</v>
      </c>
      <c r="Q77" s="837">
        <v>-18896.3</v>
      </c>
      <c r="R77" s="416">
        <v>1199.0999999999999</v>
      </c>
      <c r="S77" s="407">
        <v>9007.125</v>
      </c>
      <c r="T77" s="1322">
        <v>-3465</v>
      </c>
      <c r="U77" s="371">
        <v>14035</v>
      </c>
      <c r="V77" s="416">
        <v>42253</v>
      </c>
      <c r="W77" s="407">
        <v>45604</v>
      </c>
      <c r="X77" s="407">
        <v>12078</v>
      </c>
      <c r="Y77" s="371">
        <v>14191.4503</v>
      </c>
      <c r="Z77" s="372">
        <v>11072</v>
      </c>
      <c r="AA77" s="371">
        <v>15113</v>
      </c>
      <c r="AB77" s="371">
        <v>6746</v>
      </c>
      <c r="AC77" s="399"/>
      <c r="AD77" s="399"/>
      <c r="AE77" s="399"/>
      <c r="AF77" s="399"/>
      <c r="AG77" s="399"/>
      <c r="AH77" s="754"/>
      <c r="AI77" s="754"/>
      <c r="AJ77" s="754"/>
      <c r="AK77" s="754"/>
      <c r="AL77" s="754"/>
      <c r="AM77" s="754"/>
      <c r="AN77" s="754"/>
      <c r="AO77" s="754"/>
      <c r="AP77" s="85"/>
      <c r="AQ77" s="416">
        <v>19669.099999999999</v>
      </c>
      <c r="AR77" s="1322">
        <v>29772.15</v>
      </c>
      <c r="AS77" s="340">
        <v>-30876.850000000013</v>
      </c>
      <c r="AT77" s="483">
        <v>-0.5568533493961999</v>
      </c>
      <c r="AU77" s="726"/>
      <c r="AV77" s="372">
        <v>24570.949999999997</v>
      </c>
      <c r="AW77" s="372">
        <v>55448.80000000001</v>
      </c>
      <c r="AX77" s="372">
        <v>14487.349999999995</v>
      </c>
      <c r="AY77" s="372">
        <v>20776.224999999999</v>
      </c>
      <c r="AZ77" s="372">
        <v>114126.4503</v>
      </c>
      <c r="BA77" s="372">
        <v>42043</v>
      </c>
      <c r="BB77" s="1324">
        <v>-1417</v>
      </c>
      <c r="BC77" s="372">
        <v>79346.395000000004</v>
      </c>
      <c r="BD77" s="372">
        <v>93256</v>
      </c>
      <c r="BE77" s="31"/>
      <c r="BF77" s="31"/>
      <c r="BG77" s="31"/>
    </row>
    <row r="78" spans="1:63" ht="12.75" customHeight="1" x14ac:dyDescent="0.2">
      <c r="A78" s="82"/>
      <c r="B78" s="146"/>
      <c r="C78" s="151"/>
      <c r="D78" s="11"/>
      <c r="E78" s="11"/>
      <c r="F78" s="11"/>
      <c r="G78" s="11"/>
      <c r="H78" s="11"/>
      <c r="I78" s="7"/>
      <c r="J78" s="11"/>
      <c r="K78" s="11"/>
      <c r="L78" s="11"/>
      <c r="M78" s="7"/>
      <c r="N78" s="11"/>
      <c r="O78" s="11"/>
      <c r="P78" s="11"/>
      <c r="Q78" s="7"/>
      <c r="R78" s="11"/>
      <c r="S78" s="11"/>
      <c r="T78" s="11"/>
      <c r="U78" s="7"/>
      <c r="V78" s="11"/>
      <c r="W78" s="11"/>
      <c r="X78" s="11"/>
      <c r="Y78" s="7"/>
      <c r="Z78" s="11"/>
      <c r="AA78" s="11"/>
      <c r="AB78" s="11"/>
      <c r="AC78" s="7"/>
      <c r="AD78" s="11"/>
      <c r="AE78" s="11"/>
      <c r="AF78" s="11"/>
      <c r="AG78" s="7"/>
      <c r="AH78" s="151"/>
      <c r="AI78" s="151"/>
      <c r="AJ78" s="151"/>
      <c r="AK78" s="151"/>
      <c r="AL78" s="151"/>
      <c r="AM78" s="151"/>
      <c r="AN78" s="151"/>
      <c r="AO78" s="151"/>
      <c r="AP78" s="7"/>
      <c r="AQ78" s="7"/>
      <c r="AR78" s="7"/>
      <c r="AS78" s="151"/>
      <c r="AT78" s="11"/>
      <c r="AU78" s="7"/>
      <c r="AV78" s="7"/>
      <c r="AW78" s="7"/>
      <c r="AX78" s="7"/>
      <c r="AY78" s="7"/>
      <c r="AZ78" s="146"/>
      <c r="BA78" s="146"/>
      <c r="BB78" s="146"/>
      <c r="BC78" s="151"/>
      <c r="BD78" s="151"/>
      <c r="BE78" s="31"/>
      <c r="BF78" s="31"/>
      <c r="BG78" s="31"/>
    </row>
    <row r="79" spans="1:63" ht="12.75" customHeight="1" x14ac:dyDescent="0.2">
      <c r="A79" s="82"/>
      <c r="B79" s="143" t="s">
        <v>80</v>
      </c>
      <c r="C79" s="160">
        <v>3.7103741719350047</v>
      </c>
      <c r="D79" s="11"/>
      <c r="E79" s="11"/>
      <c r="F79" s="11">
        <v>0.30522014066633685</v>
      </c>
      <c r="G79" s="11">
        <v>0.45943737948351365</v>
      </c>
      <c r="H79" s="11">
        <v>0.28669620901422521</v>
      </c>
      <c r="I79" s="11">
        <v>0.28927820945120464</v>
      </c>
      <c r="J79" s="11">
        <v>0.2681163989469868</v>
      </c>
      <c r="K79" s="11">
        <v>0.28873955983529542</v>
      </c>
      <c r="L79" s="11">
        <v>0.36196305631021353</v>
      </c>
      <c r="M79" s="11">
        <v>0.34765610395714386</v>
      </c>
      <c r="N79" s="11">
        <v>0.29526404888723728</v>
      </c>
      <c r="O79" s="11">
        <v>0.30350038912535926</v>
      </c>
      <c r="P79" s="11">
        <v>0.34179711574017008</v>
      </c>
      <c r="Q79" s="11">
        <v>0.45342019944755119</v>
      </c>
      <c r="R79" s="11">
        <v>0.29955766157170832</v>
      </c>
      <c r="S79" s="11">
        <v>0.31942199893163115</v>
      </c>
      <c r="T79" s="11">
        <v>0.38919665271966525</v>
      </c>
      <c r="U79" s="11">
        <v>0.30274184362541695</v>
      </c>
      <c r="V79" s="11">
        <v>0.20768997758436156</v>
      </c>
      <c r="W79" s="11">
        <v>0.19172873321456321</v>
      </c>
      <c r="X79" s="11">
        <v>0.3080617610610577</v>
      </c>
      <c r="Y79" s="11">
        <v>0.28670918988658278</v>
      </c>
      <c r="Z79" s="11">
        <v>0.30174732591366071</v>
      </c>
      <c r="AA79" s="11">
        <v>0.24290259069152467</v>
      </c>
      <c r="AB79" s="11">
        <v>0.30655223687613137</v>
      </c>
      <c r="AC79" s="11">
        <v>0.28518946916624838</v>
      </c>
      <c r="AD79" s="11">
        <v>0.38178997345695165</v>
      </c>
      <c r="AE79" s="11">
        <v>0.60120658806257743</v>
      </c>
      <c r="AF79" s="386">
        <v>0.45685695982098551</v>
      </c>
      <c r="AG79" s="11">
        <v>0.29534821780114412</v>
      </c>
      <c r="AH79" s="11">
        <v>0.37250951577597147</v>
      </c>
      <c r="AI79" s="11">
        <v>0.28022841061553061</v>
      </c>
      <c r="AJ79" s="11">
        <v>0.32276277939686154</v>
      </c>
      <c r="AK79" s="11">
        <v>0.20899999999999996</v>
      </c>
      <c r="AL79" s="11">
        <v>0.23099999999999998</v>
      </c>
      <c r="AM79" s="11">
        <v>0.24400000000000011</v>
      </c>
      <c r="AN79" s="11">
        <v>0.28899999999999992</v>
      </c>
      <c r="AO79" s="11">
        <v>0.24</v>
      </c>
      <c r="AP79" s="7"/>
      <c r="AQ79" s="11">
        <v>0.33203094873036781</v>
      </c>
      <c r="AR79" s="11">
        <v>0.32939371167888065</v>
      </c>
      <c r="AS79" s="160">
        <v>1.3741672815406891</v>
      </c>
      <c r="AT79" s="11"/>
      <c r="AU79" s="7"/>
      <c r="AV79" s="11">
        <v>0.32495461321604108</v>
      </c>
      <c r="AW79" s="11">
        <v>0.31121294040063419</v>
      </c>
      <c r="AX79" s="11">
        <v>0.34078472304114049</v>
      </c>
      <c r="AY79" s="11">
        <v>0.3229651624166755</v>
      </c>
      <c r="AZ79" s="11">
        <v>0.23621164439898412</v>
      </c>
      <c r="BA79" s="11">
        <v>0.28118891084034442</v>
      </c>
      <c r="BB79" s="11">
        <v>0.40799964833030156</v>
      </c>
      <c r="BC79" s="11">
        <v>0.28383722535640615</v>
      </c>
      <c r="BD79" s="11">
        <v>0.248</v>
      </c>
      <c r="BE79" s="35">
        <v>0.21100000000000008</v>
      </c>
      <c r="BF79" s="35">
        <v>0.21699999999999997</v>
      </c>
      <c r="BG79" s="35">
        <v>0.20799999999999996</v>
      </c>
    </row>
    <row r="80" spans="1:63" ht="12.75" customHeight="1" x14ac:dyDescent="0.2">
      <c r="A80" s="82"/>
      <c r="B80" s="143" t="s">
        <v>81</v>
      </c>
      <c r="C80" s="160">
        <v>8.8332076715737173</v>
      </c>
      <c r="D80" s="11"/>
      <c r="E80" s="11"/>
      <c r="F80" s="11">
        <v>0.94658120577291205</v>
      </c>
      <c r="G80" s="11">
        <v>1.1059704092604719</v>
      </c>
      <c r="H80" s="11">
        <v>0.87778440858167106</v>
      </c>
      <c r="I80" s="11">
        <v>0.87924546742901821</v>
      </c>
      <c r="J80" s="11">
        <v>0.85824912905717488</v>
      </c>
      <c r="K80" s="11">
        <v>0.87857152135227468</v>
      </c>
      <c r="L80" s="11">
        <v>0.95668990649515018</v>
      </c>
      <c r="M80" s="11">
        <v>0.932147988313901</v>
      </c>
      <c r="N80" s="11">
        <v>0.91975996806914684</v>
      </c>
      <c r="O80" s="11">
        <v>0.89140141650326299</v>
      </c>
      <c r="P80" s="11">
        <v>0.96308125981382542</v>
      </c>
      <c r="Q80" s="11">
        <v>1.1176752856061865</v>
      </c>
      <c r="R80" s="11">
        <v>0.93704274812597077</v>
      </c>
      <c r="S80" s="11">
        <v>0.89298730804860404</v>
      </c>
      <c r="T80" s="11">
        <v>1.0251882845188285</v>
      </c>
      <c r="U80" s="11">
        <v>0.89561467740623224</v>
      </c>
      <c r="V80" s="11">
        <v>0.76071406934711927</v>
      </c>
      <c r="W80" s="11">
        <v>0.74651734070022058</v>
      </c>
      <c r="X80" s="11">
        <v>0.88990186555916539</v>
      </c>
      <c r="Y80" s="11">
        <v>0.86795421183935961</v>
      </c>
      <c r="Z80" s="11">
        <v>0.92681631769053952</v>
      </c>
      <c r="AA80" s="11">
        <v>0.87118714527387886</v>
      </c>
      <c r="AB80" s="11">
        <v>0.93647368761313676</v>
      </c>
      <c r="AC80" s="11">
        <v>0.88264141623564163</v>
      </c>
      <c r="AD80" s="11">
        <v>0.93619387640659468</v>
      </c>
      <c r="AE80" s="11">
        <v>1.2448272698077718</v>
      </c>
      <c r="AF80" s="386">
        <v>1.0448979960118741</v>
      </c>
      <c r="AG80" s="11">
        <v>0.86376427264515832</v>
      </c>
      <c r="AH80" s="11">
        <v>0.91764148181197103</v>
      </c>
      <c r="AI80" s="11">
        <v>0.84436118110322111</v>
      </c>
      <c r="AJ80" s="11">
        <v>0.85190943481736525</v>
      </c>
      <c r="AK80" s="11">
        <v>0.76100000000000001</v>
      </c>
      <c r="AL80" s="11">
        <v>0.81499999999999995</v>
      </c>
      <c r="AM80" s="11">
        <v>0.81100000000000005</v>
      </c>
      <c r="AN80" s="11">
        <v>0.83799999999999997</v>
      </c>
      <c r="AO80" s="11">
        <v>0.81</v>
      </c>
      <c r="AP80" s="7"/>
      <c r="AQ80" s="11">
        <v>0.93693178137214672</v>
      </c>
      <c r="AR80" s="11">
        <v>0.91905515581150998</v>
      </c>
      <c r="AS80" s="160">
        <v>3.8464397671121087</v>
      </c>
      <c r="AT80" s="11"/>
      <c r="AU80" s="7"/>
      <c r="AV80" s="11">
        <v>0.93947861115873399</v>
      </c>
      <c r="AW80" s="11">
        <v>0.9010142134876129</v>
      </c>
      <c r="AX80" s="11">
        <v>0.96207732317010441</v>
      </c>
      <c r="AY80" s="11">
        <v>0.93274190561845305</v>
      </c>
      <c r="AZ80" s="11">
        <v>0.80048305752266902</v>
      </c>
      <c r="BA80" s="11">
        <v>0.90192662980899929</v>
      </c>
      <c r="BB80" s="11">
        <v>0.9915557406938359</v>
      </c>
      <c r="BC80" s="11">
        <v>0.83250653758719628</v>
      </c>
      <c r="BD80" s="11">
        <v>0.81699999999999995</v>
      </c>
      <c r="BE80" s="35">
        <v>0.79600000000000004</v>
      </c>
      <c r="BF80" s="35">
        <v>0.83199999999999996</v>
      </c>
      <c r="BG80" s="35">
        <v>0.84399999999999997</v>
      </c>
    </row>
    <row r="81" spans="1:59" ht="12.75" customHeight="1" x14ac:dyDescent="0.2">
      <c r="A81" s="82"/>
      <c r="B81" s="143" t="s">
        <v>82</v>
      </c>
      <c r="C81" s="160">
        <v>-8.8332076715737209</v>
      </c>
      <c r="D81" s="11"/>
      <c r="E81" s="11"/>
      <c r="F81" s="11">
        <v>5.3418794227087951E-2</v>
      </c>
      <c r="G81" s="11">
        <v>-0.1059704092604718</v>
      </c>
      <c r="H81" s="11">
        <v>0.12221559141832895</v>
      </c>
      <c r="I81" s="11">
        <v>0.12075453257098177</v>
      </c>
      <c r="J81" s="11">
        <v>0.14175087094282515</v>
      </c>
      <c r="K81" s="11">
        <v>0.12142847864772535</v>
      </c>
      <c r="L81" s="11">
        <v>4.3310093504849816E-2</v>
      </c>
      <c r="M81" s="11">
        <v>6.7852011686098987E-2</v>
      </c>
      <c r="N81" s="11">
        <v>8.024003193085319E-2</v>
      </c>
      <c r="O81" s="11">
        <v>0.108598583496737</v>
      </c>
      <c r="P81" s="11">
        <v>3.691874018617463E-2</v>
      </c>
      <c r="Q81" s="11">
        <v>-0.11767528560618644</v>
      </c>
      <c r="R81" s="11">
        <v>6.2957251874029216E-2</v>
      </c>
      <c r="S81" s="11">
        <v>0.10701269195139598</v>
      </c>
      <c r="T81" s="11">
        <v>-2.5188284518828451E-2</v>
      </c>
      <c r="U81" s="11">
        <v>0.1043853225937678</v>
      </c>
      <c r="V81" s="11">
        <v>0.2392859306528807</v>
      </c>
      <c r="W81" s="11">
        <v>0.25348265929977948</v>
      </c>
      <c r="X81" s="11">
        <v>0.11009813444083465</v>
      </c>
      <c r="Y81" s="11">
        <v>0.13204578816064036</v>
      </c>
      <c r="Z81" s="11">
        <v>7.3183682309460429E-2</v>
      </c>
      <c r="AA81" s="11">
        <v>0.12881285472612111</v>
      </c>
      <c r="AB81" s="11">
        <v>6.3526312386863196E-2</v>
      </c>
      <c r="AC81" s="11">
        <v>0.11635858376435841</v>
      </c>
      <c r="AD81" s="11">
        <v>6.3806123593405359E-2</v>
      </c>
      <c r="AE81" s="11">
        <v>-0.24482726980777172</v>
      </c>
      <c r="AF81" s="11">
        <v>-4.489799601187415E-2</v>
      </c>
      <c r="AG81" s="11">
        <v>0.13623572735484168</v>
      </c>
      <c r="AH81" s="11">
        <v>8.2358518188028945E-2</v>
      </c>
      <c r="AI81" s="11">
        <v>0.15563881889677891</v>
      </c>
      <c r="AJ81" s="11">
        <v>0.14809056518263475</v>
      </c>
      <c r="AK81" s="11">
        <v>0.23899999999999999</v>
      </c>
      <c r="AL81" s="11">
        <v>0.185</v>
      </c>
      <c r="AM81" s="11">
        <v>0.18899999999999995</v>
      </c>
      <c r="AN81" s="11">
        <v>0.16200000000000003</v>
      </c>
      <c r="AO81" s="11">
        <v>0.19</v>
      </c>
      <c r="AP81" s="7"/>
      <c r="AQ81" s="11">
        <v>6.3068218627853237E-2</v>
      </c>
      <c r="AR81" s="11">
        <v>8.0944844188490031E-2</v>
      </c>
      <c r="AS81" s="160">
        <v>-3.8464397671121073</v>
      </c>
      <c r="AT81" s="11"/>
      <c r="AU81" s="7"/>
      <c r="AV81" s="11">
        <v>6.0521388841266038E-2</v>
      </c>
      <c r="AW81" s="11">
        <v>9.8985786512387111E-2</v>
      </c>
      <c r="AX81" s="11">
        <v>3.792267682989555E-2</v>
      </c>
      <c r="AY81" s="11">
        <v>6.7258094381546923E-2</v>
      </c>
      <c r="AZ81" s="11">
        <v>0.19951694247733101</v>
      </c>
      <c r="BA81" s="11">
        <v>9.807337019100075E-2</v>
      </c>
      <c r="BB81" s="11">
        <v>8.4442593061640585E-3</v>
      </c>
      <c r="BC81" s="11">
        <v>0.16749346241280369</v>
      </c>
      <c r="BD81" s="11">
        <v>0.18300000000000005</v>
      </c>
      <c r="BE81" s="35">
        <v>0.20399999999999996</v>
      </c>
      <c r="BF81" s="35">
        <v>0.16800000000000004</v>
      </c>
      <c r="BG81" s="35">
        <v>0.15600000000000003</v>
      </c>
    </row>
    <row r="82" spans="1:59" ht="12.75" customHeight="1" x14ac:dyDescent="0.2">
      <c r="A82" s="82"/>
      <c r="B82" s="144" t="s">
        <v>84</v>
      </c>
      <c r="C82" s="160">
        <v>-7.6640988450209155</v>
      </c>
      <c r="D82" s="161"/>
      <c r="E82" s="755"/>
      <c r="F82" s="755">
        <v>3.7941195448777235E-2</v>
      </c>
      <c r="G82" s="755">
        <v>-8.5618516137945952E-2</v>
      </c>
      <c r="H82" s="755">
        <v>8.7805951640277477E-2</v>
      </c>
      <c r="I82" s="755">
        <v>9.7806610304777733E-2</v>
      </c>
      <c r="J82" s="755">
        <v>0.11458218389898639</v>
      </c>
      <c r="K82" s="755">
        <v>9.1908087582644543E-2</v>
      </c>
      <c r="L82" s="755">
        <v>3.6736386152117224E-2</v>
      </c>
      <c r="M82" s="755">
        <v>6.3077161367508586E-2</v>
      </c>
      <c r="N82" s="755">
        <v>7.1472810603245382E-2</v>
      </c>
      <c r="O82" s="755">
        <v>8.8924927066168696E-2</v>
      </c>
      <c r="P82" s="755">
        <v>3.1656118199990355E-2</v>
      </c>
      <c r="Q82" s="755">
        <v>-0.10024669484278587</v>
      </c>
      <c r="R82" s="755">
        <v>1.1756297413502015E-2</v>
      </c>
      <c r="S82" s="755">
        <v>7.1972898592863571E-2</v>
      </c>
      <c r="T82" s="755">
        <v>-1.3933054393305439E-2</v>
      </c>
      <c r="U82" s="755">
        <v>8.8401144051620015E-2</v>
      </c>
      <c r="V82" s="755">
        <v>0.17065368848320847</v>
      </c>
      <c r="W82" s="755">
        <v>0.17895571234607627</v>
      </c>
      <c r="X82" s="755">
        <v>8.0905650266269211E-2</v>
      </c>
      <c r="Y82" s="755">
        <v>9.3415814556632906E-2</v>
      </c>
      <c r="Z82" s="755">
        <v>7.7354628212920856E-2</v>
      </c>
      <c r="AA82" s="755">
        <v>8.725901718851943E-2</v>
      </c>
      <c r="AB82" s="755">
        <v>5.4515774502198085E-2</v>
      </c>
      <c r="AC82" s="755">
        <v>6.6286928118839253E-2</v>
      </c>
      <c r="AD82" s="755">
        <v>3.5178885191969794E-2</v>
      </c>
      <c r="AE82" s="755">
        <v>-0.18628710372987109</v>
      </c>
      <c r="AF82" s="11">
        <v>-4.8705663680083736E-2</v>
      </c>
      <c r="AG82" s="11">
        <v>9.5299580795330852E-2</v>
      </c>
      <c r="AH82" s="11">
        <v>5.0015476207074444E-2</v>
      </c>
      <c r="AI82" s="11">
        <v>9.7259585283113542E-2</v>
      </c>
      <c r="AJ82" s="11">
        <v>9.6368334917447701E-2</v>
      </c>
      <c r="AK82" s="11">
        <v>0.159</v>
      </c>
      <c r="AL82" s="11">
        <v>0.12</v>
      </c>
      <c r="AM82" s="11">
        <v>0.13300000000000001</v>
      </c>
      <c r="AN82" s="11">
        <v>0.114</v>
      </c>
      <c r="AO82" s="11">
        <v>0.126</v>
      </c>
      <c r="AP82" s="7"/>
      <c r="AQ82" s="755">
        <v>4.7061690765666409E-2</v>
      </c>
      <c r="AR82" s="755">
        <v>6.6120140449811807E-2</v>
      </c>
      <c r="AS82" s="160">
        <v>-3.5844200340724477</v>
      </c>
      <c r="AT82" s="755"/>
      <c r="AU82" s="7"/>
      <c r="AV82" s="755">
        <v>4.4654464367826531E-2</v>
      </c>
      <c r="AW82" s="755">
        <v>8.0498664708551007E-2</v>
      </c>
      <c r="AX82" s="755">
        <v>3.2170734216343297E-2</v>
      </c>
      <c r="AY82" s="755">
        <v>4.1650685112686485E-2</v>
      </c>
      <c r="AZ82" s="755">
        <v>0.14201349910593294</v>
      </c>
      <c r="BA82" s="755">
        <v>7.2797067547187455E-2</v>
      </c>
      <c r="BB82" s="11">
        <v>-2.9661664444309544E-3</v>
      </c>
      <c r="BC82" s="11">
        <v>0.10846502373762712</v>
      </c>
      <c r="BD82" s="11">
        <v>0.1232055425054894</v>
      </c>
      <c r="BE82" s="35">
        <v>0.13900000000000001</v>
      </c>
      <c r="BF82" s="35">
        <v>0.112</v>
      </c>
      <c r="BG82" s="35">
        <v>0.10100000000000001</v>
      </c>
    </row>
    <row r="83" spans="1:59" s="103" customFormat="1" ht="12.75" customHeight="1" x14ac:dyDescent="0.2">
      <c r="A83" s="726"/>
      <c r="B83" s="726" t="s">
        <v>436</v>
      </c>
      <c r="C83" s="40">
        <v>-0.23000000000000004</v>
      </c>
      <c r="D83" s="755">
        <v>-0.82142857142857151</v>
      </c>
      <c r="E83" s="755"/>
      <c r="F83" s="33">
        <v>0.05</v>
      </c>
      <c r="G83" s="33">
        <v>-0.19</v>
      </c>
      <c r="H83" s="33">
        <v>0.19</v>
      </c>
      <c r="I83" s="33">
        <v>0.22</v>
      </c>
      <c r="J83" s="33">
        <v>0.28000000000000003</v>
      </c>
      <c r="K83" s="33">
        <v>0.18</v>
      </c>
      <c r="L83" s="33">
        <v>0.03</v>
      </c>
      <c r="M83" s="33">
        <v>0.1</v>
      </c>
      <c r="N83" s="33">
        <v>0.14000000000000001</v>
      </c>
      <c r="O83" s="33">
        <v>0.19</v>
      </c>
      <c r="P83" s="33">
        <v>0.03</v>
      </c>
      <c r="Q83" s="33">
        <v>-0.2</v>
      </c>
      <c r="R83" s="33">
        <v>0.02</v>
      </c>
      <c r="S83" s="33">
        <v>0.12</v>
      </c>
      <c r="T83" s="392">
        <v>-0.05</v>
      </c>
      <c r="U83" s="33">
        <v>0.19</v>
      </c>
      <c r="V83" s="33">
        <v>0.56000000000000005</v>
      </c>
      <c r="W83" s="33">
        <v>0.61</v>
      </c>
      <c r="X83" s="33">
        <v>0.16</v>
      </c>
      <c r="Y83" s="33">
        <v>0.21</v>
      </c>
      <c r="Z83" s="392">
        <v>0.22</v>
      </c>
      <c r="AA83" s="392">
        <v>0.31</v>
      </c>
      <c r="AB83" s="392">
        <v>0.14000000000000001</v>
      </c>
      <c r="AC83" s="33">
        <v>0.19</v>
      </c>
      <c r="AD83" s="392">
        <v>0.08</v>
      </c>
      <c r="AE83" s="392">
        <v>-0.33</v>
      </c>
      <c r="AF83" s="392">
        <v>-0.11</v>
      </c>
      <c r="AG83" s="33">
        <v>0.35</v>
      </c>
      <c r="AH83" s="33">
        <v>0.16</v>
      </c>
      <c r="AI83" s="33">
        <v>0.40129999999999999</v>
      </c>
      <c r="AJ83" s="33">
        <v>0.34039999999999998</v>
      </c>
      <c r="AK83" s="33">
        <v>0.86</v>
      </c>
      <c r="AL83" s="33">
        <v>0.56999999999999995</v>
      </c>
      <c r="AM83" s="33">
        <v>0.51</v>
      </c>
      <c r="AN83" s="33">
        <v>0.39</v>
      </c>
      <c r="AO83" s="33">
        <v>0.56999999999999995</v>
      </c>
      <c r="AP83" s="7"/>
      <c r="AQ83" s="1442">
        <v>0.21</v>
      </c>
      <c r="AR83" s="51">
        <v>0.32</v>
      </c>
      <c r="AS83" s="40">
        <v>-0.31999999999999995</v>
      </c>
      <c r="AT83" s="755">
        <v>-0.5423728813559322</v>
      </c>
      <c r="AU83" s="7"/>
      <c r="AV83" s="33">
        <v>0.27</v>
      </c>
      <c r="AW83" s="33">
        <v>0.59</v>
      </c>
      <c r="AX83" s="392">
        <v>0.16</v>
      </c>
      <c r="AY83" s="392">
        <v>0.28000000000000003</v>
      </c>
      <c r="AZ83" s="392">
        <v>1.56</v>
      </c>
      <c r="BA83" s="32">
        <v>0.86</v>
      </c>
      <c r="BB83" s="32">
        <v>-0.03</v>
      </c>
      <c r="BC83" s="32">
        <v>1.77</v>
      </c>
      <c r="BD83" s="32">
        <v>2.0299999999999998</v>
      </c>
      <c r="BE83" s="32">
        <v>1.82</v>
      </c>
      <c r="BF83" s="32">
        <v>1.17</v>
      </c>
      <c r="BG83" s="32">
        <v>1.43</v>
      </c>
    </row>
    <row r="84" spans="1:59" s="103" customFormat="1" ht="12.75" customHeight="1" x14ac:dyDescent="0.2">
      <c r="A84" s="726"/>
      <c r="B84" s="726" t="s">
        <v>438</v>
      </c>
      <c r="C84" s="40">
        <v>-0.2</v>
      </c>
      <c r="D84" s="755">
        <v>-0.8</v>
      </c>
      <c r="E84" s="755"/>
      <c r="F84" s="33">
        <v>0.05</v>
      </c>
      <c r="G84" s="33">
        <v>-0.19</v>
      </c>
      <c r="H84" s="33">
        <v>0.17</v>
      </c>
      <c r="I84" s="33">
        <v>0.2</v>
      </c>
      <c r="J84" s="33">
        <v>0.25</v>
      </c>
      <c r="K84" s="33">
        <v>0.17</v>
      </c>
      <c r="L84" s="33">
        <v>0.03</v>
      </c>
      <c r="M84" s="33">
        <v>0.09</v>
      </c>
      <c r="N84" s="33">
        <v>0.12</v>
      </c>
      <c r="O84" s="33">
        <v>0.17</v>
      </c>
      <c r="P84" s="33">
        <v>0.03</v>
      </c>
      <c r="Q84" s="33">
        <v>-0.2</v>
      </c>
      <c r="R84" s="33">
        <v>0.02</v>
      </c>
      <c r="S84" s="33">
        <v>0.11</v>
      </c>
      <c r="T84" s="392">
        <v>-0.05</v>
      </c>
      <c r="U84" s="33">
        <v>0.17</v>
      </c>
      <c r="V84" s="33">
        <v>0.5</v>
      </c>
      <c r="W84" s="33">
        <v>0.55000000000000004</v>
      </c>
      <c r="X84" s="33">
        <v>0.15</v>
      </c>
      <c r="Y84" s="33">
        <v>0.19</v>
      </c>
      <c r="Z84" s="392">
        <v>0.21</v>
      </c>
      <c r="AA84" s="392">
        <v>0.27</v>
      </c>
      <c r="AB84" s="392">
        <v>0.12</v>
      </c>
      <c r="AC84" s="33">
        <v>0.16</v>
      </c>
      <c r="AD84" s="392">
        <v>7.0000000000000007E-2</v>
      </c>
      <c r="AE84" s="392">
        <v>-0.33</v>
      </c>
      <c r="AF84" s="392">
        <v>-0.11</v>
      </c>
      <c r="AG84" s="33">
        <v>0.31</v>
      </c>
      <c r="AH84" s="32">
        <v>0.15</v>
      </c>
      <c r="AI84" s="32">
        <v>0.35899999999999999</v>
      </c>
      <c r="AJ84" s="32">
        <v>0.3135</v>
      </c>
      <c r="AK84" s="32">
        <v>0.8</v>
      </c>
      <c r="AL84" s="32">
        <v>0.54</v>
      </c>
      <c r="AM84" s="32">
        <v>0.49</v>
      </c>
      <c r="AN84" s="32">
        <v>0.37</v>
      </c>
      <c r="AO84" s="32">
        <v>0.54</v>
      </c>
      <c r="AP84" s="7"/>
      <c r="AQ84" s="1442">
        <v>0.2</v>
      </c>
      <c r="AR84" s="51">
        <v>0.28999999999999998</v>
      </c>
      <c r="AS84" s="40">
        <v>-0.29000000000000004</v>
      </c>
      <c r="AT84" s="755">
        <v>-0.53703703703703709</v>
      </c>
      <c r="AU84" s="7"/>
      <c r="AV84" s="33">
        <v>0.25</v>
      </c>
      <c r="AW84" s="33">
        <v>0.54</v>
      </c>
      <c r="AX84" s="392">
        <v>0.14000000000000001</v>
      </c>
      <c r="AY84" s="392">
        <v>0.25</v>
      </c>
      <c r="AZ84" s="392">
        <v>1.4</v>
      </c>
      <c r="BA84" s="32">
        <v>0.76</v>
      </c>
      <c r="BB84" s="32">
        <v>-0.03</v>
      </c>
      <c r="BC84" s="32">
        <v>1.63</v>
      </c>
      <c r="BD84" s="32">
        <v>1.94</v>
      </c>
      <c r="BE84" s="32">
        <v>1.74</v>
      </c>
      <c r="BF84" s="32">
        <v>1.1100000000000001</v>
      </c>
      <c r="BG84" s="32">
        <v>1.1200000000000001</v>
      </c>
    </row>
    <row r="85" spans="1:59" s="103" customFormat="1" ht="12.75" customHeight="1" x14ac:dyDescent="0.2">
      <c r="A85" s="10"/>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54"/>
      <c r="BF85" s="754"/>
      <c r="BG85" s="726"/>
    </row>
    <row r="86" spans="1:59" x14ac:dyDescent="0.2">
      <c r="A86" s="7" t="s">
        <v>439</v>
      </c>
      <c r="B86" s="13"/>
      <c r="C86" s="103"/>
      <c r="D86" s="103"/>
      <c r="E86" s="2"/>
      <c r="F86" s="2"/>
      <c r="G86" s="2"/>
      <c r="H86" s="2"/>
      <c r="I86" s="2"/>
      <c r="J86" s="2"/>
      <c r="K86" s="2"/>
      <c r="L86" s="2"/>
      <c r="M86" s="2"/>
      <c r="N86" s="2"/>
      <c r="O86" s="2"/>
      <c r="P86" s="2"/>
      <c r="Q86" s="2"/>
      <c r="R86" s="865"/>
      <c r="S86" s="2"/>
      <c r="T86" s="2"/>
      <c r="U86" s="2"/>
      <c r="V86" s="2"/>
      <c r="W86" s="2"/>
      <c r="X86" s="2"/>
      <c r="Y86" s="2"/>
      <c r="Z86" s="2"/>
      <c r="AA86" s="2"/>
      <c r="AB86" s="2"/>
      <c r="AC86" s="2"/>
      <c r="AD86" s="2"/>
      <c r="AE86" s="2"/>
      <c r="AF86" s="2"/>
      <c r="AG86" s="754"/>
      <c r="AH86" s="103"/>
      <c r="AI86" s="103"/>
      <c r="AJ86" s="103"/>
      <c r="AK86" s="103"/>
      <c r="AL86" s="103"/>
      <c r="AM86" s="103"/>
      <c r="AN86" s="103"/>
      <c r="AO86" s="754"/>
      <c r="AP86" s="2"/>
      <c r="AQ86" s="2"/>
      <c r="AR86" s="2"/>
      <c r="AS86" s="103"/>
      <c r="AT86" s="103"/>
      <c r="AU86" s="103"/>
      <c r="AV86" s="103"/>
      <c r="AW86" s="103"/>
      <c r="AX86" s="103"/>
      <c r="AY86" s="103"/>
      <c r="BC86" s="31"/>
      <c r="BD86" s="31"/>
      <c r="BE86" s="106"/>
    </row>
    <row r="87" spans="1:59" x14ac:dyDescent="0.2">
      <c r="A87" s="1" t="s">
        <v>29</v>
      </c>
      <c r="C87" s="103"/>
      <c r="D87" s="103"/>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393"/>
      <c r="AH87" s="103"/>
      <c r="AI87" s="103"/>
      <c r="AJ87" s="103"/>
      <c r="AK87" s="103"/>
      <c r="AL87" s="103"/>
      <c r="AM87" s="103"/>
      <c r="AN87" s="103"/>
      <c r="AO87" s="754"/>
      <c r="AP87" s="2"/>
      <c r="AQ87" s="2"/>
      <c r="AR87" s="865"/>
      <c r="AS87" s="103"/>
      <c r="AT87" s="103"/>
      <c r="AU87" s="103"/>
      <c r="AV87" s="103"/>
      <c r="AW87" s="103"/>
      <c r="AX87" s="103"/>
      <c r="AY87" s="103"/>
      <c r="BC87" s="31"/>
      <c r="BD87" s="31"/>
      <c r="BE87" s="106"/>
    </row>
    <row r="88" spans="1:59" x14ac:dyDescent="0.2">
      <c r="A88" s="2"/>
      <c r="C88" s="103"/>
      <c r="D88" s="103"/>
      <c r="E88" s="2"/>
      <c r="F88" s="865"/>
      <c r="G88" s="2"/>
      <c r="H88" s="1453"/>
      <c r="I88" s="2"/>
      <c r="J88" s="2"/>
      <c r="K88" s="2"/>
      <c r="L88" s="2"/>
      <c r="M88" s="2"/>
      <c r="N88" s="2"/>
      <c r="O88" s="2"/>
      <c r="P88" s="2"/>
      <c r="Q88" s="2"/>
      <c r="R88" s="2"/>
      <c r="S88" s="2"/>
      <c r="T88" s="2"/>
      <c r="U88" s="2"/>
      <c r="V88" s="2"/>
      <c r="W88" s="2"/>
      <c r="X88" s="2"/>
      <c r="Y88" s="2"/>
      <c r="Z88" s="2"/>
      <c r="AA88" s="2"/>
      <c r="AB88" s="2"/>
      <c r="AC88" s="2"/>
      <c r="AD88" s="2"/>
      <c r="AE88" s="2"/>
      <c r="AF88" s="2"/>
      <c r="AG88" s="103"/>
      <c r="AH88" s="103"/>
      <c r="AI88" s="103"/>
      <c r="AJ88" s="103"/>
      <c r="AK88" s="103"/>
      <c r="AL88" s="103"/>
      <c r="AM88" s="103"/>
      <c r="AN88" s="103"/>
      <c r="AO88" s="103"/>
      <c r="AP88" s="103"/>
      <c r="AQ88" s="865"/>
      <c r="AR88" s="103"/>
      <c r="AS88" s="103"/>
      <c r="AT88" s="103"/>
      <c r="AU88" s="103"/>
      <c r="AV88" s="103"/>
      <c r="AW88" s="103"/>
      <c r="AX88" s="103"/>
      <c r="AY88" s="1454"/>
      <c r="BC88" s="32"/>
      <c r="BD88" s="32"/>
    </row>
    <row r="89" spans="1:59" x14ac:dyDescent="0.2">
      <c r="A89" s="7" t="s">
        <v>339</v>
      </c>
      <c r="C89" s="103"/>
      <c r="D89" s="103"/>
      <c r="E89" s="2"/>
      <c r="F89" s="865"/>
      <c r="G89" s="2"/>
      <c r="H89" s="2"/>
      <c r="I89" s="2"/>
      <c r="J89" s="2"/>
      <c r="K89" s="2"/>
      <c r="L89" s="2"/>
      <c r="M89" s="2"/>
      <c r="N89" s="2"/>
      <c r="O89" s="2"/>
      <c r="P89" s="2"/>
      <c r="Q89" s="2"/>
      <c r="R89" s="2"/>
      <c r="S89" s="2"/>
      <c r="T89" s="2"/>
      <c r="U89" s="2"/>
      <c r="V89" s="2"/>
      <c r="W89" s="2"/>
      <c r="X89" s="2"/>
      <c r="Y89" s="2"/>
      <c r="Z89" s="2"/>
      <c r="AA89" s="2"/>
      <c r="AB89" s="2"/>
      <c r="AC89" s="2"/>
      <c r="AD89" s="2"/>
      <c r="AE89" s="2"/>
      <c r="AF89" s="2"/>
      <c r="AG89" s="103"/>
      <c r="AH89" s="103"/>
      <c r="AI89" s="103"/>
      <c r="AJ89" s="103"/>
      <c r="AK89" s="103"/>
      <c r="AL89" s="103"/>
      <c r="AM89" s="103"/>
      <c r="AN89" s="103"/>
      <c r="AO89" s="103"/>
      <c r="AP89" s="103"/>
      <c r="AQ89" s="103"/>
      <c r="AR89" s="103"/>
      <c r="AS89" s="103"/>
      <c r="AT89" s="103"/>
      <c r="AU89" s="103"/>
      <c r="AV89" s="103"/>
      <c r="AW89" s="103"/>
      <c r="AX89" s="103"/>
      <c r="AY89" s="103"/>
      <c r="BC89" s="2"/>
      <c r="BD89" s="2"/>
    </row>
    <row r="90" spans="1:59" x14ac:dyDescent="0.2">
      <c r="F90" s="665"/>
      <c r="AW90" s="516"/>
      <c r="BC90" s="2"/>
      <c r="BD90" s="2"/>
    </row>
    <row r="91" spans="1:59" x14ac:dyDescent="0.2">
      <c r="E91"/>
      <c r="F91" s="665"/>
      <c r="G91" s="721"/>
      <c r="H91" s="721"/>
      <c r="BC91" s="51"/>
      <c r="BD91" s="51"/>
    </row>
    <row r="92" spans="1:59" x14ac:dyDescent="0.2">
      <c r="E92"/>
      <c r="F92" s="665"/>
      <c r="G92" s="591"/>
      <c r="H92" s="591"/>
      <c r="I92" s="591"/>
      <c r="J92" s="591"/>
      <c r="K92" s="591"/>
      <c r="L92" s="591"/>
      <c r="M92" s="591"/>
      <c r="N92" s="591"/>
      <c r="O92" s="591"/>
      <c r="P92" s="591">
        <v>0.36886049764468193</v>
      </c>
      <c r="Q92" s="591">
        <v>0.48646254360223684</v>
      </c>
      <c r="R92" s="591">
        <v>0.3100533507417329</v>
      </c>
      <c r="S92" s="591">
        <v>0.3313701492335468</v>
      </c>
      <c r="T92" s="591">
        <v>0.39697907949790795</v>
      </c>
      <c r="U92" s="591">
        <v>0.30856223753465639</v>
      </c>
      <c r="V92" s="591">
        <v>0.21144611159352975</v>
      </c>
      <c r="W92" s="591">
        <v>0.19537816774841663</v>
      </c>
      <c r="X92" s="591">
        <v>0.32030009712965135</v>
      </c>
      <c r="Y92" s="591">
        <v>0.29618146751186503</v>
      </c>
      <c r="Z92" s="591">
        <v>0.30174732591366071</v>
      </c>
      <c r="AA92" s="591">
        <v>0.24290259069152467</v>
      </c>
      <c r="AB92" s="591">
        <v>0.30655223687613137</v>
      </c>
      <c r="AC92" s="591">
        <v>0.28518946916624838</v>
      </c>
      <c r="AD92" s="591">
        <v>0.38178997345695165</v>
      </c>
      <c r="AE92" s="591">
        <v>0.60120658806257743</v>
      </c>
      <c r="AF92" s="591">
        <v>0.45685695982098551</v>
      </c>
      <c r="AG92" s="591">
        <v>0.29534821780114412</v>
      </c>
      <c r="AH92" s="591">
        <v>0.37250951577597147</v>
      </c>
      <c r="AI92" s="591">
        <v>0.28022841061553061</v>
      </c>
      <c r="AJ92" s="591">
        <v>0.32276277939686154</v>
      </c>
      <c r="AK92" s="591">
        <v>0.20964330743889048</v>
      </c>
      <c r="AL92" s="591">
        <v>0.23074435301672958</v>
      </c>
      <c r="AM92" s="591">
        <v>0.24451946857492163</v>
      </c>
      <c r="AN92" s="591">
        <v>0.28945530054924984</v>
      </c>
      <c r="AO92" s="591">
        <v>0.24016261819169735</v>
      </c>
      <c r="AP92" s="591"/>
      <c r="AQ92" s="591">
        <v>0.34939333454676708</v>
      </c>
      <c r="AR92" s="591">
        <v>0.3470580020482264</v>
      </c>
      <c r="BC92" s="36"/>
      <c r="BD92" s="36"/>
      <c r="BE92" s="103"/>
    </row>
    <row r="93" spans="1:59" x14ac:dyDescent="0.2">
      <c r="E93"/>
      <c r="F93" s="665"/>
      <c r="G93" s="721"/>
      <c r="H93" s="721"/>
      <c r="I93" s="665"/>
      <c r="J93" s="665"/>
      <c r="M93" s="665"/>
      <c r="N93" s="665"/>
      <c r="O93" s="1281"/>
      <c r="P93" s="1281"/>
      <c r="Q93" s="1281"/>
      <c r="R93" s="665"/>
      <c r="AG93" s="32"/>
      <c r="AO93" s="11"/>
      <c r="AP93" s="3"/>
      <c r="AQ93" s="523">
        <v>3.6757787313858748E-3</v>
      </c>
      <c r="AR93" s="523">
        <v>9.1205926556452571E-3</v>
      </c>
      <c r="AV93" s="516"/>
      <c r="AW93" s="516"/>
      <c r="AX93" s="516"/>
      <c r="BC93" s="36"/>
      <c r="BD93" s="36"/>
      <c r="BE93" s="103"/>
    </row>
    <row r="94" spans="1:59" x14ac:dyDescent="0.2">
      <c r="E94"/>
      <c r="F94" s="665"/>
      <c r="G94" s="721"/>
      <c r="H94" s="1437"/>
      <c r="I94" s="1437"/>
      <c r="J94" s="665"/>
      <c r="O94" s="1281"/>
      <c r="P94" s="1281"/>
      <c r="Q94" s="1281"/>
      <c r="R94" s="665"/>
      <c r="AG94" s="33"/>
      <c r="AO94" s="33"/>
      <c r="AP94" s="3"/>
      <c r="AQ94" s="3"/>
      <c r="AR94" s="3"/>
      <c r="AV94" s="665"/>
      <c r="AW94" s="665"/>
      <c r="BC94" s="3"/>
      <c r="BD94" s="3"/>
      <c r="BE94" s="103"/>
    </row>
    <row r="95" spans="1:59" x14ac:dyDescent="0.2">
      <c r="E95"/>
      <c r="F95" s="665"/>
      <c r="G95" s="721"/>
      <c r="H95" s="721"/>
      <c r="J95" s="665"/>
      <c r="N95" s="665"/>
      <c r="O95" s="665"/>
      <c r="P95" s="665"/>
      <c r="Q95" s="665"/>
      <c r="R95" s="665"/>
      <c r="AG95" s="2"/>
      <c r="AO95" s="150"/>
      <c r="AP95" s="3"/>
      <c r="AQ95" s="3"/>
      <c r="AR95" s="3"/>
      <c r="AV95" s="665"/>
      <c r="AW95" s="665"/>
      <c r="BC95" s="3"/>
      <c r="BD95" s="3"/>
      <c r="BE95" s="103"/>
    </row>
    <row r="96" spans="1:59" x14ac:dyDescent="0.2">
      <c r="E96"/>
      <c r="G96" s="721"/>
      <c r="H96" s="721"/>
      <c r="I96" s="721"/>
      <c r="J96" s="665"/>
      <c r="K96"/>
      <c r="L96"/>
      <c r="M96"/>
      <c r="N96"/>
      <c r="O96" s="1281"/>
      <c r="P96" s="1281"/>
      <c r="Q96" s="1281"/>
      <c r="R96" s="665"/>
      <c r="AG96" s="2"/>
      <c r="AH96" s="2"/>
      <c r="AK96" s="2"/>
      <c r="AM96" s="2"/>
      <c r="AN96" s="2"/>
      <c r="AO96" s="2"/>
      <c r="AP96" s="3"/>
      <c r="AQ96" s="3"/>
      <c r="AR96" s="3"/>
      <c r="AV96" s="665"/>
      <c r="AW96" s="665"/>
      <c r="AX96" s="665"/>
      <c r="BC96" s="3"/>
      <c r="BD96" s="3"/>
    </row>
    <row r="97" spans="5:56" x14ac:dyDescent="0.2">
      <c r="E97"/>
      <c r="F97" s="721"/>
      <c r="G97" s="721"/>
      <c r="H97" s="1437"/>
      <c r="I97" s="721"/>
      <c r="J97" s="665"/>
      <c r="K97"/>
      <c r="L97"/>
      <c r="M97"/>
      <c r="N97"/>
      <c r="AG97" s="35"/>
      <c r="AH97" s="35"/>
      <c r="AI97" s="35"/>
      <c r="AJ97" s="35"/>
      <c r="AK97" s="35"/>
      <c r="AL97" s="35"/>
      <c r="AM97" s="35"/>
      <c r="AN97" s="35"/>
      <c r="AO97" s="35"/>
      <c r="AP97" s="3"/>
      <c r="AQ97" s="3"/>
      <c r="AR97" s="3"/>
      <c r="AS97" s="160"/>
      <c r="AV97" s="523"/>
      <c r="AW97" s="523"/>
      <c r="AX97" s="523"/>
      <c r="BC97" s="3"/>
      <c r="BD97" s="3"/>
    </row>
    <row r="98" spans="5:56" x14ac:dyDescent="0.2">
      <c r="E98"/>
      <c r="F98" s="721"/>
      <c r="G98" s="721"/>
      <c r="H98" s="721"/>
      <c r="I98" s="721"/>
      <c r="J98" s="665"/>
      <c r="K98"/>
      <c r="L98"/>
      <c r="M98"/>
      <c r="N98"/>
      <c r="AG98" s="36"/>
      <c r="AH98" s="36"/>
      <c r="AI98" s="36"/>
      <c r="AJ98" s="36"/>
      <c r="AK98" s="36"/>
      <c r="AL98" s="36"/>
      <c r="AM98" s="36"/>
      <c r="AN98" s="36"/>
      <c r="AO98" s="36"/>
      <c r="AP98" s="3"/>
      <c r="AQ98" s="3"/>
      <c r="AR98" s="3"/>
      <c r="AV98" s="665"/>
      <c r="AW98" s="665"/>
      <c r="BC98" s="3"/>
      <c r="BD98" s="3"/>
    </row>
    <row r="99" spans="5:56" x14ac:dyDescent="0.2">
      <c r="E99"/>
      <c r="F99" s="721"/>
      <c r="G99" s="721"/>
      <c r="H99" s="721"/>
      <c r="I99" s="721"/>
      <c r="J99"/>
      <c r="K99"/>
      <c r="L99"/>
      <c r="M99"/>
      <c r="N99"/>
      <c r="AG99" s="3"/>
      <c r="AH99" s="3"/>
      <c r="AI99" s="3"/>
      <c r="AJ99" s="3"/>
      <c r="AK99" s="3"/>
      <c r="AL99" s="3"/>
      <c r="AM99" s="3"/>
      <c r="AN99" s="3"/>
      <c r="AO99" s="3"/>
      <c r="AP99" s="3"/>
      <c r="AQ99" s="3"/>
      <c r="AR99" s="3"/>
    </row>
  </sheetData>
  <mergeCells count="6">
    <mergeCell ref="AS11:AT11"/>
    <mergeCell ref="AS71:AT71"/>
    <mergeCell ref="C71:D71"/>
    <mergeCell ref="C10:D10"/>
    <mergeCell ref="C11:D11"/>
    <mergeCell ref="C70:D70"/>
  </mergeCells>
  <phoneticPr fontId="6" type="noConversion"/>
  <conditionalFormatting sqref="BE79:BG82 A68:A69 A85 BE63:BG63 BB56:BC57 A63:B63 BE53:BG57 AY63:BC63 B53:B57 A53 A56:A57">
    <cfRule type="cellIs" dxfId="51" priority="8" stopIfTrue="1" operator="equal">
      <formula>0</formula>
    </cfRule>
  </conditionalFormatting>
  <conditionalFormatting sqref="AX63">
    <cfRule type="cellIs" dxfId="50" priority="4" stopIfTrue="1" operator="equal">
      <formula>0</formula>
    </cfRule>
  </conditionalFormatting>
  <conditionalFormatting sqref="AX63">
    <cfRule type="cellIs" dxfId="49" priority="3" stopIfTrue="1" operator="equal">
      <formula>0</formula>
    </cfRule>
  </conditionalFormatting>
  <conditionalFormatting sqref="AW63">
    <cfRule type="cellIs" dxfId="48" priority="2" stopIfTrue="1" operator="equal">
      <formula>0</formula>
    </cfRule>
  </conditionalFormatting>
  <conditionalFormatting sqref="AV63">
    <cfRule type="cellIs" dxfId="47" priority="1" stopIfTrue="1" operator="equal">
      <formula>0</formula>
    </cfRule>
  </conditionalFormatting>
  <printOptions horizontalCentered="1"/>
  <pageMargins left="0.3" right="0.3" top="0.4" bottom="0.53" header="0" footer="0.3"/>
  <pageSetup scale="50" orientation="landscape" r:id="rId1"/>
  <headerFooter alignWithMargins="0">
    <oddFooter>&amp;CPage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03"/>
  <sheetViews>
    <sheetView zoomScaleNormal="100" zoomScaleSheetLayoutView="80" workbookViewId="0">
      <selection activeCell="B23" sqref="B23"/>
    </sheetView>
  </sheetViews>
  <sheetFormatPr defaultRowHeight="12.75" x14ac:dyDescent="0.2"/>
  <cols>
    <col min="1" max="1" width="2.7109375" style="721" customWidth="1"/>
    <col min="2" max="2" width="44" style="721" customWidth="1"/>
    <col min="3" max="3" width="9.5703125" style="721" customWidth="1"/>
    <col min="4" max="4" width="9.7109375" style="721" customWidth="1"/>
    <col min="5" max="5" width="1.5703125" style="722" customWidth="1"/>
    <col min="6" max="6" width="9.7109375" style="722" customWidth="1"/>
    <col min="7" max="7" width="8.7109375" style="722" bestFit="1" customWidth="1"/>
    <col min="8" max="14" width="9.5703125" style="722" customWidth="1"/>
    <col min="15" max="29" width="9.5703125" style="722" hidden="1" customWidth="1"/>
    <col min="30" max="32" width="9.7109375" style="722" hidden="1" customWidth="1"/>
    <col min="33" max="41" width="9.7109375" style="721" hidden="1" customWidth="1"/>
    <col min="42" max="42" width="1.5703125" style="721" customWidth="1"/>
    <col min="43" max="44" width="10" style="721" hidden="1" customWidth="1"/>
    <col min="45" max="46" width="10" style="721" customWidth="1"/>
    <col min="47" max="47" width="1.5703125" style="721" customWidth="1"/>
    <col min="48" max="52" width="9.7109375" style="721" customWidth="1"/>
    <col min="53" max="59" width="9.7109375" style="721" hidden="1" customWidth="1"/>
    <col min="60" max="60" width="1.5703125" style="721" customWidth="1"/>
    <col min="61" max="16384" width="9.140625" style="721"/>
  </cols>
  <sheetData>
    <row r="1" spans="1:67" ht="6.75" customHeight="1" x14ac:dyDescent="0.2"/>
    <row r="2" spans="1:67" x14ac:dyDescent="0.2">
      <c r="I2" s="394"/>
      <c r="M2" s="394"/>
      <c r="Q2" s="394"/>
      <c r="U2" s="394"/>
      <c r="X2" s="394"/>
      <c r="Y2" s="394"/>
      <c r="AB2" s="394"/>
      <c r="AC2" s="394"/>
      <c r="AG2" s="722"/>
      <c r="AH2" s="722"/>
      <c r="AI2" s="722"/>
      <c r="AJ2" s="722"/>
      <c r="AK2" s="722"/>
      <c r="AL2" s="722"/>
      <c r="AM2" s="722"/>
      <c r="AN2" s="722"/>
      <c r="AO2" s="722"/>
      <c r="AP2" s="722"/>
      <c r="AQ2" s="722"/>
    </row>
    <row r="3" spans="1:67" x14ac:dyDescent="0.2">
      <c r="C3" s="160"/>
      <c r="F3" s="523"/>
      <c r="G3" s="523"/>
      <c r="H3" s="870"/>
      <c r="I3" s="523"/>
      <c r="J3" s="523"/>
      <c r="K3" s="523"/>
      <c r="L3" s="870"/>
      <c r="M3" s="523"/>
      <c r="N3" s="523"/>
      <c r="O3" s="523"/>
      <c r="P3" s="870"/>
      <c r="Q3" s="523"/>
      <c r="R3" s="523"/>
      <c r="S3" s="523"/>
      <c r="T3" s="523"/>
      <c r="U3" s="523"/>
      <c r="AG3" s="722"/>
      <c r="AH3" s="722"/>
      <c r="AI3" s="722"/>
      <c r="AJ3" s="722"/>
      <c r="AK3" s="722"/>
      <c r="AL3" s="722"/>
      <c r="AM3" s="722"/>
      <c r="AN3" s="722"/>
      <c r="AO3" s="722"/>
      <c r="AP3" s="722"/>
      <c r="AQ3" s="523"/>
    </row>
    <row r="4" spans="1:67" x14ac:dyDescent="0.2">
      <c r="C4" s="160"/>
      <c r="F4" s="523"/>
      <c r="G4" s="523"/>
      <c r="H4" s="725"/>
      <c r="I4" s="523"/>
      <c r="J4" s="523"/>
      <c r="K4" s="523"/>
      <c r="L4" s="725"/>
      <c r="M4" s="523"/>
      <c r="N4" s="523"/>
      <c r="O4" s="523"/>
      <c r="P4" s="725"/>
      <c r="Q4" s="523"/>
      <c r="R4" s="523"/>
      <c r="S4" s="523"/>
      <c r="T4" s="523"/>
      <c r="U4" s="814"/>
      <c r="V4" s="814"/>
      <c r="W4" s="664"/>
      <c r="AG4" s="722"/>
      <c r="AH4" s="722"/>
      <c r="AI4" s="722"/>
      <c r="AJ4" s="722"/>
      <c r="AK4" s="722"/>
      <c r="AL4" s="722"/>
      <c r="AM4" s="722"/>
      <c r="AN4" s="722"/>
      <c r="AO4" s="722"/>
      <c r="AP4" s="722"/>
      <c r="AQ4" s="523"/>
    </row>
    <row r="5" spans="1:67" ht="8.25" customHeight="1" x14ac:dyDescent="0.2">
      <c r="A5" s="722"/>
      <c r="B5" s="722"/>
      <c r="C5" s="160"/>
      <c r="D5" s="722"/>
      <c r="F5" s="523"/>
      <c r="G5" s="523"/>
      <c r="H5" s="725"/>
      <c r="I5" s="523"/>
      <c r="J5" s="523"/>
      <c r="K5" s="523"/>
      <c r="L5" s="725"/>
      <c r="M5" s="523"/>
      <c r="N5" s="523"/>
      <c r="O5" s="523"/>
      <c r="P5" s="725"/>
      <c r="Q5" s="523"/>
      <c r="R5" s="523"/>
      <c r="S5" s="523"/>
      <c r="T5" s="523"/>
      <c r="U5" s="814"/>
      <c r="V5" s="814"/>
      <c r="W5" s="664"/>
      <c r="AG5" s="722"/>
      <c r="AH5" s="722"/>
      <c r="AI5" s="722"/>
      <c r="AJ5" s="722"/>
      <c r="AK5" s="722"/>
      <c r="AL5" s="722"/>
      <c r="AM5" s="722"/>
      <c r="AN5" s="722"/>
      <c r="AO5" s="722"/>
      <c r="AP5" s="722"/>
      <c r="AQ5" s="523"/>
    </row>
    <row r="6" spans="1:67" ht="18" customHeight="1" x14ac:dyDescent="0.2">
      <c r="A6" s="132" t="s">
        <v>191</v>
      </c>
      <c r="B6" s="722"/>
      <c r="C6" s="160"/>
      <c r="D6" s="722"/>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160"/>
      <c r="AT6" s="160"/>
      <c r="AU6" s="591"/>
      <c r="AV6" s="591"/>
      <c r="AW6" s="591"/>
      <c r="AX6" s="591"/>
      <c r="AY6" s="591"/>
      <c r="AZ6" s="591"/>
      <c r="BA6" s="591"/>
    </row>
    <row r="7" spans="1:67" ht="18" customHeight="1" x14ac:dyDescent="0.2">
      <c r="A7" s="132" t="s">
        <v>412</v>
      </c>
      <c r="B7" s="722"/>
      <c r="C7" s="160"/>
      <c r="D7" s="722"/>
      <c r="F7" s="523"/>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160"/>
      <c r="AT7" s="160"/>
      <c r="AU7" s="591"/>
      <c r="AV7" s="591"/>
      <c r="AW7" s="591"/>
      <c r="AX7" s="591"/>
      <c r="AY7" s="591"/>
      <c r="AZ7" s="591"/>
      <c r="BA7" s="591"/>
    </row>
    <row r="8" spans="1:67" ht="18" customHeight="1" x14ac:dyDescent="0.2">
      <c r="A8" s="164" t="s">
        <v>398</v>
      </c>
      <c r="B8" s="5"/>
      <c r="C8" s="160"/>
      <c r="D8" s="720"/>
      <c r="E8" s="5"/>
      <c r="F8" s="5"/>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523"/>
      <c r="AP8" s="523"/>
      <c r="AQ8" s="523"/>
      <c r="AR8" s="523"/>
      <c r="AS8" s="160"/>
      <c r="AT8" s="160"/>
      <c r="AU8" s="591"/>
      <c r="AV8" s="591"/>
      <c r="AW8" s="591"/>
      <c r="AX8" s="591"/>
      <c r="AY8" s="591"/>
      <c r="AZ8" s="591"/>
      <c r="BA8" s="591"/>
    </row>
    <row r="9" spans="1:67" ht="15" x14ac:dyDescent="0.2">
      <c r="A9" s="760" t="s">
        <v>281</v>
      </c>
      <c r="B9" s="5"/>
      <c r="C9" s="160"/>
      <c r="D9" s="5"/>
      <c r="E9" s="5"/>
      <c r="F9" s="764"/>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160"/>
      <c r="AT9" s="160"/>
      <c r="AU9" s="591"/>
      <c r="AV9" s="591"/>
      <c r="AW9" s="591"/>
      <c r="AX9" s="591"/>
      <c r="AY9" s="591"/>
      <c r="AZ9" s="591"/>
      <c r="BA9" s="591"/>
    </row>
    <row r="10" spans="1:67" ht="9.75" customHeight="1" x14ac:dyDescent="0.2">
      <c r="A10" s="725"/>
      <c r="B10" s="5"/>
      <c r="C10" s="5"/>
      <c r="D10" s="5"/>
      <c r="E10" s="5"/>
      <c r="F10" s="867"/>
      <c r="G10" s="523"/>
      <c r="H10" s="720"/>
      <c r="I10" s="523"/>
      <c r="J10" s="720"/>
      <c r="K10" s="523"/>
      <c r="L10" s="720"/>
      <c r="M10" s="523"/>
      <c r="N10" s="720"/>
      <c r="O10" s="523"/>
      <c r="P10" s="589"/>
      <c r="Q10" s="720"/>
      <c r="R10" s="720"/>
      <c r="S10" s="720"/>
      <c r="T10" s="720"/>
      <c r="U10" s="720"/>
      <c r="V10" s="720"/>
      <c r="W10" s="720"/>
      <c r="X10" s="720"/>
      <c r="Y10" s="720"/>
      <c r="Z10" s="720"/>
      <c r="AA10" s="720"/>
      <c r="AB10" s="720"/>
      <c r="AC10" s="720"/>
      <c r="AD10" s="720"/>
      <c r="AE10" s="720"/>
      <c r="AF10" s="720"/>
      <c r="AG10" s="523"/>
      <c r="AH10" s="523"/>
      <c r="AI10" s="523"/>
      <c r="AJ10" s="591"/>
      <c r="AK10" s="591"/>
      <c r="AL10" s="591"/>
      <c r="AM10" s="591"/>
      <c r="AN10" s="591"/>
      <c r="AO10" s="591"/>
      <c r="AP10" s="591"/>
      <c r="AQ10" s="523"/>
      <c r="AR10" s="523"/>
      <c r="AS10" s="589"/>
      <c r="AT10" s="591"/>
      <c r="AU10" s="591"/>
      <c r="AV10" s="591"/>
      <c r="AW10" s="591"/>
      <c r="AX10" s="591"/>
      <c r="AY10" s="591"/>
      <c r="AZ10" s="591"/>
      <c r="BA10" s="591"/>
    </row>
    <row r="11" spans="1:67" ht="12" customHeight="1" x14ac:dyDescent="0.2">
      <c r="A11" s="6" t="s">
        <v>1</v>
      </c>
      <c r="B11" s="2"/>
      <c r="C11" s="2"/>
      <c r="D11" s="2"/>
      <c r="E11" s="2"/>
      <c r="F11" s="2"/>
      <c r="G11" s="2"/>
      <c r="H11" s="845"/>
      <c r="I11" s="845"/>
      <c r="J11" s="845"/>
      <c r="K11" s="845"/>
      <c r="L11" s="845"/>
      <c r="M11" s="845"/>
      <c r="N11" s="845"/>
      <c r="O11" s="845"/>
      <c r="P11" s="845"/>
      <c r="Q11" s="845"/>
      <c r="R11" s="1426"/>
      <c r="S11" s="845"/>
      <c r="T11" s="845"/>
      <c r="U11" s="845"/>
      <c r="V11" s="1426"/>
      <c r="W11" s="845"/>
      <c r="X11" s="1426"/>
      <c r="Y11" s="845"/>
      <c r="Z11" s="1426"/>
      <c r="AA11" s="845"/>
      <c r="AB11" s="1426"/>
      <c r="AC11" s="845"/>
      <c r="AD11" s="1426"/>
      <c r="AE11" s="845"/>
      <c r="AF11" s="845"/>
      <c r="AG11" s="523"/>
      <c r="AH11" s="523"/>
      <c r="AI11" s="523"/>
      <c r="AJ11" s="591"/>
      <c r="AK11" s="591"/>
      <c r="AL11" s="591"/>
      <c r="AM11" s="591"/>
      <c r="AN11" s="591"/>
      <c r="AO11" s="591"/>
      <c r="AP11" s="591"/>
      <c r="AQ11" s="591"/>
      <c r="AR11" s="591"/>
      <c r="AS11" s="880"/>
      <c r="AT11" s="880"/>
      <c r="AU11" s="591"/>
      <c r="AV11" s="591"/>
      <c r="AW11" s="591"/>
      <c r="AX11" s="591"/>
      <c r="AY11" s="591"/>
      <c r="AZ11" s="591"/>
      <c r="BA11" s="591"/>
    </row>
    <row r="12" spans="1:67" ht="13.5" x14ac:dyDescent="0.2">
      <c r="A12" s="6" t="s">
        <v>2</v>
      </c>
      <c r="B12" s="7"/>
      <c r="C12" s="1479" t="s">
        <v>447</v>
      </c>
      <c r="D12" s="1480"/>
      <c r="E12" s="256"/>
      <c r="F12" s="410"/>
      <c r="G12" s="410"/>
      <c r="H12" s="410"/>
      <c r="I12" s="19"/>
      <c r="J12" s="410"/>
      <c r="K12" s="410"/>
      <c r="L12" s="410"/>
      <c r="M12" s="19"/>
      <c r="N12" s="410"/>
      <c r="O12" s="410"/>
      <c r="P12" s="410"/>
      <c r="Q12" s="19"/>
      <c r="R12" s="17"/>
      <c r="S12" s="18"/>
      <c r="T12" s="410"/>
      <c r="U12" s="19"/>
      <c r="V12" s="17"/>
      <c r="W12" s="18"/>
      <c r="X12" s="410"/>
      <c r="Y12" s="19"/>
      <c r="AA12" s="18"/>
      <c r="AB12" s="2"/>
      <c r="AC12" s="19"/>
      <c r="AD12" s="18"/>
      <c r="AF12" s="410"/>
      <c r="AG12" s="19"/>
      <c r="AH12" s="18"/>
      <c r="AI12" s="18"/>
      <c r="AJ12" s="18"/>
      <c r="AK12" s="18"/>
      <c r="AL12" s="22"/>
      <c r="AM12" s="19"/>
      <c r="AN12" s="19"/>
      <c r="AO12" s="19"/>
      <c r="AP12" s="24"/>
      <c r="AQ12" s="661" t="s">
        <v>340</v>
      </c>
      <c r="AR12" s="647"/>
      <c r="AS12" s="647" t="s">
        <v>432</v>
      </c>
      <c r="AT12" s="648"/>
      <c r="AU12" s="15"/>
      <c r="AV12" s="87"/>
      <c r="AW12" s="87"/>
      <c r="AX12" s="87"/>
      <c r="AY12" s="87"/>
      <c r="AZ12" s="87"/>
      <c r="BA12" s="87"/>
      <c r="BB12" s="87"/>
      <c r="BC12" s="17"/>
      <c r="BD12" s="22"/>
      <c r="BE12" s="87"/>
      <c r="BF12" s="940"/>
      <c r="BG12" s="941"/>
      <c r="BH12" s="25"/>
    </row>
    <row r="13" spans="1:67" x14ac:dyDescent="0.2">
      <c r="B13" s="7"/>
      <c r="C13" s="1481" t="s">
        <v>39</v>
      </c>
      <c r="D13" s="1482"/>
      <c r="E13" s="530"/>
      <c r="F13" s="21" t="s">
        <v>425</v>
      </c>
      <c r="G13" s="21" t="s">
        <v>426</v>
      </c>
      <c r="H13" s="21" t="s">
        <v>427</v>
      </c>
      <c r="I13" s="14" t="s">
        <v>428</v>
      </c>
      <c r="J13" s="21" t="s">
        <v>363</v>
      </c>
      <c r="K13" s="21" t="s">
        <v>362</v>
      </c>
      <c r="L13" s="21" t="s">
        <v>361</v>
      </c>
      <c r="M13" s="14" t="s">
        <v>359</v>
      </c>
      <c r="N13" s="21" t="s">
        <v>302</v>
      </c>
      <c r="O13" s="21" t="s">
        <v>303</v>
      </c>
      <c r="P13" s="21" t="s">
        <v>304</v>
      </c>
      <c r="Q13" s="14" t="s">
        <v>305</v>
      </c>
      <c r="R13" s="20" t="s">
        <v>231</v>
      </c>
      <c r="S13" s="21" t="s">
        <v>232</v>
      </c>
      <c r="T13" s="21" t="s">
        <v>233</v>
      </c>
      <c r="U13" s="14" t="s">
        <v>230</v>
      </c>
      <c r="V13" s="20" t="s">
        <v>194</v>
      </c>
      <c r="W13" s="21" t="s">
        <v>195</v>
      </c>
      <c r="X13" s="21" t="s">
        <v>196</v>
      </c>
      <c r="Y13" s="14" t="s">
        <v>197</v>
      </c>
      <c r="Z13" s="21" t="s">
        <v>126</v>
      </c>
      <c r="AA13" s="21" t="s">
        <v>125</v>
      </c>
      <c r="AB13" s="21" t="s">
        <v>124</v>
      </c>
      <c r="AC13" s="14" t="s">
        <v>123</v>
      </c>
      <c r="AD13" s="21" t="s">
        <v>86</v>
      </c>
      <c r="AE13" s="21" t="s">
        <v>87</v>
      </c>
      <c r="AF13" s="21" t="s">
        <v>88</v>
      </c>
      <c r="AG13" s="14" t="s">
        <v>30</v>
      </c>
      <c r="AH13" s="21" t="s">
        <v>31</v>
      </c>
      <c r="AI13" s="21" t="s">
        <v>32</v>
      </c>
      <c r="AJ13" s="21" t="s">
        <v>33</v>
      </c>
      <c r="AK13" s="21" t="s">
        <v>34</v>
      </c>
      <c r="AL13" s="23" t="s">
        <v>35</v>
      </c>
      <c r="AM13" s="14" t="s">
        <v>36</v>
      </c>
      <c r="AN13" s="14" t="s">
        <v>37</v>
      </c>
      <c r="AO13" s="14" t="s">
        <v>38</v>
      </c>
      <c r="AP13" s="256"/>
      <c r="AQ13" s="21" t="s">
        <v>426</v>
      </c>
      <c r="AR13" s="21" t="s">
        <v>362</v>
      </c>
      <c r="AS13" s="1477" t="s">
        <v>39</v>
      </c>
      <c r="AT13" s="1478"/>
      <c r="AU13" s="935"/>
      <c r="AV13" s="20" t="s">
        <v>446</v>
      </c>
      <c r="AW13" s="20" t="s">
        <v>365</v>
      </c>
      <c r="AX13" s="20" t="s">
        <v>307</v>
      </c>
      <c r="AY13" s="20" t="s">
        <v>235</v>
      </c>
      <c r="AZ13" s="20" t="s">
        <v>128</v>
      </c>
      <c r="BA13" s="20" t="s">
        <v>127</v>
      </c>
      <c r="BB13" s="20" t="s">
        <v>43</v>
      </c>
      <c r="BC13" s="20" t="s">
        <v>40</v>
      </c>
      <c r="BD13" s="23" t="s">
        <v>41</v>
      </c>
      <c r="BE13" s="23" t="s">
        <v>146</v>
      </c>
      <c r="BF13" s="23" t="s">
        <v>147</v>
      </c>
      <c r="BG13" s="20" t="s">
        <v>148</v>
      </c>
      <c r="BH13" s="25"/>
      <c r="BI13" s="722"/>
      <c r="BJ13" s="722"/>
      <c r="BK13" s="722"/>
      <c r="BL13" s="722"/>
      <c r="BM13" s="722"/>
      <c r="BN13" s="722"/>
      <c r="BO13" s="722"/>
    </row>
    <row r="14" spans="1:67" ht="12.75" customHeight="1" x14ac:dyDescent="0.2">
      <c r="A14" s="615" t="s">
        <v>64</v>
      </c>
      <c r="B14" s="8"/>
      <c r="C14" s="162"/>
      <c r="D14" s="163"/>
      <c r="E14" s="88"/>
      <c r="F14" s="633" t="s">
        <v>254</v>
      </c>
      <c r="G14" s="633" t="s">
        <v>254</v>
      </c>
      <c r="H14" s="633" t="s">
        <v>254</v>
      </c>
      <c r="I14" s="634" t="s">
        <v>254</v>
      </c>
      <c r="J14" s="633" t="s">
        <v>254</v>
      </c>
      <c r="K14" s="633" t="s">
        <v>254</v>
      </c>
      <c r="L14" s="633" t="s">
        <v>254</v>
      </c>
      <c r="M14" s="634" t="s">
        <v>254</v>
      </c>
      <c r="N14" s="633" t="s">
        <v>254</v>
      </c>
      <c r="O14" s="633" t="s">
        <v>254</v>
      </c>
      <c r="P14" s="633" t="s">
        <v>254</v>
      </c>
      <c r="Q14" s="634" t="s">
        <v>254</v>
      </c>
      <c r="R14" s="632" t="s">
        <v>254</v>
      </c>
      <c r="S14" s="633" t="s">
        <v>254</v>
      </c>
      <c r="T14" s="633" t="s">
        <v>254</v>
      </c>
      <c r="U14" s="634" t="s">
        <v>254</v>
      </c>
      <c r="V14" s="632" t="s">
        <v>254</v>
      </c>
      <c r="W14" s="633" t="s">
        <v>254</v>
      </c>
      <c r="X14" s="633" t="s">
        <v>254</v>
      </c>
      <c r="Y14" s="634" t="s">
        <v>254</v>
      </c>
      <c r="Z14" s="632" t="s">
        <v>255</v>
      </c>
      <c r="AA14" s="633" t="s">
        <v>255</v>
      </c>
      <c r="AB14" s="633" t="s">
        <v>255</v>
      </c>
      <c r="AC14" s="634" t="s">
        <v>255</v>
      </c>
      <c r="AD14" s="15"/>
      <c r="AE14" s="15"/>
      <c r="AF14" s="15"/>
      <c r="AG14" s="230"/>
      <c r="AH14" s="15"/>
      <c r="AI14" s="15"/>
      <c r="AJ14" s="15"/>
      <c r="AK14" s="15"/>
      <c r="AL14" s="256"/>
      <c r="AM14" s="230"/>
      <c r="AN14" s="230"/>
      <c r="AO14" s="230"/>
      <c r="AP14" s="256"/>
      <c r="AQ14" s="632" t="s">
        <v>254</v>
      </c>
      <c r="AR14" s="633" t="s">
        <v>254</v>
      </c>
      <c r="AS14" s="649"/>
      <c r="AT14" s="650"/>
      <c r="AU14" s="935"/>
      <c r="AV14" s="632" t="s">
        <v>254</v>
      </c>
      <c r="AW14" s="632" t="s">
        <v>254</v>
      </c>
      <c r="AX14" s="632" t="s">
        <v>254</v>
      </c>
      <c r="AY14" s="632" t="s">
        <v>254</v>
      </c>
      <c r="AZ14" s="632" t="s">
        <v>254</v>
      </c>
      <c r="BA14" s="632" t="s">
        <v>255</v>
      </c>
      <c r="BB14" s="632" t="s">
        <v>255</v>
      </c>
      <c r="BC14" s="632" t="s">
        <v>255</v>
      </c>
      <c r="BD14" s="635" t="s">
        <v>255</v>
      </c>
      <c r="BE14" s="308"/>
      <c r="BF14" s="308"/>
      <c r="BG14" s="699"/>
      <c r="BH14" s="25"/>
      <c r="BI14" s="722"/>
      <c r="BJ14" s="722"/>
      <c r="BK14" s="722"/>
      <c r="BL14" s="722"/>
      <c r="BM14" s="722"/>
    </row>
    <row r="15" spans="1:67" ht="13.5" hidden="1" customHeight="1" x14ac:dyDescent="0.2">
      <c r="A15" s="7"/>
      <c r="B15" s="164" t="s">
        <v>89</v>
      </c>
      <c r="C15" s="686"/>
      <c r="D15" s="742"/>
      <c r="E15" s="741"/>
      <c r="F15" s="755"/>
      <c r="G15" s="755"/>
      <c r="H15" s="755"/>
      <c r="I15" s="213"/>
      <c r="J15" s="755"/>
      <c r="K15" s="755"/>
      <c r="L15" s="755"/>
      <c r="M15" s="213"/>
      <c r="N15" s="755"/>
      <c r="O15" s="755"/>
      <c r="P15" s="755"/>
      <c r="Q15" s="213"/>
      <c r="R15" s="755"/>
      <c r="S15" s="755"/>
      <c r="T15" s="755"/>
      <c r="U15" s="213"/>
      <c r="V15" s="755"/>
      <c r="W15" s="755"/>
      <c r="X15" s="755"/>
      <c r="Y15" s="213"/>
      <c r="Z15" s="755"/>
      <c r="AA15" s="755"/>
      <c r="AB15" s="755"/>
      <c r="AC15" s="213"/>
      <c r="AD15" s="755"/>
      <c r="AE15" s="755"/>
      <c r="AF15" s="755"/>
      <c r="AG15" s="213"/>
      <c r="AH15" s="730"/>
      <c r="AI15" s="165"/>
      <c r="AJ15" s="165"/>
      <c r="AK15" s="166"/>
      <c r="AL15" s="173"/>
      <c r="AM15" s="166"/>
      <c r="AN15" s="166"/>
      <c r="AO15" s="166"/>
      <c r="AP15" s="88"/>
      <c r="AQ15" s="725"/>
      <c r="AR15" s="725"/>
      <c r="AS15" s="754"/>
      <c r="AT15" s="742"/>
      <c r="AU15" s="724"/>
      <c r="AV15" s="744"/>
      <c r="AW15" s="744"/>
      <c r="AX15" s="744"/>
      <c r="AY15" s="744"/>
      <c r="AZ15" s="744"/>
      <c r="BA15" s="744"/>
      <c r="BB15" s="744"/>
      <c r="BC15" s="744"/>
      <c r="BD15" s="744"/>
      <c r="BE15" s="309"/>
      <c r="BF15" s="309"/>
      <c r="BG15" s="700"/>
      <c r="BH15" s="25"/>
      <c r="BI15" s="722"/>
      <c r="BJ15" s="722"/>
      <c r="BK15" s="722"/>
      <c r="BL15" s="722"/>
      <c r="BM15" s="722"/>
    </row>
    <row r="16" spans="1:67" ht="13.5" hidden="1" customHeight="1" x14ac:dyDescent="0.2">
      <c r="A16" s="7"/>
      <c r="B16" s="197" t="s">
        <v>90</v>
      </c>
      <c r="C16" s="686">
        <v>-38850</v>
      </c>
      <c r="D16" s="742">
        <v>-1</v>
      </c>
      <c r="E16" s="741"/>
      <c r="F16" s="748"/>
      <c r="G16" s="748"/>
      <c r="H16" s="748">
        <v>65778</v>
      </c>
      <c r="I16" s="213">
        <v>53197</v>
      </c>
      <c r="J16" s="748">
        <v>38850</v>
      </c>
      <c r="K16" s="748">
        <v>36602</v>
      </c>
      <c r="L16" s="748">
        <v>27456</v>
      </c>
      <c r="M16" s="213">
        <v>29008</v>
      </c>
      <c r="N16" s="748">
        <v>52412</v>
      </c>
      <c r="O16" s="748">
        <v>70965</v>
      </c>
      <c r="P16" s="748">
        <v>31432</v>
      </c>
      <c r="Q16" s="213">
        <v>30276</v>
      </c>
      <c r="R16" s="748">
        <v>62753</v>
      </c>
      <c r="S16" s="748">
        <v>50641</v>
      </c>
      <c r="T16" s="748">
        <v>39671</v>
      </c>
      <c r="U16" s="213">
        <v>56027</v>
      </c>
      <c r="V16" s="748">
        <v>88632</v>
      </c>
      <c r="W16" s="748">
        <v>109404</v>
      </c>
      <c r="X16" s="748">
        <v>49909</v>
      </c>
      <c r="Y16" s="213">
        <v>53057</v>
      </c>
      <c r="Z16" s="748">
        <v>32806</v>
      </c>
      <c r="AA16" s="748">
        <v>58040</v>
      </c>
      <c r="AB16" s="748">
        <v>27314</v>
      </c>
      <c r="AC16" s="213">
        <v>30054</v>
      </c>
      <c r="AD16" s="748">
        <v>25033</v>
      </c>
      <c r="AE16" s="748">
        <v>12639</v>
      </c>
      <c r="AF16" s="748">
        <v>23461</v>
      </c>
      <c r="AG16" s="213">
        <v>34352</v>
      </c>
      <c r="AH16" s="209">
        <v>31944</v>
      </c>
      <c r="AI16" s="209">
        <v>42952</v>
      </c>
      <c r="AJ16" s="209">
        <v>39210</v>
      </c>
      <c r="AK16" s="209">
        <v>62549</v>
      </c>
      <c r="AL16" s="172">
        <v>57382</v>
      </c>
      <c r="AM16" s="213">
        <v>48897</v>
      </c>
      <c r="AN16" s="213">
        <v>38533</v>
      </c>
      <c r="AO16" s="213">
        <v>42750</v>
      </c>
      <c r="AP16" s="88"/>
      <c r="AQ16" s="536">
        <v>118975</v>
      </c>
      <c r="AR16" s="536">
        <v>93066</v>
      </c>
      <c r="AS16" s="754">
        <v>-131916</v>
      </c>
      <c r="AT16" s="742">
        <v>-1</v>
      </c>
      <c r="AU16" s="724"/>
      <c r="AV16" s="744"/>
      <c r="AW16" s="744">
        <v>131916</v>
      </c>
      <c r="AX16" s="744">
        <v>185085</v>
      </c>
      <c r="AY16" s="744">
        <v>209092</v>
      </c>
      <c r="AZ16" s="744">
        <v>301002</v>
      </c>
      <c r="BA16" s="744">
        <v>148214</v>
      </c>
      <c r="BB16" s="744">
        <v>95485</v>
      </c>
      <c r="BC16" s="744">
        <v>176655</v>
      </c>
      <c r="BD16" s="744">
        <v>187562</v>
      </c>
      <c r="BE16" s="43">
        <v>150470</v>
      </c>
      <c r="BF16" s="43">
        <v>95559</v>
      </c>
      <c r="BG16" s="686">
        <v>88821</v>
      </c>
      <c r="BH16" s="25"/>
      <c r="BJ16" s="722"/>
      <c r="BK16" s="722"/>
      <c r="BL16" s="722"/>
      <c r="BM16" s="722"/>
    </row>
    <row r="17" spans="1:65" hidden="1" x14ac:dyDescent="0.2">
      <c r="A17" s="7"/>
      <c r="B17" s="197" t="s">
        <v>91</v>
      </c>
      <c r="C17" s="686">
        <v>-1276</v>
      </c>
      <c r="D17" s="742">
        <v>-1</v>
      </c>
      <c r="E17" s="741"/>
      <c r="F17" s="748"/>
      <c r="G17" s="748"/>
      <c r="H17" s="748">
        <v>977</v>
      </c>
      <c r="I17" s="213">
        <v>1007</v>
      </c>
      <c r="J17" s="748">
        <v>1276</v>
      </c>
      <c r="K17" s="748">
        <v>1039</v>
      </c>
      <c r="L17" s="748">
        <v>679</v>
      </c>
      <c r="M17" s="213">
        <v>936</v>
      </c>
      <c r="N17" s="748">
        <v>1000</v>
      </c>
      <c r="O17" s="748">
        <v>1209</v>
      </c>
      <c r="P17" s="748">
        <v>1260</v>
      </c>
      <c r="Q17" s="213">
        <v>1406</v>
      </c>
      <c r="R17" s="748">
        <v>2220</v>
      </c>
      <c r="S17" s="748">
        <v>2820</v>
      </c>
      <c r="T17" s="748">
        <v>2815</v>
      </c>
      <c r="U17" s="213">
        <v>2818</v>
      </c>
      <c r="V17" s="748">
        <v>5985</v>
      </c>
      <c r="W17" s="748">
        <v>6339</v>
      </c>
      <c r="X17" s="748">
        <v>3714</v>
      </c>
      <c r="Y17" s="213">
        <v>2600</v>
      </c>
      <c r="Z17" s="748">
        <v>2655</v>
      </c>
      <c r="AA17" s="748">
        <v>3235</v>
      </c>
      <c r="AB17" s="748">
        <v>2854</v>
      </c>
      <c r="AC17" s="213">
        <v>2817</v>
      </c>
      <c r="AD17" s="748">
        <v>2825</v>
      </c>
      <c r="AE17" s="748">
        <v>3975</v>
      </c>
      <c r="AF17" s="748">
        <v>3439</v>
      </c>
      <c r="AG17" s="213">
        <v>4365</v>
      </c>
      <c r="AH17" s="209">
        <v>4034</v>
      </c>
      <c r="AI17" s="209">
        <v>4912</v>
      </c>
      <c r="AJ17" s="209">
        <v>4789</v>
      </c>
      <c r="AK17" s="209">
        <v>5987</v>
      </c>
      <c r="AL17" s="172">
        <v>6777</v>
      </c>
      <c r="AM17" s="213">
        <v>5923</v>
      </c>
      <c r="AN17" s="213">
        <v>4091</v>
      </c>
      <c r="AO17" s="213">
        <v>7386</v>
      </c>
      <c r="AP17" s="88"/>
      <c r="AQ17" s="536">
        <v>1984</v>
      </c>
      <c r="AR17" s="536">
        <v>2654</v>
      </c>
      <c r="AS17" s="754">
        <v>-3930</v>
      </c>
      <c r="AT17" s="742">
        <v>-1</v>
      </c>
      <c r="AU17" s="724"/>
      <c r="AV17" s="744"/>
      <c r="AW17" s="744">
        <v>3930</v>
      </c>
      <c r="AX17" s="744">
        <v>4875</v>
      </c>
      <c r="AY17" s="744">
        <v>10673</v>
      </c>
      <c r="AZ17" s="744">
        <v>19244</v>
      </c>
      <c r="BA17" s="744">
        <v>17417</v>
      </c>
      <c r="BB17" s="744">
        <v>20929</v>
      </c>
      <c r="BC17" s="744">
        <v>27090</v>
      </c>
      <c r="BD17" s="744">
        <v>24177</v>
      </c>
      <c r="BE17" s="43">
        <v>20940</v>
      </c>
      <c r="BF17" s="43">
        <v>15452</v>
      </c>
      <c r="BG17" s="43">
        <v>16800</v>
      </c>
      <c r="BH17" s="722"/>
      <c r="BJ17" s="722"/>
      <c r="BK17" s="722"/>
      <c r="BL17" s="722"/>
      <c r="BM17" s="722"/>
    </row>
    <row r="18" spans="1:65" ht="13.5" hidden="1" customHeight="1" x14ac:dyDescent="0.2">
      <c r="A18" s="7"/>
      <c r="B18" s="197" t="s">
        <v>92</v>
      </c>
      <c r="C18" s="686">
        <v>-2931</v>
      </c>
      <c r="D18" s="742">
        <v>-1</v>
      </c>
      <c r="E18" s="741"/>
      <c r="F18" s="826"/>
      <c r="G18" s="826"/>
      <c r="H18" s="748">
        <v>1976</v>
      </c>
      <c r="I18" s="28">
        <v>3984</v>
      </c>
      <c r="J18" s="826">
        <v>2931</v>
      </c>
      <c r="K18" s="826">
        <v>3642</v>
      </c>
      <c r="L18" s="826">
        <v>3129</v>
      </c>
      <c r="M18" s="28">
        <v>2966</v>
      </c>
      <c r="N18" s="826">
        <v>3402</v>
      </c>
      <c r="O18" s="826">
        <v>4280</v>
      </c>
      <c r="P18" s="826">
        <v>2753</v>
      </c>
      <c r="Q18" s="28">
        <v>3942</v>
      </c>
      <c r="R18" s="748">
        <v>6033</v>
      </c>
      <c r="S18" s="748">
        <v>3481</v>
      </c>
      <c r="T18" s="748">
        <v>5</v>
      </c>
      <c r="U18" s="213">
        <v>3022</v>
      </c>
      <c r="V18" s="748">
        <v>6284</v>
      </c>
      <c r="W18" s="748">
        <v>5642</v>
      </c>
      <c r="X18" s="748">
        <v>4558</v>
      </c>
      <c r="Y18" s="213">
        <v>1790</v>
      </c>
      <c r="Z18" s="748">
        <v>2770</v>
      </c>
      <c r="AA18" s="748">
        <v>4963</v>
      </c>
      <c r="AB18" s="748">
        <v>2513</v>
      </c>
      <c r="AC18" s="213">
        <v>1704</v>
      </c>
      <c r="AD18" s="748">
        <v>1641</v>
      </c>
      <c r="AE18" s="748">
        <v>1517</v>
      </c>
      <c r="AF18" s="748">
        <v>1575</v>
      </c>
      <c r="AG18" s="213">
        <v>1703</v>
      </c>
      <c r="AH18" s="209">
        <v>2042</v>
      </c>
      <c r="AI18" s="209">
        <v>2499</v>
      </c>
      <c r="AJ18" s="209">
        <v>2178</v>
      </c>
      <c r="AK18" s="209">
        <v>2121</v>
      </c>
      <c r="AL18" s="172">
        <v>1715</v>
      </c>
      <c r="AM18" s="213">
        <v>1595</v>
      </c>
      <c r="AN18" s="213">
        <v>2568</v>
      </c>
      <c r="AO18" s="213">
        <v>1829</v>
      </c>
      <c r="AP18" s="88"/>
      <c r="AQ18" s="536">
        <v>5960</v>
      </c>
      <c r="AR18" s="536">
        <v>9737</v>
      </c>
      <c r="AS18" s="754">
        <v>-12668</v>
      </c>
      <c r="AT18" s="742">
        <v>-1</v>
      </c>
      <c r="AU18" s="724"/>
      <c r="AV18" s="744"/>
      <c r="AW18" s="744">
        <v>12668</v>
      </c>
      <c r="AX18" s="744">
        <v>14377</v>
      </c>
      <c r="AY18" s="744">
        <v>12541</v>
      </c>
      <c r="AZ18" s="744">
        <v>18274</v>
      </c>
      <c r="BA18" s="744">
        <v>11950</v>
      </c>
      <c r="BB18" s="744">
        <v>6436</v>
      </c>
      <c r="BC18" s="744">
        <v>8840</v>
      </c>
      <c r="BD18" s="744">
        <v>7707</v>
      </c>
      <c r="BE18" s="43">
        <v>8540</v>
      </c>
      <c r="BF18" s="43">
        <v>8278</v>
      </c>
      <c r="BG18" s="43">
        <v>10155</v>
      </c>
      <c r="BH18" s="722"/>
      <c r="BJ18" s="722"/>
      <c r="BK18" s="722"/>
      <c r="BL18" s="722"/>
      <c r="BM18" s="722"/>
    </row>
    <row r="19" spans="1:65" ht="13.5" hidden="1" customHeight="1" x14ac:dyDescent="0.2">
      <c r="A19" s="7"/>
      <c r="B19" s="197" t="s">
        <v>433</v>
      </c>
      <c r="C19" s="404">
        <v>0</v>
      </c>
      <c r="D19" s="147" t="s">
        <v>42</v>
      </c>
      <c r="E19" s="741"/>
      <c r="F19" s="748"/>
      <c r="G19" s="748"/>
      <c r="H19" s="408">
        <v>182</v>
      </c>
      <c r="I19" s="928">
        <v>0</v>
      </c>
      <c r="J19" s="1420">
        <v>0</v>
      </c>
      <c r="K19" s="1420">
        <v>0</v>
      </c>
      <c r="L19" s="1420">
        <v>0</v>
      </c>
      <c r="M19" s="928">
        <v>0</v>
      </c>
      <c r="N19" s="1420">
        <v>0</v>
      </c>
      <c r="O19" s="1420">
        <v>0</v>
      </c>
      <c r="P19" s="1420">
        <v>0</v>
      </c>
      <c r="Q19" s="928"/>
      <c r="R19" s="1421"/>
      <c r="S19" s="1420"/>
      <c r="T19" s="1420"/>
      <c r="U19" s="928"/>
      <c r="V19" s="1421"/>
      <c r="W19" s="1420"/>
      <c r="X19" s="1421"/>
      <c r="Y19" s="928"/>
      <c r="Z19" s="1421"/>
      <c r="AA19" s="1420"/>
      <c r="AB19" s="1421"/>
      <c r="AC19" s="928"/>
      <c r="AD19" s="1420"/>
      <c r="AE19" s="1420"/>
      <c r="AF19" s="1420"/>
      <c r="AG19" s="889"/>
      <c r="AH19" s="927"/>
      <c r="AI19" s="927"/>
      <c r="AJ19" s="927"/>
      <c r="AK19" s="927"/>
      <c r="AL19" s="1422"/>
      <c r="AM19" s="928"/>
      <c r="AN19" s="928"/>
      <c r="AO19" s="928"/>
      <c r="AP19" s="1423"/>
      <c r="AQ19" s="1424">
        <v>182</v>
      </c>
      <c r="AR19" s="1425">
        <v>0</v>
      </c>
      <c r="AS19" s="156">
        <v>0</v>
      </c>
      <c r="AT19" s="147" t="s">
        <v>42</v>
      </c>
      <c r="AU19" s="731"/>
      <c r="AV19" s="929"/>
      <c r="AW19" s="929">
        <v>0</v>
      </c>
      <c r="AX19" s="929">
        <v>0</v>
      </c>
      <c r="AY19" s="929">
        <v>0</v>
      </c>
      <c r="AZ19" s="929">
        <v>0</v>
      </c>
      <c r="BA19" s="929">
        <v>0</v>
      </c>
      <c r="BB19" s="204">
        <v>6436</v>
      </c>
      <c r="BC19" s="204">
        <v>8840</v>
      </c>
      <c r="BD19" s="204">
        <v>7707</v>
      </c>
      <c r="BE19" s="43">
        <v>8540</v>
      </c>
      <c r="BF19" s="43">
        <v>8278</v>
      </c>
      <c r="BG19" s="43">
        <v>10155</v>
      </c>
      <c r="BH19" s="722"/>
      <c r="BJ19" s="722"/>
      <c r="BK19" s="722"/>
      <c r="BL19" s="722"/>
      <c r="BM19" s="722"/>
    </row>
    <row r="20" spans="1:65" ht="12.75" customHeight="1" x14ac:dyDescent="0.2">
      <c r="A20" s="7"/>
      <c r="B20" s="164" t="s">
        <v>89</v>
      </c>
      <c r="C20" s="686">
        <v>5235</v>
      </c>
      <c r="D20" s="742">
        <v>0.12158301786004598</v>
      </c>
      <c r="E20" s="741"/>
      <c r="F20" s="341">
        <v>48292</v>
      </c>
      <c r="G20" s="341">
        <v>29192</v>
      </c>
      <c r="H20" s="341">
        <v>68913</v>
      </c>
      <c r="I20" s="222">
        <v>58188</v>
      </c>
      <c r="J20" s="341">
        <v>43057</v>
      </c>
      <c r="K20" s="341">
        <v>41283</v>
      </c>
      <c r="L20" s="341">
        <v>31264</v>
      </c>
      <c r="M20" s="213">
        <v>32910</v>
      </c>
      <c r="N20" s="341">
        <v>56814</v>
      </c>
      <c r="O20" s="341">
        <v>76454</v>
      </c>
      <c r="P20" s="341">
        <v>35445</v>
      </c>
      <c r="Q20" s="213">
        <v>35624</v>
      </c>
      <c r="R20" s="209">
        <v>71006</v>
      </c>
      <c r="S20" s="341">
        <v>56942</v>
      </c>
      <c r="T20" s="341">
        <v>42491</v>
      </c>
      <c r="U20" s="213">
        <v>61867</v>
      </c>
      <c r="V20" s="209">
        <v>100901</v>
      </c>
      <c r="W20" s="341">
        <v>121385</v>
      </c>
      <c r="X20" s="341">
        <v>58181</v>
      </c>
      <c r="Y20" s="213">
        <v>57447</v>
      </c>
      <c r="Z20" s="209">
        <v>39289</v>
      </c>
      <c r="AA20" s="341">
        <v>67352</v>
      </c>
      <c r="AB20" s="341">
        <v>34463</v>
      </c>
      <c r="AC20" s="213">
        <v>36477</v>
      </c>
      <c r="AD20" s="341">
        <v>31276</v>
      </c>
      <c r="AE20" s="341">
        <v>20429</v>
      </c>
      <c r="AF20" s="341">
        <v>29110</v>
      </c>
      <c r="AG20" s="222">
        <v>42035</v>
      </c>
      <c r="AH20" s="209">
        <v>39733</v>
      </c>
      <c r="AI20" s="209">
        <v>52078</v>
      </c>
      <c r="AJ20" s="209">
        <v>48387</v>
      </c>
      <c r="AK20" s="209">
        <v>72387</v>
      </c>
      <c r="AL20" s="172">
        <v>68481</v>
      </c>
      <c r="AM20" s="213">
        <v>58781</v>
      </c>
      <c r="AN20" s="213">
        <v>46473</v>
      </c>
      <c r="AO20" s="213">
        <v>53589</v>
      </c>
      <c r="AP20" s="88"/>
      <c r="AQ20" s="536">
        <v>156293</v>
      </c>
      <c r="AR20" s="536">
        <v>105457</v>
      </c>
      <c r="AS20" s="754">
        <v>56071</v>
      </c>
      <c r="AT20" s="742">
        <v>0.37754689793554819</v>
      </c>
      <c r="AU20" s="724"/>
      <c r="AV20" s="744">
        <v>204585</v>
      </c>
      <c r="AW20" s="744">
        <v>148514</v>
      </c>
      <c r="AX20" s="744">
        <v>204337</v>
      </c>
      <c r="AY20" s="744">
        <v>232306</v>
      </c>
      <c r="AZ20" s="744">
        <v>338520</v>
      </c>
      <c r="BA20" s="744">
        <v>177581</v>
      </c>
      <c r="BB20" s="744">
        <v>129286</v>
      </c>
      <c r="BC20" s="744">
        <v>221425</v>
      </c>
      <c r="BD20" s="744">
        <v>227324</v>
      </c>
      <c r="BE20" s="307">
        <v>189074</v>
      </c>
      <c r="BF20" s="307">
        <v>123564</v>
      </c>
      <c r="BG20" s="307">
        <v>127269</v>
      </c>
      <c r="BH20" s="722"/>
      <c r="BJ20" s="722"/>
      <c r="BK20" s="722"/>
      <c r="BL20" s="722"/>
      <c r="BM20" s="722"/>
    </row>
    <row r="21" spans="1:65" ht="13.5" customHeight="1" x14ac:dyDescent="0.2">
      <c r="A21" s="7"/>
      <c r="B21" s="164" t="s">
        <v>270</v>
      </c>
      <c r="C21" s="686">
        <v>-24581</v>
      </c>
      <c r="D21" s="742">
        <v>-0.38909378709932729</v>
      </c>
      <c r="E21" s="741"/>
      <c r="F21" s="748">
        <v>38594</v>
      </c>
      <c r="G21" s="748">
        <v>23692</v>
      </c>
      <c r="H21" s="748">
        <v>48910</v>
      </c>
      <c r="I21" s="213">
        <v>44746</v>
      </c>
      <c r="J21" s="748">
        <v>63175</v>
      </c>
      <c r="K21" s="748">
        <v>65707</v>
      </c>
      <c r="L21" s="748">
        <v>42936</v>
      </c>
      <c r="M21" s="213">
        <v>40489</v>
      </c>
      <c r="N21" s="748">
        <v>45552</v>
      </c>
      <c r="O21" s="748">
        <v>44248</v>
      </c>
      <c r="P21" s="748">
        <v>39034</v>
      </c>
      <c r="Q21" s="213">
        <v>29220</v>
      </c>
      <c r="R21" s="748">
        <v>19861</v>
      </c>
      <c r="S21" s="748">
        <v>12748</v>
      </c>
      <c r="T21" s="748">
        <v>9338</v>
      </c>
      <c r="U21" s="213">
        <v>9246</v>
      </c>
      <c r="V21" s="748">
        <v>34555</v>
      </c>
      <c r="W21" s="748">
        <v>23339</v>
      </c>
      <c r="X21" s="748">
        <v>18338</v>
      </c>
      <c r="Y21" s="213">
        <v>16445</v>
      </c>
      <c r="Z21" s="748">
        <v>21333</v>
      </c>
      <c r="AA21" s="748">
        <v>26421</v>
      </c>
      <c r="AB21" s="748" t="e">
        <v>#REF!</v>
      </c>
      <c r="AC21" s="213" t="e">
        <v>#REF!</v>
      </c>
      <c r="AD21" s="748" t="e">
        <v>#REF!</v>
      </c>
      <c r="AE21" s="748" t="e">
        <v>#REF!</v>
      </c>
      <c r="AF21" s="748" t="e">
        <v>#REF!</v>
      </c>
      <c r="AG21" s="213" t="e">
        <v>#REF!</v>
      </c>
      <c r="AH21" s="209" t="e">
        <v>#REF!</v>
      </c>
      <c r="AI21" s="209" t="e">
        <v>#REF!</v>
      </c>
      <c r="AJ21" s="209" t="e">
        <v>#REF!</v>
      </c>
      <c r="AK21" s="209" t="e">
        <v>#REF!</v>
      </c>
      <c r="AL21" s="172" t="e">
        <v>#REF!</v>
      </c>
      <c r="AM21" s="213" t="e">
        <v>#REF!</v>
      </c>
      <c r="AN21" s="213" t="e">
        <v>#REF!</v>
      </c>
      <c r="AO21" s="213" t="e">
        <v>#REF!</v>
      </c>
      <c r="AP21" s="88"/>
      <c r="AQ21" s="536">
        <v>117348</v>
      </c>
      <c r="AR21" s="536">
        <v>149132</v>
      </c>
      <c r="AS21" s="754">
        <v>-56365</v>
      </c>
      <c r="AT21" s="742">
        <v>-0.26548818456292067</v>
      </c>
      <c r="AU21" s="724"/>
      <c r="AV21" s="744">
        <v>155942</v>
      </c>
      <c r="AW21" s="744">
        <v>212307</v>
      </c>
      <c r="AX21" s="744">
        <v>158054</v>
      </c>
      <c r="AY21" s="744">
        <v>51193</v>
      </c>
      <c r="AZ21" s="744">
        <v>92677</v>
      </c>
      <c r="BA21" s="744">
        <v>82454</v>
      </c>
      <c r="BB21" s="744">
        <v>72926</v>
      </c>
      <c r="BC21" s="744">
        <v>118332</v>
      </c>
      <c r="BD21" s="744">
        <v>129852</v>
      </c>
      <c r="BE21" s="43">
        <v>125900</v>
      </c>
      <c r="BF21" s="43">
        <v>116090</v>
      </c>
      <c r="BG21" s="43">
        <v>84489</v>
      </c>
      <c r="BH21" s="722"/>
      <c r="BJ21" s="722"/>
      <c r="BK21" s="722"/>
      <c r="BL21" s="722"/>
      <c r="BM21" s="722"/>
    </row>
    <row r="22" spans="1:65" ht="12.75" customHeight="1" x14ac:dyDescent="0.2">
      <c r="A22" s="7"/>
      <c r="B22" s="164" t="s">
        <v>206</v>
      </c>
      <c r="C22" s="686">
        <v>-14758</v>
      </c>
      <c r="D22" s="742">
        <v>-0.2070629831773603</v>
      </c>
      <c r="E22" s="741"/>
      <c r="F22" s="748">
        <v>56515</v>
      </c>
      <c r="G22" s="748">
        <v>43493</v>
      </c>
      <c r="H22" s="748">
        <v>40703</v>
      </c>
      <c r="I22" s="213">
        <v>62261</v>
      </c>
      <c r="J22" s="748">
        <v>71273</v>
      </c>
      <c r="K22" s="748">
        <v>48269</v>
      </c>
      <c r="L22" s="748">
        <v>44000</v>
      </c>
      <c r="M22" s="213">
        <v>52943</v>
      </c>
      <c r="N22" s="748">
        <v>45206</v>
      </c>
      <c r="O22" s="748">
        <v>37625</v>
      </c>
      <c r="P22" s="748">
        <v>39474</v>
      </c>
      <c r="Q22" s="213">
        <v>31050</v>
      </c>
      <c r="R22" s="748">
        <v>18487</v>
      </c>
      <c r="S22" s="748">
        <v>17197</v>
      </c>
      <c r="T22" s="748">
        <v>17790</v>
      </c>
      <c r="U22" s="213">
        <v>26012</v>
      </c>
      <c r="V22" s="748">
        <v>27712</v>
      </c>
      <c r="W22" s="748">
        <v>32618</v>
      </c>
      <c r="X22" s="748">
        <v>20083</v>
      </c>
      <c r="Y22" s="213">
        <v>25806</v>
      </c>
      <c r="Z22" s="748">
        <v>19380</v>
      </c>
      <c r="AA22" s="748">
        <v>21984</v>
      </c>
      <c r="AB22" s="748">
        <v>29595</v>
      </c>
      <c r="AC22" s="213">
        <v>26670</v>
      </c>
      <c r="AD22" s="408">
        <v>16696</v>
      </c>
      <c r="AE22" s="408">
        <v>16073</v>
      </c>
      <c r="AF22" s="408">
        <v>17456</v>
      </c>
      <c r="AG22" s="216">
        <v>24569</v>
      </c>
      <c r="AH22" s="209">
        <v>23292</v>
      </c>
      <c r="AI22" s="209">
        <v>22388</v>
      </c>
      <c r="AJ22" s="209">
        <v>19827</v>
      </c>
      <c r="AK22" s="209">
        <v>25281</v>
      </c>
      <c r="AL22" s="172">
        <v>18686</v>
      </c>
      <c r="AM22" s="213">
        <v>17651</v>
      </c>
      <c r="AN22" s="213">
        <v>17682</v>
      </c>
      <c r="AO22" s="213">
        <v>22625</v>
      </c>
      <c r="AP22" s="88"/>
      <c r="AQ22" s="536">
        <v>146457</v>
      </c>
      <c r="AR22" s="536">
        <v>145212</v>
      </c>
      <c r="AS22" s="754">
        <v>-13513</v>
      </c>
      <c r="AT22" s="742">
        <v>-6.2420029101323417E-2</v>
      </c>
      <c r="AU22" s="724"/>
      <c r="AV22" s="744">
        <v>202972</v>
      </c>
      <c r="AW22" s="744">
        <v>216485</v>
      </c>
      <c r="AX22" s="744">
        <v>153355</v>
      </c>
      <c r="AY22" s="744">
        <v>79486</v>
      </c>
      <c r="AZ22" s="744">
        <v>106219</v>
      </c>
      <c r="BA22" s="744">
        <v>97629</v>
      </c>
      <c r="BB22" s="744">
        <v>74794</v>
      </c>
      <c r="BC22" s="744">
        <v>90788</v>
      </c>
      <c r="BD22" s="744">
        <v>76644</v>
      </c>
      <c r="BE22" s="43">
        <v>18692</v>
      </c>
      <c r="BF22" s="43">
        <v>0</v>
      </c>
      <c r="BG22" s="43">
        <v>0</v>
      </c>
      <c r="BH22" s="722"/>
      <c r="BJ22" s="722"/>
      <c r="BK22" s="722"/>
      <c r="BL22" s="722"/>
      <c r="BM22" s="722"/>
    </row>
    <row r="23" spans="1:65" ht="13.5" customHeight="1" x14ac:dyDescent="0.2">
      <c r="A23" s="7"/>
      <c r="B23" s="164" t="s">
        <v>397</v>
      </c>
      <c r="C23" s="686">
        <v>6824</v>
      </c>
      <c r="D23" s="742">
        <v>0.74546646274852524</v>
      </c>
      <c r="E23" s="741"/>
      <c r="F23" s="408">
        <v>15978</v>
      </c>
      <c r="G23" s="408">
        <v>7489</v>
      </c>
      <c r="H23" s="408">
        <v>12089</v>
      </c>
      <c r="I23" s="213">
        <v>14050</v>
      </c>
      <c r="J23" s="408">
        <v>9154</v>
      </c>
      <c r="K23" s="408">
        <v>15975</v>
      </c>
      <c r="L23" s="408">
        <v>8491</v>
      </c>
      <c r="M23" s="213">
        <v>4864</v>
      </c>
      <c r="N23" s="408">
        <v>6425</v>
      </c>
      <c r="O23" s="408">
        <v>7298</v>
      </c>
      <c r="P23" s="408">
        <v>6157</v>
      </c>
      <c r="Q23" s="213">
        <v>5407</v>
      </c>
      <c r="R23" s="748">
        <v>3713</v>
      </c>
      <c r="S23" s="408">
        <v>6694</v>
      </c>
      <c r="T23" s="408">
        <v>-167</v>
      </c>
      <c r="U23" s="213">
        <v>252</v>
      </c>
      <c r="V23" s="748">
        <v>603</v>
      </c>
      <c r="W23" s="408">
        <v>416</v>
      </c>
      <c r="X23" s="748">
        <v>361</v>
      </c>
      <c r="Y23" s="213">
        <v>-152</v>
      </c>
      <c r="Z23" s="748">
        <v>3494</v>
      </c>
      <c r="AA23" s="408">
        <v>333</v>
      </c>
      <c r="AB23" s="748"/>
      <c r="AC23" s="213"/>
      <c r="AD23" s="748"/>
      <c r="AE23" s="748"/>
      <c r="AF23" s="748"/>
      <c r="AG23" s="213"/>
      <c r="AH23" s="209"/>
      <c r="AI23" s="209"/>
      <c r="AJ23" s="209"/>
      <c r="AK23" s="209"/>
      <c r="AL23" s="172"/>
      <c r="AM23" s="213"/>
      <c r="AN23" s="213"/>
      <c r="AO23" s="213"/>
      <c r="AP23" s="88"/>
      <c r="AQ23" s="651">
        <v>33628</v>
      </c>
      <c r="AR23" s="537">
        <v>29330</v>
      </c>
      <c r="AS23" s="754">
        <v>11122</v>
      </c>
      <c r="AT23" s="742">
        <v>0.28900322211828294</v>
      </c>
      <c r="AU23" s="724"/>
      <c r="AV23" s="744">
        <v>49606</v>
      </c>
      <c r="AW23" s="744">
        <v>38484</v>
      </c>
      <c r="AX23" s="744">
        <v>25287</v>
      </c>
      <c r="AY23" s="744">
        <v>10492</v>
      </c>
      <c r="AZ23" s="744">
        <v>1228</v>
      </c>
      <c r="BA23" s="744">
        <v>5894</v>
      </c>
      <c r="BB23" s="744">
        <v>6781</v>
      </c>
      <c r="BC23" s="744">
        <v>9937</v>
      </c>
      <c r="BD23" s="744">
        <v>15897</v>
      </c>
      <c r="BE23" s="43"/>
      <c r="BF23" s="43"/>
      <c r="BG23" s="43"/>
      <c r="BH23" s="722"/>
      <c r="BJ23" s="722"/>
      <c r="BK23" s="722"/>
      <c r="BL23" s="722"/>
      <c r="BM23" s="722"/>
    </row>
    <row r="24" spans="1:65" ht="12.75" customHeight="1" x14ac:dyDescent="0.2">
      <c r="A24" s="8"/>
      <c r="B24" s="7"/>
      <c r="C24" s="167">
        <v>-27280</v>
      </c>
      <c r="D24" s="168">
        <v>-0.1461488596853085</v>
      </c>
      <c r="E24" s="741"/>
      <c r="F24" s="209">
        <v>159379</v>
      </c>
      <c r="G24" s="209">
        <v>103866</v>
      </c>
      <c r="H24" s="209">
        <v>170615</v>
      </c>
      <c r="I24" s="218">
        <v>179245</v>
      </c>
      <c r="J24" s="209">
        <v>186659</v>
      </c>
      <c r="K24" s="209">
        <v>171234</v>
      </c>
      <c r="L24" s="209">
        <v>126691</v>
      </c>
      <c r="M24" s="218">
        <v>131206</v>
      </c>
      <c r="N24" s="209">
        <v>153997</v>
      </c>
      <c r="O24" s="209">
        <v>165625</v>
      </c>
      <c r="P24" s="209">
        <v>120110</v>
      </c>
      <c r="Q24" s="218">
        <v>101301</v>
      </c>
      <c r="R24" s="217">
        <v>113067</v>
      </c>
      <c r="S24" s="209">
        <v>93581</v>
      </c>
      <c r="T24" s="209">
        <v>69452</v>
      </c>
      <c r="U24" s="218">
        <v>97377</v>
      </c>
      <c r="V24" s="217">
        <v>163771</v>
      </c>
      <c r="W24" s="209">
        <v>177758</v>
      </c>
      <c r="X24" s="217">
        <v>96963</v>
      </c>
      <c r="Y24" s="218">
        <v>99546</v>
      </c>
      <c r="Z24" s="217">
        <v>83496</v>
      </c>
      <c r="AA24" s="209">
        <v>116090</v>
      </c>
      <c r="AB24" s="217">
        <v>78475</v>
      </c>
      <c r="AC24" s="218">
        <v>85497</v>
      </c>
      <c r="AD24" s="209">
        <v>64972</v>
      </c>
      <c r="AE24" s="209">
        <v>49250</v>
      </c>
      <c r="AF24" s="209">
        <v>58336</v>
      </c>
      <c r="AG24" s="213">
        <v>104793</v>
      </c>
      <c r="AH24" s="217">
        <v>77965</v>
      </c>
      <c r="AI24" s="217">
        <v>109583</v>
      </c>
      <c r="AJ24" s="217">
        <v>89071</v>
      </c>
      <c r="AK24" s="217">
        <v>155023</v>
      </c>
      <c r="AL24" s="176">
        <v>130151</v>
      </c>
      <c r="AM24" s="218">
        <v>101427</v>
      </c>
      <c r="AN24" s="218">
        <v>93033</v>
      </c>
      <c r="AO24" s="218">
        <v>125106</v>
      </c>
      <c r="AP24" s="88"/>
      <c r="AQ24" s="537">
        <v>453726</v>
      </c>
      <c r="AR24" s="537">
        <v>429131</v>
      </c>
      <c r="AS24" s="336">
        <v>-2685</v>
      </c>
      <c r="AT24" s="168">
        <v>-4.360252683544715E-3</v>
      </c>
      <c r="AU24" s="724"/>
      <c r="AV24" s="199">
        <v>613105</v>
      </c>
      <c r="AW24" s="199">
        <v>615790</v>
      </c>
      <c r="AX24" s="199">
        <v>541033</v>
      </c>
      <c r="AY24" s="199">
        <v>373477</v>
      </c>
      <c r="AZ24" s="199">
        <v>538644</v>
      </c>
      <c r="BA24" s="199">
        <v>363558</v>
      </c>
      <c r="BB24" s="199">
        <v>283787</v>
      </c>
      <c r="BC24" s="199">
        <v>440482</v>
      </c>
      <c r="BD24" s="199">
        <v>449717</v>
      </c>
      <c r="BE24" s="302">
        <v>333666</v>
      </c>
      <c r="BF24" s="302">
        <v>239654</v>
      </c>
      <c r="BG24" s="302">
        <v>211758</v>
      </c>
      <c r="BH24" s="722"/>
      <c r="BJ24" s="722"/>
      <c r="BK24" s="722"/>
      <c r="BL24" s="722"/>
      <c r="BM24" s="722"/>
    </row>
    <row r="25" spans="1:65" ht="12.75" customHeight="1" x14ac:dyDescent="0.2">
      <c r="A25" s="615" t="s">
        <v>5</v>
      </c>
      <c r="B25" s="7"/>
      <c r="C25" s="686"/>
      <c r="D25" s="742"/>
      <c r="E25" s="741"/>
      <c r="F25" s="409"/>
      <c r="G25" s="409"/>
      <c r="H25" s="409"/>
      <c r="I25" s="213"/>
      <c r="J25" s="409"/>
      <c r="K25" s="409"/>
      <c r="L25" s="409"/>
      <c r="M25" s="213"/>
      <c r="N25" s="409"/>
      <c r="O25" s="409"/>
      <c r="P25" s="409"/>
      <c r="Q25" s="213"/>
      <c r="R25" s="748"/>
      <c r="S25" s="409"/>
      <c r="T25" s="409"/>
      <c r="U25" s="213"/>
      <c r="V25" s="748"/>
      <c r="W25" s="409"/>
      <c r="X25" s="748"/>
      <c r="Y25" s="213"/>
      <c r="Z25" s="748"/>
      <c r="AA25" s="409"/>
      <c r="AB25" s="748"/>
      <c r="AC25" s="213"/>
      <c r="AD25" s="409"/>
      <c r="AE25" s="409"/>
      <c r="AF25" s="409"/>
      <c r="AG25" s="222"/>
      <c r="AH25" s="209"/>
      <c r="AI25" s="209"/>
      <c r="AJ25" s="209"/>
      <c r="AK25" s="209"/>
      <c r="AL25" s="172"/>
      <c r="AM25" s="213"/>
      <c r="AN25" s="213"/>
      <c r="AO25" s="213"/>
      <c r="AP25" s="88"/>
      <c r="AQ25" s="536"/>
      <c r="AR25" s="536"/>
      <c r="AS25" s="754"/>
      <c r="AT25" s="742"/>
      <c r="AU25" s="724"/>
      <c r="AV25" s="735"/>
      <c r="AW25" s="735"/>
      <c r="AX25" s="735"/>
      <c r="AY25" s="735"/>
      <c r="AZ25" s="735"/>
      <c r="BA25" s="735"/>
      <c r="BB25" s="735"/>
      <c r="BC25" s="744"/>
      <c r="BD25" s="744"/>
      <c r="BE25" s="43"/>
      <c r="BF25" s="43"/>
      <c r="BG25" s="43"/>
      <c r="BH25" s="722"/>
      <c r="BJ25" s="722"/>
      <c r="BK25" s="722"/>
      <c r="BL25" s="722"/>
      <c r="BM25" s="722"/>
    </row>
    <row r="26" spans="1:65" ht="12.75" customHeight="1" x14ac:dyDescent="0.2">
      <c r="A26" s="615"/>
      <c r="B26" s="7" t="s">
        <v>333</v>
      </c>
      <c r="C26" s="686">
        <v>-802</v>
      </c>
      <c r="D26" s="742">
        <v>-9.5690354603159451E-3</v>
      </c>
      <c r="E26" s="741"/>
      <c r="F26" s="748">
        <v>83010</v>
      </c>
      <c r="G26" s="748">
        <v>52836</v>
      </c>
      <c r="H26" s="748">
        <v>80234</v>
      </c>
      <c r="I26" s="213">
        <v>83836</v>
      </c>
      <c r="J26" s="748">
        <v>83812</v>
      </c>
      <c r="K26" s="748">
        <v>78890</v>
      </c>
      <c r="L26" s="748">
        <v>57661</v>
      </c>
      <c r="M26" s="213">
        <v>54055</v>
      </c>
      <c r="N26" s="748">
        <v>76337</v>
      </c>
      <c r="O26" s="748">
        <v>76074</v>
      </c>
      <c r="P26" s="748">
        <v>57422</v>
      </c>
      <c r="Q26" s="213">
        <v>47123</v>
      </c>
      <c r="R26" s="748">
        <v>60386</v>
      </c>
      <c r="S26" s="748">
        <v>39742</v>
      </c>
      <c r="T26" s="748">
        <v>31911</v>
      </c>
      <c r="U26" s="213">
        <v>47297</v>
      </c>
      <c r="V26" s="748">
        <v>79647</v>
      </c>
      <c r="W26" s="748">
        <v>80361</v>
      </c>
      <c r="X26" s="213">
        <v>42653</v>
      </c>
      <c r="Y26" s="213"/>
      <c r="Z26" s="748"/>
      <c r="AA26" s="748"/>
      <c r="AB26" s="748"/>
      <c r="AC26" s="213"/>
      <c r="AD26" s="748"/>
      <c r="AE26" s="748"/>
      <c r="AF26" s="748"/>
      <c r="AG26" s="213"/>
      <c r="AH26" s="209"/>
      <c r="AI26" s="209"/>
      <c r="AJ26" s="209"/>
      <c r="AK26" s="209"/>
      <c r="AL26" s="172"/>
      <c r="AM26" s="213"/>
      <c r="AN26" s="213"/>
      <c r="AO26" s="213"/>
      <c r="AP26" s="88"/>
      <c r="AQ26" s="536">
        <v>216906</v>
      </c>
      <c r="AR26" s="536">
        <v>190606</v>
      </c>
      <c r="AS26" s="754">
        <v>25498</v>
      </c>
      <c r="AT26" s="742">
        <v>9.2916645409557685E-2</v>
      </c>
      <c r="AU26" s="724"/>
      <c r="AV26" s="744">
        <v>299916</v>
      </c>
      <c r="AW26" s="744">
        <v>274418</v>
      </c>
      <c r="AX26" s="744">
        <v>256956</v>
      </c>
      <c r="AY26" s="744">
        <v>179336</v>
      </c>
      <c r="AZ26" s="744">
        <v>247207</v>
      </c>
      <c r="BA26" s="744">
        <v>184644</v>
      </c>
      <c r="BB26" s="744">
        <v>135129</v>
      </c>
      <c r="BC26" s="744">
        <v>213579</v>
      </c>
      <c r="BD26" s="744"/>
      <c r="BE26" s="43"/>
      <c r="BF26" s="43"/>
      <c r="BG26" s="43"/>
      <c r="BH26" s="722"/>
      <c r="BJ26" s="722"/>
      <c r="BK26" s="722"/>
      <c r="BL26" s="722"/>
      <c r="BM26" s="722"/>
    </row>
    <row r="27" spans="1:65" ht="12.75" customHeight="1" x14ac:dyDescent="0.2">
      <c r="A27" s="615"/>
      <c r="B27" s="7" t="s">
        <v>334</v>
      </c>
      <c r="C27" s="404">
        <v>1525</v>
      </c>
      <c r="D27" s="147">
        <v>0.18925291635641597</v>
      </c>
      <c r="E27" s="1415"/>
      <c r="F27" s="408">
        <v>9583</v>
      </c>
      <c r="G27" s="408">
        <v>8839</v>
      </c>
      <c r="H27" s="408">
        <v>8443</v>
      </c>
      <c r="I27" s="216">
        <v>8735</v>
      </c>
      <c r="J27" s="408">
        <v>8058</v>
      </c>
      <c r="K27" s="408">
        <v>8960</v>
      </c>
      <c r="L27" s="408">
        <v>6978</v>
      </c>
      <c r="M27" s="216">
        <v>8282</v>
      </c>
      <c r="N27" s="408">
        <v>7927</v>
      </c>
      <c r="O27" s="408">
        <v>7510</v>
      </c>
      <c r="P27" s="408">
        <v>9158</v>
      </c>
      <c r="Q27" s="216">
        <v>11039</v>
      </c>
      <c r="R27" s="408">
        <v>5755</v>
      </c>
      <c r="S27" s="408">
        <v>5491</v>
      </c>
      <c r="T27" s="408">
        <v>4965</v>
      </c>
      <c r="U27" s="216">
        <v>-1142</v>
      </c>
      <c r="V27" s="408">
        <v>-3795</v>
      </c>
      <c r="W27" s="408">
        <v>2682</v>
      </c>
      <c r="X27" s="216">
        <v>3602</v>
      </c>
      <c r="Y27" s="213"/>
      <c r="Z27" s="748"/>
      <c r="AA27" s="748"/>
      <c r="AB27" s="748"/>
      <c r="AC27" s="213"/>
      <c r="AD27" s="748"/>
      <c r="AE27" s="748"/>
      <c r="AF27" s="748"/>
      <c r="AG27" s="213"/>
      <c r="AH27" s="209"/>
      <c r="AI27" s="209"/>
      <c r="AJ27" s="209"/>
      <c r="AK27" s="209"/>
      <c r="AL27" s="172"/>
      <c r="AM27" s="213"/>
      <c r="AN27" s="213"/>
      <c r="AO27" s="213"/>
      <c r="AP27" s="88"/>
      <c r="AQ27" s="537">
        <v>26017</v>
      </c>
      <c r="AR27" s="537">
        <v>24220</v>
      </c>
      <c r="AS27" s="156">
        <v>3322</v>
      </c>
      <c r="AT27" s="147">
        <v>0.10291839643100564</v>
      </c>
      <c r="AU27" s="724"/>
      <c r="AV27" s="204">
        <v>35600</v>
      </c>
      <c r="AW27" s="204">
        <v>32278</v>
      </c>
      <c r="AX27" s="204">
        <v>35634</v>
      </c>
      <c r="AY27" s="204">
        <v>15069</v>
      </c>
      <c r="AZ27" s="204">
        <v>4113</v>
      </c>
      <c r="BA27" s="204">
        <v>10560</v>
      </c>
      <c r="BB27" s="204">
        <v>6465</v>
      </c>
      <c r="BC27" s="204">
        <v>3157</v>
      </c>
      <c r="BD27" s="744"/>
      <c r="BE27" s="43"/>
      <c r="BF27" s="43"/>
      <c r="BG27" s="43"/>
      <c r="BH27" s="722"/>
      <c r="BJ27" s="722"/>
      <c r="BK27" s="722"/>
      <c r="BL27" s="722"/>
      <c r="BM27" s="722"/>
    </row>
    <row r="28" spans="1:65" ht="12.75" customHeight="1" x14ac:dyDescent="0.2">
      <c r="A28" s="8"/>
      <c r="B28" s="164" t="s">
        <v>219</v>
      </c>
      <c r="C28" s="686">
        <v>723</v>
      </c>
      <c r="D28" s="742">
        <v>7.8698160444105793E-3</v>
      </c>
      <c r="E28" s="741"/>
      <c r="F28" s="748">
        <v>92593</v>
      </c>
      <c r="G28" s="748">
        <v>61675</v>
      </c>
      <c r="H28" s="748">
        <v>88677</v>
      </c>
      <c r="I28" s="269">
        <v>92571</v>
      </c>
      <c r="J28" s="748">
        <v>91870</v>
      </c>
      <c r="K28" s="748">
        <v>87850</v>
      </c>
      <c r="L28" s="748">
        <v>64639</v>
      </c>
      <c r="M28" s="213">
        <v>62337</v>
      </c>
      <c r="N28" s="748">
        <v>84264</v>
      </c>
      <c r="O28" s="748">
        <v>83584</v>
      </c>
      <c r="P28" s="748">
        <v>66580</v>
      </c>
      <c r="Q28" s="213">
        <v>58162</v>
      </c>
      <c r="R28" s="748">
        <v>66141</v>
      </c>
      <c r="S28" s="748">
        <v>45233</v>
      </c>
      <c r="T28" s="748">
        <v>36876</v>
      </c>
      <c r="U28" s="213">
        <v>46155</v>
      </c>
      <c r="V28" s="748">
        <v>75852</v>
      </c>
      <c r="W28" s="748">
        <v>83043</v>
      </c>
      <c r="X28" s="748">
        <v>46255</v>
      </c>
      <c r="Y28" s="213">
        <v>46170</v>
      </c>
      <c r="Z28" s="748">
        <v>43645</v>
      </c>
      <c r="AA28" s="748">
        <v>63567</v>
      </c>
      <c r="AB28" s="748">
        <v>42761</v>
      </c>
      <c r="AC28" s="213">
        <v>45231</v>
      </c>
      <c r="AD28" s="748">
        <v>30210</v>
      </c>
      <c r="AE28" s="748">
        <v>28857</v>
      </c>
      <c r="AF28" s="748">
        <v>29998</v>
      </c>
      <c r="AG28" s="213">
        <v>52529</v>
      </c>
      <c r="AH28" s="209">
        <v>40395</v>
      </c>
      <c r="AI28" s="209">
        <v>57933</v>
      </c>
      <c r="AJ28" s="209">
        <v>42205</v>
      </c>
      <c r="AK28" s="209">
        <v>76203</v>
      </c>
      <c r="AL28" s="172">
        <v>70783</v>
      </c>
      <c r="AM28" s="213">
        <v>51546</v>
      </c>
      <c r="AN28" s="213">
        <v>45305</v>
      </c>
      <c r="AO28" s="213">
        <v>65948</v>
      </c>
      <c r="AP28" s="88"/>
      <c r="AQ28" s="536">
        <v>242923</v>
      </c>
      <c r="AR28" s="536">
        <v>214826</v>
      </c>
      <c r="AS28" s="754">
        <v>28820</v>
      </c>
      <c r="AT28" s="742">
        <v>9.396927250436915E-2</v>
      </c>
      <c r="AU28" s="724"/>
      <c r="AV28" s="744">
        <v>335516</v>
      </c>
      <c r="AW28" s="744">
        <v>306696</v>
      </c>
      <c r="AX28" s="744">
        <v>292590</v>
      </c>
      <c r="AY28" s="744">
        <v>194405</v>
      </c>
      <c r="AZ28" s="744">
        <v>251320</v>
      </c>
      <c r="BA28" s="744">
        <v>195204</v>
      </c>
      <c r="BB28" s="744">
        <v>141594</v>
      </c>
      <c r="BC28" s="744">
        <v>216736</v>
      </c>
      <c r="BD28" s="744">
        <v>233582</v>
      </c>
      <c r="BE28" s="43">
        <v>175604</v>
      </c>
      <c r="BF28" s="43">
        <v>125030</v>
      </c>
      <c r="BG28" s="43">
        <v>120298</v>
      </c>
      <c r="BH28" s="722"/>
      <c r="BJ28" s="722"/>
      <c r="BK28" s="722"/>
      <c r="BL28" s="722"/>
      <c r="BM28" s="722"/>
    </row>
    <row r="29" spans="1:65" x14ac:dyDescent="0.2">
      <c r="A29" s="8"/>
      <c r="B29" s="164" t="s">
        <v>69</v>
      </c>
      <c r="C29" s="686">
        <v>-2591</v>
      </c>
      <c r="D29" s="742">
        <v>-0.2837275514673675</v>
      </c>
      <c r="E29" s="741"/>
      <c r="F29" s="748">
        <v>6541</v>
      </c>
      <c r="G29" s="748">
        <v>6157</v>
      </c>
      <c r="H29" s="748">
        <v>6025</v>
      </c>
      <c r="I29" s="213">
        <v>6930</v>
      </c>
      <c r="J29" s="748">
        <v>9132</v>
      </c>
      <c r="K29" s="748">
        <v>8127</v>
      </c>
      <c r="L29" s="748">
        <v>8594</v>
      </c>
      <c r="M29" s="213">
        <v>8936</v>
      </c>
      <c r="N29" s="748">
        <v>9480</v>
      </c>
      <c r="O29" s="748">
        <v>8280</v>
      </c>
      <c r="P29" s="748">
        <v>8670</v>
      </c>
      <c r="Q29" s="213">
        <v>8811</v>
      </c>
      <c r="R29" s="748">
        <v>4982</v>
      </c>
      <c r="S29" s="748">
        <v>4241</v>
      </c>
      <c r="T29" s="748">
        <v>3382</v>
      </c>
      <c r="U29" s="213">
        <v>5211</v>
      </c>
      <c r="V29" s="748">
        <v>4311</v>
      </c>
      <c r="W29" s="748">
        <v>3896</v>
      </c>
      <c r="X29" s="748">
        <v>4154</v>
      </c>
      <c r="Y29" s="213">
        <v>4021</v>
      </c>
      <c r="Z29" s="748">
        <v>4088</v>
      </c>
      <c r="AA29" s="748">
        <v>4441</v>
      </c>
      <c r="AB29" s="748">
        <v>3376</v>
      </c>
      <c r="AC29" s="213">
        <v>3404</v>
      </c>
      <c r="AD29" s="748">
        <v>3513</v>
      </c>
      <c r="AE29" s="748">
        <v>3413</v>
      </c>
      <c r="AF29" s="748">
        <v>3919</v>
      </c>
      <c r="AG29" s="213">
        <v>4223</v>
      </c>
      <c r="AH29" s="209">
        <v>3306</v>
      </c>
      <c r="AI29" s="209">
        <v>3275</v>
      </c>
      <c r="AJ29" s="209">
        <v>3194</v>
      </c>
      <c r="AK29" s="209">
        <v>4019</v>
      </c>
      <c r="AL29" s="172">
        <v>2619</v>
      </c>
      <c r="AM29" s="213">
        <v>3158</v>
      </c>
      <c r="AN29" s="213">
        <v>2228</v>
      </c>
      <c r="AO29" s="213">
        <v>3188</v>
      </c>
      <c r="AP29" s="88"/>
      <c r="AQ29" s="536">
        <v>19112</v>
      </c>
      <c r="AR29" s="536">
        <v>25657</v>
      </c>
      <c r="AS29" s="754">
        <v>-9136</v>
      </c>
      <c r="AT29" s="742">
        <v>-0.26261174509183938</v>
      </c>
      <c r="AU29" s="724"/>
      <c r="AV29" s="744">
        <v>25653</v>
      </c>
      <c r="AW29" s="744">
        <v>34789</v>
      </c>
      <c r="AX29" s="744">
        <v>35241</v>
      </c>
      <c r="AY29" s="744">
        <v>17816</v>
      </c>
      <c r="AZ29" s="744">
        <v>16382</v>
      </c>
      <c r="BA29" s="744">
        <v>15309</v>
      </c>
      <c r="BB29" s="744">
        <v>15068</v>
      </c>
      <c r="BC29" s="744">
        <v>13794</v>
      </c>
      <c r="BD29" s="744">
        <v>11193</v>
      </c>
      <c r="BE29" s="43">
        <v>8435</v>
      </c>
      <c r="BF29" s="43">
        <v>16577</v>
      </c>
      <c r="BG29" s="43">
        <v>12517</v>
      </c>
      <c r="BH29" s="722"/>
      <c r="BJ29" s="722"/>
      <c r="BK29" s="722"/>
      <c r="BL29" s="722"/>
      <c r="BM29" s="722"/>
    </row>
    <row r="30" spans="1:65" x14ac:dyDescent="0.2">
      <c r="A30" s="8"/>
      <c r="B30" s="164" t="s">
        <v>98</v>
      </c>
      <c r="C30" s="686">
        <v>6</v>
      </c>
      <c r="D30" s="742">
        <v>4.6988801002427753E-4</v>
      </c>
      <c r="E30" s="741"/>
      <c r="F30" s="748">
        <v>12775</v>
      </c>
      <c r="G30" s="748">
        <v>13150</v>
      </c>
      <c r="H30" s="748">
        <v>11493</v>
      </c>
      <c r="I30" s="213">
        <v>11625</v>
      </c>
      <c r="J30" s="748">
        <v>12769</v>
      </c>
      <c r="K30" s="748">
        <v>10340</v>
      </c>
      <c r="L30" s="748">
        <v>9282</v>
      </c>
      <c r="M30" s="213">
        <v>10867</v>
      </c>
      <c r="N30" s="748">
        <v>7759</v>
      </c>
      <c r="O30" s="748">
        <v>7327</v>
      </c>
      <c r="P30" s="748">
        <v>7721</v>
      </c>
      <c r="Q30" s="213">
        <v>9845</v>
      </c>
      <c r="R30" s="748">
        <v>4179</v>
      </c>
      <c r="S30" s="748">
        <v>5248</v>
      </c>
      <c r="T30" s="748">
        <v>5688</v>
      </c>
      <c r="U30" s="213">
        <v>6329</v>
      </c>
      <c r="V30" s="748">
        <v>5831</v>
      </c>
      <c r="W30" s="748">
        <v>5595</v>
      </c>
      <c r="X30" s="748">
        <v>5128</v>
      </c>
      <c r="Y30" s="213">
        <v>4885</v>
      </c>
      <c r="Z30" s="748">
        <v>4483</v>
      </c>
      <c r="AA30" s="748">
        <v>4661</v>
      </c>
      <c r="AB30" s="748">
        <v>4275</v>
      </c>
      <c r="AC30" s="213">
        <v>4870</v>
      </c>
      <c r="AD30" s="748">
        <v>4618</v>
      </c>
      <c r="AE30" s="748">
        <v>4587</v>
      </c>
      <c r="AF30" s="748">
        <v>5118</v>
      </c>
      <c r="AG30" s="213">
        <v>4540</v>
      </c>
      <c r="AH30" s="209">
        <v>4027</v>
      </c>
      <c r="AI30" s="209">
        <v>4655</v>
      </c>
      <c r="AJ30" s="209">
        <v>4906</v>
      </c>
      <c r="AK30" s="209">
        <v>4441</v>
      </c>
      <c r="AL30" s="172">
        <v>4178</v>
      </c>
      <c r="AM30" s="213">
        <v>3700</v>
      </c>
      <c r="AN30" s="213">
        <v>3796</v>
      </c>
      <c r="AO30" s="213">
        <v>5308</v>
      </c>
      <c r="AP30" s="88"/>
      <c r="AQ30" s="536">
        <v>36268</v>
      </c>
      <c r="AR30" s="536">
        <v>30489</v>
      </c>
      <c r="AS30" s="754">
        <v>5785</v>
      </c>
      <c r="AT30" s="742">
        <v>0.13373248878820101</v>
      </c>
      <c r="AU30" s="724"/>
      <c r="AV30" s="744">
        <v>49043</v>
      </c>
      <c r="AW30" s="744">
        <v>43258</v>
      </c>
      <c r="AX30" s="744">
        <v>32652</v>
      </c>
      <c r="AY30" s="744">
        <v>21444</v>
      </c>
      <c r="AZ30" s="744">
        <v>21439</v>
      </c>
      <c r="BA30" s="744">
        <v>18289</v>
      </c>
      <c r="BB30" s="744">
        <v>18863</v>
      </c>
      <c r="BC30" s="744">
        <v>18029</v>
      </c>
      <c r="BD30" s="744">
        <v>16982</v>
      </c>
      <c r="BE30" s="43">
        <v>10095</v>
      </c>
      <c r="BF30" s="43">
        <v>6951</v>
      </c>
      <c r="BG30" s="43">
        <v>3440</v>
      </c>
      <c r="BH30" s="722"/>
      <c r="BJ30" s="722"/>
      <c r="BK30" s="722"/>
      <c r="BL30" s="722"/>
      <c r="BM30" s="722"/>
    </row>
    <row r="31" spans="1:65" ht="12.75" customHeight="1" x14ac:dyDescent="0.2">
      <c r="A31" s="8"/>
      <c r="B31" s="164" t="s">
        <v>71</v>
      </c>
      <c r="C31" s="686">
        <v>963</v>
      </c>
      <c r="D31" s="742">
        <v>0.17569786535303777</v>
      </c>
      <c r="E31" s="741"/>
      <c r="F31" s="748">
        <v>6444</v>
      </c>
      <c r="G31" s="748">
        <v>5892</v>
      </c>
      <c r="H31" s="748">
        <v>6412</v>
      </c>
      <c r="I31" s="213">
        <v>6242</v>
      </c>
      <c r="J31" s="748">
        <v>5481</v>
      </c>
      <c r="K31" s="748">
        <v>6522</v>
      </c>
      <c r="L31" s="748">
        <v>6395</v>
      </c>
      <c r="M31" s="213">
        <v>5748</v>
      </c>
      <c r="N31" s="748">
        <v>6541</v>
      </c>
      <c r="O31" s="748">
        <v>6285</v>
      </c>
      <c r="P31" s="748">
        <v>7195</v>
      </c>
      <c r="Q31" s="213">
        <v>7029</v>
      </c>
      <c r="R31" s="748">
        <v>4122</v>
      </c>
      <c r="S31" s="748">
        <v>3512</v>
      </c>
      <c r="T31" s="748">
        <v>3993</v>
      </c>
      <c r="U31" s="213">
        <v>3109</v>
      </c>
      <c r="V31" s="748">
        <v>3422</v>
      </c>
      <c r="W31" s="748">
        <v>3417</v>
      </c>
      <c r="X31" s="748">
        <v>2947</v>
      </c>
      <c r="Y31" s="213">
        <v>2602</v>
      </c>
      <c r="Z31" s="748">
        <v>2882</v>
      </c>
      <c r="AA31" s="748">
        <v>2984</v>
      </c>
      <c r="AB31" s="748">
        <v>2972</v>
      </c>
      <c r="AC31" s="213">
        <v>2884</v>
      </c>
      <c r="AD31" s="748">
        <v>3106</v>
      </c>
      <c r="AE31" s="748">
        <v>3322</v>
      </c>
      <c r="AF31" s="748">
        <v>3104</v>
      </c>
      <c r="AG31" s="213">
        <v>2868</v>
      </c>
      <c r="AH31" s="209">
        <v>3067</v>
      </c>
      <c r="AI31" s="209">
        <v>3011</v>
      </c>
      <c r="AJ31" s="209">
        <v>2910</v>
      </c>
      <c r="AK31" s="209">
        <v>2613</v>
      </c>
      <c r="AL31" s="172">
        <v>5054</v>
      </c>
      <c r="AM31" s="213">
        <v>3183</v>
      </c>
      <c r="AN31" s="213">
        <v>2884</v>
      </c>
      <c r="AO31" s="213">
        <v>3008</v>
      </c>
      <c r="AP31" s="88"/>
      <c r="AQ31" s="536">
        <v>18546</v>
      </c>
      <c r="AR31" s="536">
        <v>18665</v>
      </c>
      <c r="AS31" s="754">
        <v>844</v>
      </c>
      <c r="AT31" s="742">
        <v>3.4954029652944585E-2</v>
      </c>
      <c r="AU31" s="724"/>
      <c r="AV31" s="744">
        <v>24990</v>
      </c>
      <c r="AW31" s="744">
        <v>24146</v>
      </c>
      <c r="AX31" s="744">
        <v>27050</v>
      </c>
      <c r="AY31" s="744">
        <v>14736</v>
      </c>
      <c r="AZ31" s="744">
        <v>12388</v>
      </c>
      <c r="BA31" s="744">
        <v>11722</v>
      </c>
      <c r="BB31" s="744">
        <v>12400</v>
      </c>
      <c r="BC31" s="744">
        <v>11601</v>
      </c>
      <c r="BD31" s="744">
        <v>14129</v>
      </c>
      <c r="BE31" s="43">
        <v>5886</v>
      </c>
      <c r="BF31" s="43">
        <v>3980</v>
      </c>
      <c r="BG31" s="43">
        <v>4236</v>
      </c>
      <c r="BH31" s="722"/>
      <c r="BJ31" s="722"/>
      <c r="BK31" s="722"/>
      <c r="BL31" s="722"/>
      <c r="BM31" s="722"/>
    </row>
    <row r="32" spans="1:65" ht="12.75" customHeight="1" x14ac:dyDescent="0.2">
      <c r="A32" s="8"/>
      <c r="B32" s="164" t="s">
        <v>72</v>
      </c>
      <c r="C32" s="686">
        <v>2481</v>
      </c>
      <c r="D32" s="742">
        <v>0.33297543953831699</v>
      </c>
      <c r="E32" s="741"/>
      <c r="F32" s="748">
        <v>9932</v>
      </c>
      <c r="G32" s="748">
        <v>8508</v>
      </c>
      <c r="H32" s="748">
        <v>8705</v>
      </c>
      <c r="I32" s="213">
        <v>7655</v>
      </c>
      <c r="J32" s="748">
        <v>7451</v>
      </c>
      <c r="K32" s="748">
        <v>7928</v>
      </c>
      <c r="L32" s="748">
        <v>7100</v>
      </c>
      <c r="M32" s="213">
        <v>6850</v>
      </c>
      <c r="N32" s="748">
        <v>7177</v>
      </c>
      <c r="O32" s="748">
        <v>8207</v>
      </c>
      <c r="P32" s="748">
        <v>7393</v>
      </c>
      <c r="Q32" s="213">
        <v>10194</v>
      </c>
      <c r="R32" s="748">
        <v>5670</v>
      </c>
      <c r="S32" s="748">
        <v>4181</v>
      </c>
      <c r="T32" s="748">
        <v>4209</v>
      </c>
      <c r="U32" s="213">
        <v>3961</v>
      </c>
      <c r="V32" s="748">
        <v>3886</v>
      </c>
      <c r="W32" s="748">
        <v>4023</v>
      </c>
      <c r="X32" s="748">
        <v>4197</v>
      </c>
      <c r="Y32" s="213">
        <v>3871</v>
      </c>
      <c r="Z32" s="748">
        <v>2772</v>
      </c>
      <c r="AA32" s="748">
        <v>3006</v>
      </c>
      <c r="AB32" s="748">
        <v>2611</v>
      </c>
      <c r="AC32" s="213">
        <v>2780</v>
      </c>
      <c r="AD32" s="748">
        <v>3352</v>
      </c>
      <c r="AE32" s="748">
        <v>3136</v>
      </c>
      <c r="AF32" s="748">
        <v>3803</v>
      </c>
      <c r="AG32" s="213">
        <v>3278</v>
      </c>
      <c r="AH32" s="209">
        <v>3325</v>
      </c>
      <c r="AI32" s="209">
        <v>3063</v>
      </c>
      <c r="AJ32" s="209">
        <v>2962</v>
      </c>
      <c r="AK32" s="209">
        <v>2879</v>
      </c>
      <c r="AL32" s="172">
        <v>2804</v>
      </c>
      <c r="AM32" s="213">
        <v>2586</v>
      </c>
      <c r="AN32" s="213">
        <v>2530</v>
      </c>
      <c r="AO32" s="213">
        <v>2427</v>
      </c>
      <c r="AP32" s="88"/>
      <c r="AQ32" s="536">
        <v>24868</v>
      </c>
      <c r="AR32" s="536">
        <v>21878</v>
      </c>
      <c r="AS32" s="754">
        <v>5471</v>
      </c>
      <c r="AT32" s="742">
        <v>0.18653892052234988</v>
      </c>
      <c r="AU32" s="724"/>
      <c r="AV32" s="744">
        <v>34800</v>
      </c>
      <c r="AW32" s="744">
        <v>29329</v>
      </c>
      <c r="AX32" s="744">
        <v>32971</v>
      </c>
      <c r="AY32" s="744">
        <v>18021</v>
      </c>
      <c r="AZ32" s="744">
        <v>15977</v>
      </c>
      <c r="BA32" s="744">
        <v>11169</v>
      </c>
      <c r="BB32" s="744">
        <v>13569</v>
      </c>
      <c r="BC32" s="744">
        <v>12229</v>
      </c>
      <c r="BD32" s="744">
        <v>10347</v>
      </c>
      <c r="BE32" s="43">
        <v>6727</v>
      </c>
      <c r="BF32" s="43">
        <v>5252</v>
      </c>
      <c r="BG32" s="43">
        <v>4205</v>
      </c>
      <c r="BH32" s="722"/>
      <c r="BJ32" s="722"/>
      <c r="BK32" s="722"/>
      <c r="BL32" s="722"/>
      <c r="BM32" s="722"/>
    </row>
    <row r="33" spans="1:65" ht="12.75" customHeight="1" x14ac:dyDescent="0.2">
      <c r="A33" s="8"/>
      <c r="B33" s="164" t="s">
        <v>67</v>
      </c>
      <c r="C33" s="686">
        <v>-816</v>
      </c>
      <c r="D33" s="742">
        <v>-0.24878048780487805</v>
      </c>
      <c r="E33" s="741"/>
      <c r="F33" s="748">
        <v>2464</v>
      </c>
      <c r="G33" s="748">
        <v>2755</v>
      </c>
      <c r="H33" s="748">
        <v>2507</v>
      </c>
      <c r="I33" s="213">
        <v>3741</v>
      </c>
      <c r="J33" s="748">
        <v>3280</v>
      </c>
      <c r="K33" s="748">
        <v>3189</v>
      </c>
      <c r="L33" s="748">
        <v>3565</v>
      </c>
      <c r="M33" s="213">
        <v>4132</v>
      </c>
      <c r="N33" s="748">
        <v>2908</v>
      </c>
      <c r="O33" s="748">
        <v>3511</v>
      </c>
      <c r="P33" s="748">
        <v>2864</v>
      </c>
      <c r="Q33" s="213">
        <v>3917</v>
      </c>
      <c r="R33" s="748">
        <v>2645</v>
      </c>
      <c r="S33" s="748">
        <v>1918</v>
      </c>
      <c r="T33" s="748">
        <v>1514</v>
      </c>
      <c r="U33" s="213">
        <v>1908</v>
      </c>
      <c r="V33" s="748">
        <v>1968</v>
      </c>
      <c r="W33" s="748">
        <v>2549</v>
      </c>
      <c r="X33" s="748">
        <v>1249</v>
      </c>
      <c r="Y33" s="213">
        <v>202</v>
      </c>
      <c r="Z33" s="748">
        <v>232</v>
      </c>
      <c r="AA33" s="748">
        <v>290</v>
      </c>
      <c r="AB33" s="748">
        <v>66</v>
      </c>
      <c r="AC33" s="213">
        <v>160</v>
      </c>
      <c r="AD33" s="748">
        <v>261</v>
      </c>
      <c r="AE33" s="748">
        <v>272</v>
      </c>
      <c r="AF33" s="748">
        <v>357</v>
      </c>
      <c r="AG33" s="213">
        <v>482</v>
      </c>
      <c r="AH33" s="209">
        <v>722</v>
      </c>
      <c r="AI33" s="209">
        <v>738</v>
      </c>
      <c r="AJ33" s="209">
        <v>353</v>
      </c>
      <c r="AK33" s="209">
        <v>594</v>
      </c>
      <c r="AL33" s="172">
        <v>617</v>
      </c>
      <c r="AM33" s="213">
        <v>520</v>
      </c>
      <c r="AN33" s="213">
        <v>889</v>
      </c>
      <c r="AO33" s="213">
        <v>691</v>
      </c>
      <c r="AP33" s="88"/>
      <c r="AQ33" s="536">
        <v>9003</v>
      </c>
      <c r="AR33" s="536">
        <v>10886</v>
      </c>
      <c r="AS33" s="754">
        <v>-2699</v>
      </c>
      <c r="AT33" s="742">
        <v>-0.19052661301708315</v>
      </c>
      <c r="AU33" s="724"/>
      <c r="AV33" s="744">
        <v>11467</v>
      </c>
      <c r="AW33" s="744">
        <v>14166</v>
      </c>
      <c r="AX33" s="744">
        <v>13200</v>
      </c>
      <c r="AY33" s="744">
        <v>7985</v>
      </c>
      <c r="AZ33" s="744">
        <v>5968</v>
      </c>
      <c r="BA33" s="744">
        <v>748</v>
      </c>
      <c r="BB33" s="744">
        <v>1372</v>
      </c>
      <c r="BC33" s="744">
        <v>2407</v>
      </c>
      <c r="BD33" s="744">
        <v>2717</v>
      </c>
      <c r="BE33" s="43">
        <v>1789</v>
      </c>
      <c r="BF33" s="43">
        <v>611</v>
      </c>
      <c r="BG33" s="43">
        <v>35</v>
      </c>
      <c r="BH33" s="722"/>
      <c r="BJ33" s="722"/>
      <c r="BK33" s="722"/>
      <c r="BL33" s="722"/>
      <c r="BM33" s="722"/>
    </row>
    <row r="34" spans="1:65" ht="12.75" customHeight="1" x14ac:dyDescent="0.2">
      <c r="A34" s="8"/>
      <c r="B34" s="164" t="s">
        <v>73</v>
      </c>
      <c r="C34" s="686">
        <v>-1267</v>
      </c>
      <c r="D34" s="742">
        <v>-9.301813376404082E-2</v>
      </c>
      <c r="E34" s="741"/>
      <c r="F34" s="748">
        <v>12354</v>
      </c>
      <c r="G34" s="748">
        <v>17558</v>
      </c>
      <c r="H34" s="748">
        <v>12789</v>
      </c>
      <c r="I34" s="213">
        <v>14677</v>
      </c>
      <c r="J34" s="748">
        <v>13621</v>
      </c>
      <c r="K34" s="748">
        <v>12387</v>
      </c>
      <c r="L34" s="748">
        <v>12092</v>
      </c>
      <c r="M34" s="213">
        <v>12352</v>
      </c>
      <c r="N34" s="748">
        <v>11771</v>
      </c>
      <c r="O34" s="748">
        <v>14915</v>
      </c>
      <c r="P34" s="748">
        <v>13669</v>
      </c>
      <c r="Q34" s="213">
        <v>15129</v>
      </c>
      <c r="R34" s="748">
        <v>11583</v>
      </c>
      <c r="S34" s="748">
        <v>8697</v>
      </c>
      <c r="T34" s="748">
        <v>10314</v>
      </c>
      <c r="U34" s="213">
        <v>9346</v>
      </c>
      <c r="V34" s="748">
        <v>8959</v>
      </c>
      <c r="W34" s="748">
        <v>9264</v>
      </c>
      <c r="X34" s="748">
        <v>8110</v>
      </c>
      <c r="Y34" s="213">
        <v>8987</v>
      </c>
      <c r="Z34" s="748">
        <v>4283</v>
      </c>
      <c r="AA34" s="748">
        <v>5794</v>
      </c>
      <c r="AB34" s="748">
        <v>5244</v>
      </c>
      <c r="AC34" s="213">
        <v>5901</v>
      </c>
      <c r="AD34" s="748">
        <v>5237</v>
      </c>
      <c r="AE34" s="748">
        <v>8873</v>
      </c>
      <c r="AF34" s="748">
        <v>12243</v>
      </c>
      <c r="AG34" s="213">
        <v>12065</v>
      </c>
      <c r="AH34" s="209">
        <v>10920</v>
      </c>
      <c r="AI34" s="209">
        <v>8753</v>
      </c>
      <c r="AJ34" s="209">
        <v>9885</v>
      </c>
      <c r="AK34" s="209">
        <v>10397</v>
      </c>
      <c r="AL34" s="172">
        <v>10292</v>
      </c>
      <c r="AM34" s="213">
        <v>7376</v>
      </c>
      <c r="AN34" s="213">
        <v>8470</v>
      </c>
      <c r="AO34" s="213">
        <v>8715</v>
      </c>
      <c r="AP34" s="88"/>
      <c r="AQ34" s="536">
        <v>45024</v>
      </c>
      <c r="AR34" s="536">
        <v>36831</v>
      </c>
      <c r="AS34" s="754">
        <v>6926</v>
      </c>
      <c r="AT34" s="742">
        <v>0.13727899785935146</v>
      </c>
      <c r="AU34" s="724"/>
      <c r="AV34" s="744">
        <v>57378</v>
      </c>
      <c r="AW34" s="744">
        <v>50452</v>
      </c>
      <c r="AX34" s="744">
        <v>55484</v>
      </c>
      <c r="AY34" s="744">
        <v>39940</v>
      </c>
      <c r="AZ34" s="744">
        <v>35320</v>
      </c>
      <c r="BA34" s="744">
        <v>21222</v>
      </c>
      <c r="BB34" s="744">
        <v>38418</v>
      </c>
      <c r="BC34" s="744">
        <v>39955</v>
      </c>
      <c r="BD34" s="744">
        <v>34853</v>
      </c>
      <c r="BE34" s="43">
        <v>19998</v>
      </c>
      <c r="BF34" s="43">
        <v>13448</v>
      </c>
      <c r="BG34" s="43">
        <v>7632</v>
      </c>
      <c r="BH34" s="722"/>
      <c r="BJ34" s="722"/>
      <c r="BK34" s="722"/>
      <c r="BL34" s="722"/>
      <c r="BM34" s="722"/>
    </row>
    <row r="35" spans="1:65" ht="12.75" customHeight="1" x14ac:dyDescent="0.2">
      <c r="A35" s="8"/>
      <c r="B35" s="164" t="s">
        <v>74</v>
      </c>
      <c r="C35" s="686">
        <v>-302</v>
      </c>
      <c r="D35" s="742">
        <v>-7.3640575469397701E-2</v>
      </c>
      <c r="E35" s="741"/>
      <c r="F35" s="748">
        <v>3799</v>
      </c>
      <c r="G35" s="748">
        <v>3657</v>
      </c>
      <c r="H35" s="748">
        <v>3995</v>
      </c>
      <c r="I35" s="213">
        <v>3966</v>
      </c>
      <c r="J35" s="748">
        <v>4101</v>
      </c>
      <c r="K35" s="748">
        <v>3747</v>
      </c>
      <c r="L35" s="748">
        <v>3319</v>
      </c>
      <c r="M35" s="213">
        <v>3691</v>
      </c>
      <c r="N35" s="748">
        <v>5103</v>
      </c>
      <c r="O35" s="748">
        <v>5008</v>
      </c>
      <c r="P35" s="748">
        <v>5183</v>
      </c>
      <c r="Q35" s="213">
        <v>5780</v>
      </c>
      <c r="R35" s="748">
        <v>3472</v>
      </c>
      <c r="S35" s="748">
        <v>2933</v>
      </c>
      <c r="T35" s="748">
        <v>2057</v>
      </c>
      <c r="U35" s="213">
        <v>1802</v>
      </c>
      <c r="V35" s="748">
        <v>1773</v>
      </c>
      <c r="W35" s="748">
        <v>1829</v>
      </c>
      <c r="X35" s="748">
        <v>2788</v>
      </c>
      <c r="Y35" s="213">
        <v>2348</v>
      </c>
      <c r="Z35" s="748">
        <v>846</v>
      </c>
      <c r="AA35" s="748">
        <v>903</v>
      </c>
      <c r="AB35" s="748">
        <v>926</v>
      </c>
      <c r="AC35" s="213">
        <v>958</v>
      </c>
      <c r="AD35" s="748">
        <v>1009</v>
      </c>
      <c r="AE35" s="748">
        <v>1586</v>
      </c>
      <c r="AF35" s="748">
        <v>926</v>
      </c>
      <c r="AG35" s="213">
        <v>912</v>
      </c>
      <c r="AH35" s="209">
        <v>998</v>
      </c>
      <c r="AI35" s="209">
        <v>984</v>
      </c>
      <c r="AJ35" s="209">
        <v>985</v>
      </c>
      <c r="AK35" s="209">
        <v>911</v>
      </c>
      <c r="AL35" s="172">
        <v>895</v>
      </c>
      <c r="AM35" s="213">
        <v>785</v>
      </c>
      <c r="AN35" s="213">
        <v>1291</v>
      </c>
      <c r="AO35" s="213">
        <v>950</v>
      </c>
      <c r="AP35" s="88"/>
      <c r="AQ35" s="536">
        <v>11618</v>
      </c>
      <c r="AR35" s="536">
        <v>10757</v>
      </c>
      <c r="AS35" s="754">
        <v>559</v>
      </c>
      <c r="AT35" s="742">
        <v>3.762282945214699E-2</v>
      </c>
      <c r="AU35" s="724"/>
      <c r="AV35" s="744">
        <v>15417</v>
      </c>
      <c r="AW35" s="744">
        <v>14858</v>
      </c>
      <c r="AX35" s="744">
        <v>21074</v>
      </c>
      <c r="AY35" s="744">
        <v>10264</v>
      </c>
      <c r="AZ35" s="744">
        <v>8738</v>
      </c>
      <c r="BA35" s="744">
        <v>3633</v>
      </c>
      <c r="BB35" s="744">
        <v>4433</v>
      </c>
      <c r="BC35" s="744">
        <v>3878</v>
      </c>
      <c r="BD35" s="744">
        <v>3921</v>
      </c>
      <c r="BE35" s="43">
        <v>1910</v>
      </c>
      <c r="BF35" s="43">
        <v>1204</v>
      </c>
      <c r="BG35" s="43">
        <v>1291</v>
      </c>
      <c r="BH35" s="722"/>
      <c r="BJ35" s="722"/>
      <c r="BK35" s="722"/>
      <c r="BL35" s="722"/>
      <c r="BM35" s="722"/>
    </row>
    <row r="36" spans="1:65" x14ac:dyDescent="0.2">
      <c r="A36" s="7"/>
      <c r="B36" s="164" t="s">
        <v>75</v>
      </c>
      <c r="C36" s="686">
        <v>-470</v>
      </c>
      <c r="D36" s="742">
        <v>-0.22466539196940727</v>
      </c>
      <c r="E36" s="741"/>
      <c r="F36" s="748">
        <v>1622</v>
      </c>
      <c r="G36" s="748">
        <v>4120</v>
      </c>
      <c r="H36" s="748">
        <v>1356</v>
      </c>
      <c r="I36" s="213">
        <v>2369</v>
      </c>
      <c r="J36" s="748">
        <v>2092</v>
      </c>
      <c r="K36" s="748">
        <v>1080</v>
      </c>
      <c r="L36" s="748">
        <v>4412</v>
      </c>
      <c r="M36" s="213">
        <v>2098</v>
      </c>
      <c r="N36" s="748">
        <v>956</v>
      </c>
      <c r="O36" s="748">
        <v>2806</v>
      </c>
      <c r="P36" s="748">
        <v>2025</v>
      </c>
      <c r="Q36" s="213">
        <v>2158</v>
      </c>
      <c r="R36" s="748">
        <v>2098</v>
      </c>
      <c r="S36" s="748">
        <v>3205</v>
      </c>
      <c r="T36" s="748">
        <v>2536</v>
      </c>
      <c r="U36" s="213">
        <v>3150</v>
      </c>
      <c r="V36" s="748">
        <v>2605</v>
      </c>
      <c r="W36" s="748">
        <v>2930</v>
      </c>
      <c r="X36" s="748">
        <v>2786</v>
      </c>
      <c r="Y36" s="213">
        <v>2489</v>
      </c>
      <c r="Z36" s="748">
        <v>3105</v>
      </c>
      <c r="AA36" s="748">
        <v>2464</v>
      </c>
      <c r="AB36" s="748">
        <v>1787</v>
      </c>
      <c r="AC36" s="213">
        <v>2944</v>
      </c>
      <c r="AD36" s="748">
        <v>3212</v>
      </c>
      <c r="AE36" s="748">
        <v>4251</v>
      </c>
      <c r="AF36" s="748">
        <v>3682</v>
      </c>
      <c r="AG36" s="213">
        <v>4123</v>
      </c>
      <c r="AH36" s="209">
        <v>6398</v>
      </c>
      <c r="AI36" s="209">
        <v>3936</v>
      </c>
      <c r="AJ36" s="209">
        <v>5582</v>
      </c>
      <c r="AK36" s="209">
        <v>4292</v>
      </c>
      <c r="AL36" s="172">
        <v>3663</v>
      </c>
      <c r="AM36" s="213">
        <v>2463</v>
      </c>
      <c r="AN36" s="213">
        <v>3310</v>
      </c>
      <c r="AO36" s="213">
        <v>1287</v>
      </c>
      <c r="AP36" s="88"/>
      <c r="AQ36" s="536">
        <v>7845</v>
      </c>
      <c r="AR36" s="536">
        <v>7590</v>
      </c>
      <c r="AS36" s="754">
        <v>-215</v>
      </c>
      <c r="AT36" s="742">
        <v>-2.2206155752943605E-2</v>
      </c>
      <c r="AU36" s="724"/>
      <c r="AV36" s="744">
        <v>9467</v>
      </c>
      <c r="AW36" s="744">
        <v>9682</v>
      </c>
      <c r="AX36" s="744">
        <v>7945</v>
      </c>
      <c r="AY36" s="744">
        <v>10989</v>
      </c>
      <c r="AZ36" s="744">
        <v>10810</v>
      </c>
      <c r="BA36" s="744">
        <v>10300</v>
      </c>
      <c r="BB36" s="744">
        <v>15268</v>
      </c>
      <c r="BC36" s="744">
        <v>20208</v>
      </c>
      <c r="BD36" s="744">
        <v>10723</v>
      </c>
      <c r="BE36" s="43">
        <v>1239</v>
      </c>
      <c r="BF36" s="43">
        <v>682</v>
      </c>
      <c r="BG36" s="43">
        <v>836</v>
      </c>
      <c r="BH36" s="722"/>
      <c r="BJ36" s="722"/>
      <c r="BK36" s="722"/>
      <c r="BL36" s="722"/>
      <c r="BM36" s="722"/>
    </row>
    <row r="37" spans="1:65" ht="12.75" customHeight="1" x14ac:dyDescent="0.2">
      <c r="A37" s="8"/>
      <c r="B37" s="7" t="s">
        <v>169</v>
      </c>
      <c r="C37" s="686">
        <v>20997</v>
      </c>
      <c r="D37" s="742">
        <v>0</v>
      </c>
      <c r="E37" s="741"/>
      <c r="F37" s="211">
        <v>20997</v>
      </c>
      <c r="G37" s="211">
        <v>0</v>
      </c>
      <c r="H37" s="211">
        <v>0</v>
      </c>
      <c r="I37" s="214">
        <v>0</v>
      </c>
      <c r="J37" s="211">
        <v>0</v>
      </c>
      <c r="K37" s="211">
        <v>0</v>
      </c>
      <c r="L37" s="211">
        <v>5486</v>
      </c>
      <c r="M37" s="214">
        <v>0</v>
      </c>
      <c r="N37" s="211">
        <v>5561</v>
      </c>
      <c r="O37" s="211">
        <v>5276</v>
      </c>
      <c r="P37" s="211">
        <v>4395</v>
      </c>
      <c r="Q37" s="214">
        <v>0</v>
      </c>
      <c r="R37" s="211">
        <v>27786</v>
      </c>
      <c r="S37" s="211">
        <v>1292</v>
      </c>
      <c r="T37" s="211">
        <v>0</v>
      </c>
      <c r="U37" s="214">
        <v>0</v>
      </c>
      <c r="V37" s="211">
        <v>0</v>
      </c>
      <c r="W37" s="211">
        <v>0</v>
      </c>
      <c r="X37" s="211">
        <v>0</v>
      </c>
      <c r="Y37" s="214">
        <v>0</v>
      </c>
      <c r="Z37" s="211">
        <v>0</v>
      </c>
      <c r="AA37" s="211">
        <v>0</v>
      </c>
      <c r="AB37" s="211">
        <v>0</v>
      </c>
      <c r="AC37" s="214">
        <v>0</v>
      </c>
      <c r="AD37" s="748">
        <v>22</v>
      </c>
      <c r="AE37" s="748">
        <v>5949</v>
      </c>
      <c r="AF37" s="211">
        <v>0</v>
      </c>
      <c r="AG37" s="214">
        <v>0</v>
      </c>
      <c r="AH37" s="417">
        <v>1000</v>
      </c>
      <c r="AI37" s="211">
        <v>0</v>
      </c>
      <c r="AJ37" s="211">
        <v>0</v>
      </c>
      <c r="AK37" s="211">
        <v>0</v>
      </c>
      <c r="AL37" s="212">
        <v>0</v>
      </c>
      <c r="AM37" s="214">
        <v>0</v>
      </c>
      <c r="AN37" s="213"/>
      <c r="AO37" s="213"/>
      <c r="AP37" s="88"/>
      <c r="AQ37" s="536">
        <v>0</v>
      </c>
      <c r="AR37" s="536">
        <v>5486</v>
      </c>
      <c r="AS37" s="754">
        <v>15511</v>
      </c>
      <c r="AT37" s="742">
        <v>2.8273787823550856</v>
      </c>
      <c r="AU37" s="724"/>
      <c r="AV37" s="744">
        <v>20997</v>
      </c>
      <c r="AW37" s="744">
        <v>5486</v>
      </c>
      <c r="AX37" s="617">
        <v>15232</v>
      </c>
      <c r="AY37" s="617">
        <v>29078</v>
      </c>
      <c r="AZ37" s="617">
        <v>0</v>
      </c>
      <c r="BA37" s="617">
        <v>0</v>
      </c>
      <c r="BB37" s="202">
        <v>5971</v>
      </c>
      <c r="BC37" s="43">
        <v>1000</v>
      </c>
      <c r="BD37" s="43">
        <v>0</v>
      </c>
      <c r="BE37" s="43">
        <v>0</v>
      </c>
      <c r="BF37" s="43">
        <v>0</v>
      </c>
      <c r="BG37" s="43">
        <v>0</v>
      </c>
      <c r="BH37" s="722"/>
      <c r="BJ37" s="722"/>
      <c r="BK37" s="722"/>
      <c r="BL37" s="722"/>
      <c r="BM37" s="722"/>
    </row>
    <row r="38" spans="1:65" ht="16.5" hidden="1" customHeight="1" x14ac:dyDescent="0.2">
      <c r="A38" s="7"/>
      <c r="B38" s="7" t="s">
        <v>190</v>
      </c>
      <c r="C38" s="686">
        <v>0</v>
      </c>
      <c r="D38" s="742">
        <v>0</v>
      </c>
      <c r="E38" s="741"/>
      <c r="F38" s="211"/>
      <c r="G38" s="211">
        <v>0</v>
      </c>
      <c r="H38" s="211">
        <v>0</v>
      </c>
      <c r="I38" s="214">
        <v>0</v>
      </c>
      <c r="J38" s="211">
        <v>0</v>
      </c>
      <c r="K38" s="211">
        <v>0</v>
      </c>
      <c r="L38" s="211">
        <v>0</v>
      </c>
      <c r="M38" s="214">
        <v>0</v>
      </c>
      <c r="N38" s="211">
        <v>0</v>
      </c>
      <c r="O38" s="211">
        <v>0</v>
      </c>
      <c r="P38" s="211">
        <v>388</v>
      </c>
      <c r="Q38" s="214">
        <v>0</v>
      </c>
      <c r="R38" s="211">
        <v>6323</v>
      </c>
      <c r="S38" s="211">
        <v>2700</v>
      </c>
      <c r="T38" s="211">
        <v>1443</v>
      </c>
      <c r="U38" s="214">
        <v>0</v>
      </c>
      <c r="V38" s="211">
        <v>0</v>
      </c>
      <c r="W38" s="211">
        <v>1750</v>
      </c>
      <c r="X38" s="211">
        <v>0</v>
      </c>
      <c r="Y38" s="214">
        <v>10990</v>
      </c>
      <c r="Z38" s="211">
        <v>5000</v>
      </c>
      <c r="AA38" s="211">
        <v>0</v>
      </c>
      <c r="AB38" s="211">
        <v>0</v>
      </c>
      <c r="AC38" s="214">
        <v>0</v>
      </c>
      <c r="AD38" s="211">
        <v>0</v>
      </c>
      <c r="AE38" s="211">
        <v>0</v>
      </c>
      <c r="AF38" s="211">
        <v>0</v>
      </c>
      <c r="AG38" s="214">
        <v>0</v>
      </c>
      <c r="AH38" s="212">
        <v>0</v>
      </c>
      <c r="AI38" s="211"/>
      <c r="AJ38" s="211"/>
      <c r="AK38" s="211"/>
      <c r="AL38" s="212"/>
      <c r="AM38" s="214"/>
      <c r="AN38" s="214"/>
      <c r="AO38" s="214"/>
      <c r="AP38" s="88"/>
      <c r="AQ38" s="536">
        <v>0</v>
      </c>
      <c r="AR38" s="536">
        <v>0</v>
      </c>
      <c r="AS38" s="754">
        <v>0</v>
      </c>
      <c r="AT38" s="742" t="e">
        <v>#DIV/0!</v>
      </c>
      <c r="AU38" s="88"/>
      <c r="AV38" s="211">
        <v>0</v>
      </c>
      <c r="AW38" s="211">
        <v>0</v>
      </c>
      <c r="AX38" s="744">
        <v>388</v>
      </c>
      <c r="AY38" s="744">
        <v>10466</v>
      </c>
      <c r="AZ38" s="744">
        <v>12740</v>
      </c>
      <c r="BA38" s="202">
        <v>5000</v>
      </c>
      <c r="BB38" s="617">
        <v>0</v>
      </c>
      <c r="BC38" s="617">
        <v>0</v>
      </c>
      <c r="BD38" s="617">
        <v>0</v>
      </c>
      <c r="BE38" s="617">
        <v>0</v>
      </c>
      <c r="BF38" s="617"/>
      <c r="BG38" s="617"/>
      <c r="BH38" s="722"/>
      <c r="BJ38" s="722"/>
      <c r="BK38" s="722"/>
      <c r="BL38" s="722"/>
      <c r="BM38" s="722"/>
    </row>
    <row r="39" spans="1:65" hidden="1" x14ac:dyDescent="0.2">
      <c r="A39" s="7"/>
      <c r="B39" s="724" t="s">
        <v>76</v>
      </c>
      <c r="C39" s="686">
        <v>0</v>
      </c>
      <c r="D39" s="517">
        <v>0</v>
      </c>
      <c r="E39" s="741"/>
      <c r="F39" s="730"/>
      <c r="G39" s="730"/>
      <c r="H39" s="730"/>
      <c r="I39" s="214"/>
      <c r="J39" s="730"/>
      <c r="K39" s="730"/>
      <c r="L39" s="730">
        <v>0</v>
      </c>
      <c r="M39" s="214">
        <v>0</v>
      </c>
      <c r="N39" s="730">
        <v>0</v>
      </c>
      <c r="O39" s="730">
        <v>0</v>
      </c>
      <c r="P39" s="730">
        <v>0</v>
      </c>
      <c r="Q39" s="214">
        <v>0</v>
      </c>
      <c r="R39" s="730">
        <v>0</v>
      </c>
      <c r="S39" s="730">
        <v>0</v>
      </c>
      <c r="T39" s="730">
        <v>0</v>
      </c>
      <c r="U39" s="214">
        <v>0</v>
      </c>
      <c r="V39" s="730">
        <v>0</v>
      </c>
      <c r="W39" s="730">
        <v>0</v>
      </c>
      <c r="X39" s="730">
        <v>0</v>
      </c>
      <c r="Y39" s="214">
        <v>0</v>
      </c>
      <c r="Z39" s="730">
        <v>0</v>
      </c>
      <c r="AA39" s="730">
        <v>0</v>
      </c>
      <c r="AB39" s="730">
        <v>0</v>
      </c>
      <c r="AC39" s="214">
        <v>0</v>
      </c>
      <c r="AD39" s="730">
        <v>0</v>
      </c>
      <c r="AE39" s="730">
        <v>0</v>
      </c>
      <c r="AF39" s="730">
        <v>0</v>
      </c>
      <c r="AG39" s="214">
        <v>0</v>
      </c>
      <c r="AH39" s="209">
        <v>983</v>
      </c>
      <c r="AI39" s="209">
        <v>1101</v>
      </c>
      <c r="AJ39" s="209">
        <v>1146</v>
      </c>
      <c r="AK39" s="730">
        <v>0</v>
      </c>
      <c r="AL39" s="173">
        <v>0</v>
      </c>
      <c r="AM39" s="166">
        <v>0</v>
      </c>
      <c r="AN39" s="166">
        <v>0</v>
      </c>
      <c r="AO39" s="166">
        <v>0</v>
      </c>
      <c r="AP39" s="88"/>
      <c r="AQ39" s="827">
        <v>0</v>
      </c>
      <c r="AR39" s="827">
        <v>0</v>
      </c>
      <c r="AS39" s="754">
        <v>0</v>
      </c>
      <c r="AT39" s="742" t="e">
        <v>#DIV/0!</v>
      </c>
      <c r="AU39" s="88"/>
      <c r="AV39" s="730">
        <v>0</v>
      </c>
      <c r="AW39" s="730">
        <v>0</v>
      </c>
      <c r="AX39" s="617">
        <v>0</v>
      </c>
      <c r="AY39" s="617">
        <v>0</v>
      </c>
      <c r="AZ39" s="617">
        <v>0</v>
      </c>
      <c r="BA39" s="617">
        <v>0</v>
      </c>
      <c r="BB39" s="617">
        <v>0</v>
      </c>
      <c r="BC39" s="744">
        <v>3230</v>
      </c>
      <c r="BD39" s="617">
        <v>0</v>
      </c>
      <c r="BE39" s="43">
        <v>0</v>
      </c>
      <c r="BF39" s="43">
        <v>0</v>
      </c>
      <c r="BG39" s="43">
        <v>0</v>
      </c>
      <c r="BH39" s="722"/>
      <c r="BJ39" s="722"/>
      <c r="BK39" s="722"/>
      <c r="BL39" s="722"/>
      <c r="BM39" s="722"/>
    </row>
    <row r="40" spans="1:65" x14ac:dyDescent="0.2">
      <c r="A40" s="7"/>
      <c r="B40" s="7" t="s">
        <v>441</v>
      </c>
      <c r="C40" s="686">
        <v>10000</v>
      </c>
      <c r="D40" s="742" t="s">
        <v>42</v>
      </c>
      <c r="E40" s="741"/>
      <c r="F40" s="211">
        <v>10000</v>
      </c>
      <c r="G40" s="211">
        <v>4535</v>
      </c>
      <c r="H40" s="211">
        <v>0</v>
      </c>
      <c r="I40" s="214">
        <v>0</v>
      </c>
      <c r="J40" s="211">
        <v>0</v>
      </c>
      <c r="K40" s="211">
        <v>0</v>
      </c>
      <c r="L40" s="211">
        <v>0</v>
      </c>
      <c r="M40" s="214">
        <v>0</v>
      </c>
      <c r="N40" s="211">
        <v>0</v>
      </c>
      <c r="O40" s="211"/>
      <c r="P40" s="211"/>
      <c r="Q40" s="214"/>
      <c r="R40" s="211"/>
      <c r="S40" s="211">
        <v>0</v>
      </c>
      <c r="T40" s="211">
        <v>0</v>
      </c>
      <c r="U40" s="214">
        <v>0</v>
      </c>
      <c r="V40" s="211">
        <v>0</v>
      </c>
      <c r="W40" s="211">
        <v>0</v>
      </c>
      <c r="X40" s="211">
        <v>0</v>
      </c>
      <c r="Y40" s="214">
        <v>0</v>
      </c>
      <c r="Z40" s="211">
        <v>0</v>
      </c>
      <c r="AA40" s="211">
        <v>0</v>
      </c>
      <c r="AB40" s="211">
        <v>0</v>
      </c>
      <c r="AC40" s="214">
        <v>0</v>
      </c>
      <c r="AD40" s="211">
        <v>0</v>
      </c>
      <c r="AE40" s="211">
        <v>31524</v>
      </c>
      <c r="AF40" s="211">
        <v>0</v>
      </c>
      <c r="AG40" s="214">
        <v>0</v>
      </c>
      <c r="AH40" s="212">
        <v>0</v>
      </c>
      <c r="AI40" s="211">
        <v>0</v>
      </c>
      <c r="AJ40" s="211">
        <v>0</v>
      </c>
      <c r="AK40" s="211">
        <v>0</v>
      </c>
      <c r="AL40" s="212">
        <v>0</v>
      </c>
      <c r="AM40" s="214">
        <v>0</v>
      </c>
      <c r="AN40" s="214"/>
      <c r="AO40" s="214"/>
      <c r="AP40" s="88"/>
      <c r="AQ40" s="827">
        <v>4535</v>
      </c>
      <c r="AR40" s="827">
        <v>0</v>
      </c>
      <c r="AS40" s="754">
        <v>14535</v>
      </c>
      <c r="AT40" s="742" t="s">
        <v>42</v>
      </c>
      <c r="AU40" s="88"/>
      <c r="AV40" s="211">
        <v>14535</v>
      </c>
      <c r="AW40" s="692">
        <v>0</v>
      </c>
      <c r="AX40" s="617">
        <v>0</v>
      </c>
      <c r="AY40" s="617">
        <v>0</v>
      </c>
      <c r="AZ40" s="617">
        <v>0</v>
      </c>
      <c r="BA40" s="617"/>
      <c r="BB40" s="202">
        <v>31524</v>
      </c>
      <c r="BC40" s="617">
        <v>0</v>
      </c>
      <c r="BD40" s="617">
        <v>0</v>
      </c>
      <c r="BE40" s="617">
        <v>0</v>
      </c>
      <c r="BF40" s="617">
        <v>0</v>
      </c>
      <c r="BG40" s="617">
        <v>0</v>
      </c>
      <c r="BH40" s="722"/>
      <c r="BJ40" s="722"/>
      <c r="BK40" s="722"/>
      <c r="BL40" s="722"/>
      <c r="BM40" s="722"/>
    </row>
    <row r="41" spans="1:65" ht="12.75" customHeight="1" x14ac:dyDescent="0.2">
      <c r="A41" s="8"/>
      <c r="B41" s="7"/>
      <c r="C41" s="167">
        <v>29724</v>
      </c>
      <c r="D41" s="527">
        <v>0.19842853995740903</v>
      </c>
      <c r="E41" s="741"/>
      <c r="F41" s="217">
        <v>179521</v>
      </c>
      <c r="G41" s="217">
        <v>128007</v>
      </c>
      <c r="H41" s="217">
        <v>141959</v>
      </c>
      <c r="I41" s="218">
        <v>149776</v>
      </c>
      <c r="J41" s="217">
        <v>149797</v>
      </c>
      <c r="K41" s="217">
        <v>141170</v>
      </c>
      <c r="L41" s="217">
        <v>124884</v>
      </c>
      <c r="M41" s="218">
        <v>117011</v>
      </c>
      <c r="N41" s="217">
        <v>141520</v>
      </c>
      <c r="O41" s="217">
        <v>145199</v>
      </c>
      <c r="P41" s="217">
        <v>126083</v>
      </c>
      <c r="Q41" s="218">
        <v>121025</v>
      </c>
      <c r="R41" s="217">
        <v>139001</v>
      </c>
      <c r="S41" s="217">
        <v>83160</v>
      </c>
      <c r="T41" s="217">
        <v>72012</v>
      </c>
      <c r="U41" s="218">
        <v>80971</v>
      </c>
      <c r="V41" s="217">
        <v>108607</v>
      </c>
      <c r="W41" s="217">
        <v>118296</v>
      </c>
      <c r="X41" s="217">
        <v>77614</v>
      </c>
      <c r="Y41" s="218">
        <v>86565</v>
      </c>
      <c r="Z41" s="217">
        <v>71336</v>
      </c>
      <c r="AA41" s="217">
        <v>88110</v>
      </c>
      <c r="AB41" s="217">
        <v>64018</v>
      </c>
      <c r="AC41" s="218">
        <v>69132</v>
      </c>
      <c r="AD41" s="217">
        <v>54540</v>
      </c>
      <c r="AE41" s="217">
        <v>95770</v>
      </c>
      <c r="AF41" s="217">
        <v>63150</v>
      </c>
      <c r="AG41" s="218">
        <v>85020</v>
      </c>
      <c r="AH41" s="217">
        <v>75141</v>
      </c>
      <c r="AI41" s="341">
        <v>87449</v>
      </c>
      <c r="AJ41" s="218">
        <v>74128</v>
      </c>
      <c r="AK41" s="341">
        <v>106349</v>
      </c>
      <c r="AL41" s="221">
        <v>100905</v>
      </c>
      <c r="AM41" s="222">
        <v>75317</v>
      </c>
      <c r="AN41" s="222">
        <v>70703</v>
      </c>
      <c r="AO41" s="341">
        <v>91522</v>
      </c>
      <c r="AP41" s="88"/>
      <c r="AQ41" s="217">
        <v>419742</v>
      </c>
      <c r="AR41" s="512">
        <v>383065</v>
      </c>
      <c r="AS41" s="336">
        <v>66401</v>
      </c>
      <c r="AT41" s="168">
        <v>0.12461200085575627</v>
      </c>
      <c r="AU41" s="725"/>
      <c r="AV41" s="914">
        <v>599263</v>
      </c>
      <c r="AW41" s="914">
        <v>532862</v>
      </c>
      <c r="AX41" s="914">
        <v>533827</v>
      </c>
      <c r="AY41" s="914">
        <v>375144</v>
      </c>
      <c r="AZ41" s="914">
        <v>391082</v>
      </c>
      <c r="BA41" s="914">
        <v>292596</v>
      </c>
      <c r="BB41" s="246">
        <v>298480</v>
      </c>
      <c r="BC41" s="199">
        <v>343067</v>
      </c>
      <c r="BD41" s="199">
        <v>338447</v>
      </c>
      <c r="BE41" s="302">
        <v>231683</v>
      </c>
      <c r="BF41" s="302">
        <v>173735</v>
      </c>
      <c r="BG41" s="302">
        <v>154490</v>
      </c>
      <c r="BH41" s="722"/>
      <c r="BJ41" s="722"/>
      <c r="BK41" s="722"/>
      <c r="BL41" s="722"/>
      <c r="BM41" s="722"/>
    </row>
    <row r="42" spans="1:65" s="95" customFormat="1" ht="24.95" customHeight="1" thickBot="1" x14ac:dyDescent="0.25">
      <c r="A42" s="1485" t="s">
        <v>188</v>
      </c>
      <c r="B42" s="1486"/>
      <c r="C42" s="686">
        <v>-57004</v>
      </c>
      <c r="D42" s="742">
        <v>-1.5464163637350117</v>
      </c>
      <c r="E42" s="741"/>
      <c r="F42" s="750">
        <v>-20142</v>
      </c>
      <c r="G42" s="1327">
        <v>-24141</v>
      </c>
      <c r="H42" s="245">
        <v>28656</v>
      </c>
      <c r="I42" s="746">
        <v>29469</v>
      </c>
      <c r="J42" s="745">
        <v>36862</v>
      </c>
      <c r="K42" s="245">
        <v>30064</v>
      </c>
      <c r="L42" s="245">
        <v>1807</v>
      </c>
      <c r="M42" s="233">
        <v>14195</v>
      </c>
      <c r="N42" s="244">
        <v>12477</v>
      </c>
      <c r="O42" s="245">
        <v>20426</v>
      </c>
      <c r="P42" s="1327">
        <v>-5973</v>
      </c>
      <c r="Q42" s="930">
        <v>-19724</v>
      </c>
      <c r="R42" s="1328">
        <v>-25934</v>
      </c>
      <c r="S42" s="1327">
        <v>10421</v>
      </c>
      <c r="T42" s="1327">
        <v>-2560</v>
      </c>
      <c r="U42" s="246">
        <v>16406</v>
      </c>
      <c r="V42" s="745">
        <v>55164</v>
      </c>
      <c r="W42" s="745">
        <v>59462</v>
      </c>
      <c r="X42" s="745">
        <v>19349</v>
      </c>
      <c r="Y42" s="233">
        <v>12981</v>
      </c>
      <c r="Z42" s="745">
        <v>12160</v>
      </c>
      <c r="AA42" s="745">
        <v>27980</v>
      </c>
      <c r="AB42" s="745">
        <v>14457</v>
      </c>
      <c r="AC42" s="745">
        <v>16365</v>
      </c>
      <c r="AD42" s="732">
        <v>10432</v>
      </c>
      <c r="AE42" s="745">
        <v>-46520</v>
      </c>
      <c r="AF42" s="745">
        <v>-4814</v>
      </c>
      <c r="AG42" s="745">
        <v>19773</v>
      </c>
      <c r="AH42" s="732">
        <v>2824</v>
      </c>
      <c r="AI42" s="245">
        <v>22134</v>
      </c>
      <c r="AJ42" s="246">
        <v>14943</v>
      </c>
      <c r="AK42" s="245">
        <v>48674</v>
      </c>
      <c r="AL42" s="245">
        <v>29246</v>
      </c>
      <c r="AM42" s="245">
        <v>26110</v>
      </c>
      <c r="AN42" s="245">
        <v>22330</v>
      </c>
      <c r="AO42" s="245">
        <v>33584</v>
      </c>
      <c r="AP42" s="88"/>
      <c r="AQ42" s="1327">
        <v>33984</v>
      </c>
      <c r="AR42" s="1327">
        <v>46066</v>
      </c>
      <c r="AS42" s="336">
        <v>-69086</v>
      </c>
      <c r="AT42" s="168">
        <v>-0.83308412116534825</v>
      </c>
      <c r="AU42" s="721"/>
      <c r="AV42" s="1331">
        <v>13842</v>
      </c>
      <c r="AW42" s="1331">
        <v>82928</v>
      </c>
      <c r="AX42" s="1331">
        <v>7206</v>
      </c>
      <c r="AY42" s="1331">
        <v>-1667</v>
      </c>
      <c r="AZ42" s="1331">
        <v>147562</v>
      </c>
      <c r="BA42" s="1331">
        <v>70962</v>
      </c>
      <c r="BB42" s="199">
        <v>-14693</v>
      </c>
      <c r="BC42" s="199">
        <v>97415</v>
      </c>
      <c r="BD42" s="199">
        <v>111270</v>
      </c>
      <c r="BE42" s="270">
        <v>101983</v>
      </c>
      <c r="BF42" s="251">
        <v>65919</v>
      </c>
      <c r="BG42" s="331">
        <v>57268</v>
      </c>
      <c r="BH42" s="491"/>
      <c r="BI42" s="492"/>
      <c r="BJ42" s="493"/>
      <c r="BK42" s="493"/>
      <c r="BL42" s="207"/>
      <c r="BM42" s="207"/>
    </row>
    <row r="43" spans="1:65" s="95" customFormat="1" ht="13.5" thickTop="1" x14ac:dyDescent="0.2">
      <c r="A43" s="938"/>
      <c r="B43" s="740" t="s">
        <v>380</v>
      </c>
      <c r="C43" s="167">
        <v>877</v>
      </c>
      <c r="D43" s="168">
        <v>0.3906458797327394</v>
      </c>
      <c r="E43" s="741"/>
      <c r="F43" s="1327">
        <v>3122</v>
      </c>
      <c r="G43" s="1327">
        <v>2697</v>
      </c>
      <c r="H43" s="1327">
        <v>3392</v>
      </c>
      <c r="I43" s="930">
        <v>2699</v>
      </c>
      <c r="J43" s="1327">
        <v>2245</v>
      </c>
      <c r="K43" s="1327">
        <v>2156</v>
      </c>
      <c r="L43" s="1327">
        <v>1833</v>
      </c>
      <c r="M43" s="930">
        <v>2303</v>
      </c>
      <c r="N43" s="750">
        <v>510</v>
      </c>
      <c r="O43" s="750">
        <v>848</v>
      </c>
      <c r="P43" s="750">
        <v>504</v>
      </c>
      <c r="Q43" s="920">
        <v>1704</v>
      </c>
      <c r="R43" s="750">
        <v>3107</v>
      </c>
      <c r="S43" s="750">
        <v>2615</v>
      </c>
      <c r="T43" s="750">
        <v>3104</v>
      </c>
      <c r="U43" s="829">
        <v>3041</v>
      </c>
      <c r="V43" s="828"/>
      <c r="W43" s="745"/>
      <c r="X43" s="745"/>
      <c r="Y43" s="746"/>
      <c r="Z43" s="745"/>
      <c r="AA43" s="745"/>
      <c r="AB43" s="745"/>
      <c r="AC43" s="746"/>
      <c r="AD43" s="473"/>
      <c r="AE43" s="473"/>
      <c r="AF43" s="473"/>
      <c r="AG43" s="474"/>
      <c r="AH43" s="473"/>
      <c r="AI43" s="745"/>
      <c r="AJ43" s="746"/>
      <c r="AK43" s="745"/>
      <c r="AL43" s="745"/>
      <c r="AM43" s="745"/>
      <c r="AN43" s="745"/>
      <c r="AO43" s="745"/>
      <c r="AP43" s="200"/>
      <c r="AQ43" s="745">
        <v>8788</v>
      </c>
      <c r="AR43" s="745">
        <v>6292</v>
      </c>
      <c r="AS43" s="336">
        <v>3373</v>
      </c>
      <c r="AT43" s="168">
        <v>0.3951036663933466</v>
      </c>
      <c r="AU43" s="200"/>
      <c r="AV43" s="204">
        <v>11910</v>
      </c>
      <c r="AW43" s="204">
        <v>8537</v>
      </c>
      <c r="AX43" s="204">
        <v>3566</v>
      </c>
      <c r="AY43" s="204">
        <v>11867</v>
      </c>
      <c r="AZ43" s="204">
        <v>10903</v>
      </c>
      <c r="BA43" s="204">
        <v>9573</v>
      </c>
      <c r="BB43" s="474" t="s">
        <v>186</v>
      </c>
      <c r="BC43" s="886"/>
      <c r="BD43" s="886"/>
      <c r="BE43" s="887"/>
      <c r="BF43" s="887"/>
      <c r="BG43" s="251"/>
      <c r="BH43" s="493"/>
      <c r="BI43" s="492"/>
      <c r="BJ43" s="493"/>
      <c r="BK43" s="493"/>
      <c r="BL43" s="207"/>
      <c r="BM43" s="207"/>
    </row>
    <row r="44" spans="1:65" s="95" customFormat="1" ht="20.25" customHeight="1" thickBot="1" x14ac:dyDescent="0.25">
      <c r="A44" s="141" t="s">
        <v>220</v>
      </c>
      <c r="B44" s="615"/>
      <c r="C44" s="405">
        <v>-57881</v>
      </c>
      <c r="D44" s="179">
        <v>-1.6720397492561458</v>
      </c>
      <c r="E44" s="741"/>
      <c r="F44" s="653">
        <v>-23264</v>
      </c>
      <c r="G44" s="653">
        <v>-26838</v>
      </c>
      <c r="H44" s="249">
        <v>25264</v>
      </c>
      <c r="I44" s="250">
        <v>26770</v>
      </c>
      <c r="J44" s="249">
        <v>34617</v>
      </c>
      <c r="K44" s="249">
        <v>27908</v>
      </c>
      <c r="L44" s="653">
        <v>-26</v>
      </c>
      <c r="M44" s="1325">
        <v>11892</v>
      </c>
      <c r="N44" s="653">
        <v>11967</v>
      </c>
      <c r="O44" s="653">
        <v>19578</v>
      </c>
      <c r="P44" s="653">
        <v>-6477</v>
      </c>
      <c r="Q44" s="653">
        <v>-21428</v>
      </c>
      <c r="R44" s="1326">
        <v>-29041</v>
      </c>
      <c r="S44" s="653">
        <v>7806</v>
      </c>
      <c r="T44" s="653">
        <v>-5664</v>
      </c>
      <c r="U44" s="250">
        <v>13365</v>
      </c>
      <c r="V44" s="249">
        <v>52615</v>
      </c>
      <c r="W44" s="249">
        <v>56728</v>
      </c>
      <c r="X44" s="249">
        <v>16445</v>
      </c>
      <c r="Y44" s="250">
        <v>10265</v>
      </c>
      <c r="Z44" s="249">
        <v>9460</v>
      </c>
      <c r="AA44" s="249">
        <v>25609</v>
      </c>
      <c r="AB44" s="249">
        <v>12266</v>
      </c>
      <c r="AC44" s="250">
        <v>14054</v>
      </c>
      <c r="AD44" s="475" t="s">
        <v>186</v>
      </c>
      <c r="AE44" s="475" t="s">
        <v>186</v>
      </c>
      <c r="AF44" s="475" t="s">
        <v>186</v>
      </c>
      <c r="AG44" s="476" t="s">
        <v>186</v>
      </c>
      <c r="AH44" s="475" t="s">
        <v>186</v>
      </c>
      <c r="AI44" s="745"/>
      <c r="AJ44" s="746"/>
      <c r="AK44" s="745"/>
      <c r="AL44" s="745"/>
      <c r="AM44" s="745"/>
      <c r="AN44" s="745"/>
      <c r="AO44" s="745"/>
      <c r="AP44" s="200"/>
      <c r="AQ44" s="653">
        <v>25196</v>
      </c>
      <c r="AR44" s="653">
        <v>39774</v>
      </c>
      <c r="AS44" s="653">
        <v>-72459</v>
      </c>
      <c r="AT44" s="179">
        <v>-0.97402911642537404</v>
      </c>
      <c r="AU44" s="240"/>
      <c r="AV44" s="1329">
        <v>1932</v>
      </c>
      <c r="AW44" s="1329">
        <v>74391</v>
      </c>
      <c r="AX44" s="1329">
        <v>3640</v>
      </c>
      <c r="AY44" s="1329">
        <v>-13534</v>
      </c>
      <c r="AZ44" s="206">
        <v>136659</v>
      </c>
      <c r="BA44" s="206">
        <v>61389</v>
      </c>
      <c r="BB44" s="476" t="s">
        <v>186</v>
      </c>
      <c r="BC44" s="476" t="s">
        <v>186</v>
      </c>
      <c r="BD44" s="476" t="s">
        <v>186</v>
      </c>
      <c r="BE44" s="498" t="s">
        <v>186</v>
      </c>
      <c r="BF44" s="498" t="s">
        <v>186</v>
      </c>
      <c r="BG44" s="251"/>
      <c r="BH44" s="493"/>
      <c r="BI44" s="492"/>
      <c r="BJ44" s="493"/>
      <c r="BK44" s="493"/>
      <c r="BL44" s="207"/>
      <c r="BM44" s="207"/>
    </row>
    <row r="45" spans="1:65" s="95" customFormat="1" ht="15.75" hidden="1" customHeight="1" thickTop="1" x14ac:dyDescent="0.2">
      <c r="A45" s="8"/>
      <c r="B45" s="7"/>
      <c r="C45" s="686"/>
      <c r="D45" s="480" t="e">
        <v>#DIV/0!</v>
      </c>
      <c r="E45" s="755"/>
      <c r="F45" s="745"/>
      <c r="G45" s="745"/>
      <c r="H45" s="745"/>
      <c r="I45" s="745"/>
      <c r="J45" s="745"/>
      <c r="K45" s="745"/>
      <c r="L45" s="745"/>
      <c r="M45" s="746"/>
      <c r="N45" s="745"/>
      <c r="O45" s="745"/>
      <c r="P45" s="745"/>
      <c r="Q45" s="746"/>
      <c r="R45" s="745"/>
      <c r="S45" s="745"/>
      <c r="T45" s="745"/>
      <c r="U45" s="746"/>
      <c r="V45" s="745"/>
      <c r="W45" s="745"/>
      <c r="X45" s="745"/>
      <c r="Y45" s="746"/>
      <c r="Z45" s="745"/>
      <c r="AA45" s="745"/>
      <c r="AB45" s="745"/>
      <c r="AC45" s="746"/>
      <c r="AD45" s="745"/>
      <c r="AE45" s="745"/>
      <c r="AF45" s="745"/>
      <c r="AG45" s="746"/>
      <c r="AH45" s="745"/>
      <c r="AI45" s="745"/>
      <c r="AJ45" s="746"/>
      <c r="AK45" s="745"/>
      <c r="AL45" s="745"/>
      <c r="AM45" s="745"/>
      <c r="AN45" s="745"/>
      <c r="AO45" s="745"/>
      <c r="AP45" s="200"/>
      <c r="AQ45" s="240"/>
      <c r="AR45" s="240"/>
      <c r="AS45" s="251"/>
      <c r="AT45" s="742" t="e">
        <v>#DIV/0!</v>
      </c>
      <c r="AU45" s="240"/>
      <c r="AV45" s="745"/>
      <c r="AW45" s="745"/>
      <c r="AX45" s="745"/>
      <c r="AY45" s="745"/>
      <c r="AZ45" s="745"/>
      <c r="BA45" s="745"/>
      <c r="BB45" s="744"/>
      <c r="BC45" s="746"/>
      <c r="BD45" s="746"/>
      <c r="BE45" s="251"/>
      <c r="BF45" s="270"/>
      <c r="BG45" s="251"/>
      <c r="BH45" s="493"/>
      <c r="BI45" s="492"/>
      <c r="BJ45" s="493"/>
      <c r="BK45" s="493"/>
      <c r="BL45" s="207"/>
      <c r="BM45" s="207"/>
    </row>
    <row r="46" spans="1:65" s="95" customFormat="1" ht="15.75" hidden="1" customHeight="1" x14ac:dyDescent="0.2">
      <c r="A46" s="724"/>
      <c r="B46" s="724" t="s">
        <v>6</v>
      </c>
      <c r="C46" s="686">
        <v>-3034</v>
      </c>
      <c r="D46" s="480" t="e">
        <v>#DIV/0!</v>
      </c>
      <c r="E46" s="755"/>
      <c r="F46" s="745"/>
      <c r="G46" s="745"/>
      <c r="H46" s="745"/>
      <c r="I46" s="745"/>
      <c r="J46" s="745"/>
      <c r="K46" s="745"/>
      <c r="L46" s="745"/>
      <c r="M46" s="746"/>
      <c r="N46" s="745"/>
      <c r="O46" s="745"/>
      <c r="P46" s="745"/>
      <c r="Q46" s="746"/>
      <c r="R46" s="745"/>
      <c r="S46" s="745"/>
      <c r="T46" s="745"/>
      <c r="U46" s="746"/>
      <c r="V46" s="745"/>
      <c r="W46" s="745"/>
      <c r="X46" s="745"/>
      <c r="Y46" s="746"/>
      <c r="Z46" s="745"/>
      <c r="AA46" s="745">
        <v>8211</v>
      </c>
      <c r="AB46" s="745">
        <v>1672</v>
      </c>
      <c r="AC46" s="746">
        <v>6003</v>
      </c>
      <c r="AD46" s="745">
        <v>3034</v>
      </c>
      <c r="AE46" s="745">
        <v>-3872</v>
      </c>
      <c r="AF46" s="745">
        <v>-991</v>
      </c>
      <c r="AG46" s="746">
        <v>4485</v>
      </c>
      <c r="AH46" s="745">
        <v>2232</v>
      </c>
      <c r="AI46" s="745"/>
      <c r="AJ46" s="746"/>
      <c r="AK46" s="745"/>
      <c r="AL46" s="745"/>
      <c r="AM46" s="745"/>
      <c r="AN46" s="745"/>
      <c r="AO46" s="745"/>
      <c r="AP46" s="200"/>
      <c r="AQ46" s="240"/>
      <c r="AR46" s="240"/>
      <c r="AS46" s="251">
        <v>13230</v>
      </c>
      <c r="AT46" s="742" t="e">
        <v>#DIV/0!</v>
      </c>
      <c r="AU46" s="240"/>
      <c r="AV46" s="745"/>
      <c r="AW46" s="745"/>
      <c r="AX46" s="745"/>
      <c r="AY46" s="745"/>
      <c r="AZ46" s="745">
        <v>15886</v>
      </c>
      <c r="BA46" s="745"/>
      <c r="BB46" s="744">
        <v>-728</v>
      </c>
      <c r="BC46" s="746">
        <v>29848</v>
      </c>
      <c r="BD46" s="746">
        <v>30992</v>
      </c>
      <c r="BE46" s="251">
        <v>27864</v>
      </c>
      <c r="BF46" s="270">
        <v>17832</v>
      </c>
      <c r="BG46" s="251"/>
      <c r="BH46" s="493"/>
      <c r="BI46" s="492"/>
      <c r="BJ46" s="493"/>
      <c r="BK46" s="493"/>
      <c r="BL46" s="207"/>
      <c r="BM46" s="207"/>
    </row>
    <row r="47" spans="1:65" s="95" customFormat="1" ht="13.5" hidden="1" customHeight="1" x14ac:dyDescent="0.2">
      <c r="A47" s="724"/>
      <c r="B47" s="724"/>
      <c r="C47" s="686"/>
      <c r="D47" s="480" t="e">
        <v>#DIV/0!</v>
      </c>
      <c r="E47" s="755"/>
      <c r="F47" s="745"/>
      <c r="G47" s="745"/>
      <c r="H47" s="745"/>
      <c r="I47" s="745"/>
      <c r="J47" s="745"/>
      <c r="K47" s="745"/>
      <c r="L47" s="745"/>
      <c r="M47" s="746"/>
      <c r="N47" s="745"/>
      <c r="O47" s="745"/>
      <c r="P47" s="745"/>
      <c r="Q47" s="746"/>
      <c r="R47" s="745"/>
      <c r="S47" s="745"/>
      <c r="T47" s="745"/>
      <c r="U47" s="746"/>
      <c r="V47" s="745"/>
      <c r="W47" s="745"/>
      <c r="X47" s="745"/>
      <c r="Y47" s="746"/>
      <c r="Z47" s="745" t="s">
        <v>207</v>
      </c>
      <c r="AA47" s="745"/>
      <c r="AB47" s="745"/>
      <c r="AC47" s="746"/>
      <c r="AD47" s="745"/>
      <c r="AE47" s="745"/>
      <c r="AF47" s="745"/>
      <c r="AG47" s="746"/>
      <c r="AH47" s="745"/>
      <c r="AI47" s="745"/>
      <c r="AJ47" s="746"/>
      <c r="AK47" s="745"/>
      <c r="AL47" s="745"/>
      <c r="AM47" s="745"/>
      <c r="AN47" s="745"/>
      <c r="AO47" s="745"/>
      <c r="AP47" s="200"/>
      <c r="AQ47" s="240"/>
      <c r="AR47" s="240"/>
      <c r="AS47" s="251"/>
      <c r="AT47" s="742" t="e">
        <v>#DIV/0!</v>
      </c>
      <c r="AU47" s="240"/>
      <c r="AV47" s="745"/>
      <c r="AW47" s="745"/>
      <c r="AX47" s="745"/>
      <c r="AY47" s="745"/>
      <c r="AZ47" s="745"/>
      <c r="BA47" s="745"/>
      <c r="BB47" s="744"/>
      <c r="BC47" s="746"/>
      <c r="BD47" s="746"/>
      <c r="BE47" s="251"/>
      <c r="BF47" s="270"/>
      <c r="BG47" s="251"/>
      <c r="BH47" s="493"/>
      <c r="BI47" s="492"/>
      <c r="BJ47" s="493"/>
      <c r="BK47" s="493"/>
      <c r="BL47" s="207"/>
      <c r="BM47" s="207"/>
    </row>
    <row r="48" spans="1:65" s="95" customFormat="1" ht="13.5" hidden="1" customHeight="1" thickBot="1" x14ac:dyDescent="0.25">
      <c r="A48" s="141" t="s">
        <v>78</v>
      </c>
      <c r="B48" s="724"/>
      <c r="C48" s="405" t="e">
        <v>#VALUE!</v>
      </c>
      <c r="D48" s="481" t="e">
        <v>#VALUE!</v>
      </c>
      <c r="E48" s="755"/>
      <c r="F48" s="249"/>
      <c r="G48" s="249"/>
      <c r="H48" s="249"/>
      <c r="I48" s="249"/>
      <c r="J48" s="249"/>
      <c r="K48" s="249"/>
      <c r="L48" s="249"/>
      <c r="M48" s="250"/>
      <c r="N48" s="249"/>
      <c r="O48" s="249"/>
      <c r="P48" s="249"/>
      <c r="Q48" s="250"/>
      <c r="R48" s="249"/>
      <c r="S48" s="249"/>
      <c r="T48" s="249"/>
      <c r="U48" s="250"/>
      <c r="V48" s="249"/>
      <c r="W48" s="249"/>
      <c r="X48" s="249"/>
      <c r="Y48" s="250"/>
      <c r="Z48" s="249">
        <v>9460</v>
      </c>
      <c r="AA48" s="249">
        <v>17398</v>
      </c>
      <c r="AB48" s="249">
        <v>10594</v>
      </c>
      <c r="AC48" s="250">
        <v>8051</v>
      </c>
      <c r="AD48" s="249" t="e">
        <v>#VALUE!</v>
      </c>
      <c r="AE48" s="249" t="e">
        <v>#VALUE!</v>
      </c>
      <c r="AF48" s="249" t="e">
        <v>#VALUE!</v>
      </c>
      <c r="AG48" s="250" t="e">
        <v>#VALUE!</v>
      </c>
      <c r="AH48" s="249" t="e">
        <v>#VALUE!</v>
      </c>
      <c r="AI48" s="249" t="s">
        <v>186</v>
      </c>
      <c r="AJ48" s="250" t="s">
        <v>186</v>
      </c>
      <c r="AK48" s="249"/>
      <c r="AL48" s="249"/>
      <c r="AM48" s="249"/>
      <c r="AN48" s="249"/>
      <c r="AO48" s="249"/>
      <c r="AP48" s="200"/>
      <c r="AQ48" s="240"/>
      <c r="AR48" s="240"/>
      <c r="AS48" s="331" t="e">
        <v>#VALUE!</v>
      </c>
      <c r="AT48" s="179" t="e">
        <v>#VALUE!</v>
      </c>
      <c r="AU48" s="240"/>
      <c r="AV48" s="249"/>
      <c r="AW48" s="249"/>
      <c r="AX48" s="249"/>
      <c r="AY48" s="249"/>
      <c r="AZ48" s="249">
        <v>45503</v>
      </c>
      <c r="BA48" s="249"/>
      <c r="BB48" s="206" t="e">
        <v>#VALUE!</v>
      </c>
      <c r="BC48" s="250" t="e">
        <v>#VALUE!</v>
      </c>
      <c r="BD48" s="250" t="e">
        <v>#VALUE!</v>
      </c>
      <c r="BE48" s="331" t="e">
        <v>#VALUE!</v>
      </c>
      <c r="BF48" s="317" t="e">
        <v>#VALUE!</v>
      </c>
      <c r="BG48" s="251"/>
      <c r="BH48" s="493"/>
      <c r="BI48" s="492"/>
      <c r="BJ48" s="493"/>
      <c r="BK48" s="493"/>
      <c r="BL48" s="207"/>
      <c r="BM48" s="207"/>
    </row>
    <row r="49" spans="1:65" ht="12.75" customHeight="1" thickTop="1" x14ac:dyDescent="0.2">
      <c r="A49" s="726"/>
      <c r="B49" s="726"/>
      <c r="C49" s="754"/>
      <c r="D49" s="755"/>
      <c r="E49" s="755"/>
      <c r="F49" s="755"/>
      <c r="G49" s="755"/>
      <c r="H49" s="755"/>
      <c r="I49" s="755"/>
      <c r="J49" s="755"/>
      <c r="K49" s="755"/>
      <c r="L49" s="755"/>
      <c r="M49" s="725"/>
      <c r="N49" s="755"/>
      <c r="O49" s="755"/>
      <c r="P49" s="755"/>
      <c r="Q49" s="725"/>
      <c r="R49" s="755"/>
      <c r="S49" s="755"/>
      <c r="T49" s="755"/>
      <c r="U49" s="725"/>
      <c r="V49" s="755"/>
      <c r="W49" s="755"/>
      <c r="X49" s="755"/>
      <c r="Y49" s="725"/>
      <c r="Z49" s="755"/>
      <c r="AA49" s="755"/>
      <c r="AB49" s="755"/>
      <c r="AC49" s="725"/>
      <c r="AD49" s="755"/>
      <c r="AE49" s="755"/>
      <c r="AF49" s="755"/>
      <c r="AG49" s="725"/>
      <c r="AH49" s="724"/>
      <c r="AI49" s="724"/>
      <c r="AJ49" s="724"/>
      <c r="AK49" s="724"/>
      <c r="AL49" s="183"/>
      <c r="AM49" s="183"/>
      <c r="AN49" s="183"/>
      <c r="AO49" s="183"/>
      <c r="AP49" s="725"/>
      <c r="AQ49" s="725"/>
      <c r="AR49" s="725"/>
      <c r="AS49" s="754"/>
      <c r="AT49" s="755"/>
      <c r="AU49" s="725"/>
      <c r="AV49" s="725"/>
      <c r="AW49" s="725"/>
      <c r="AX49" s="725"/>
      <c r="AY49" s="725"/>
      <c r="AZ49" s="725"/>
      <c r="BA49" s="725"/>
      <c r="BB49" s="725"/>
      <c r="BC49" s="754"/>
      <c r="BD49" s="754"/>
      <c r="BE49" s="754"/>
      <c r="BF49" s="754"/>
      <c r="BG49" s="754"/>
      <c r="BH49" s="722"/>
      <c r="BJ49" s="722"/>
      <c r="BK49" s="722"/>
      <c r="BL49" s="722"/>
      <c r="BM49" s="722"/>
    </row>
    <row r="50" spans="1:65" ht="12.75" customHeight="1" x14ac:dyDescent="0.2">
      <c r="A50" s="7" t="s">
        <v>335</v>
      </c>
      <c r="B50" s="726"/>
      <c r="C50" s="160">
        <v>7.1822688233362459</v>
      </c>
      <c r="D50" s="755"/>
      <c r="E50" s="755"/>
      <c r="F50" s="755">
        <v>0.52083398691170102</v>
      </c>
      <c r="G50" s="755">
        <v>0.50869389405580268</v>
      </c>
      <c r="H50" s="755">
        <v>0.47026345866424407</v>
      </c>
      <c r="I50" s="755">
        <v>0.46771737008005804</v>
      </c>
      <c r="J50" s="755">
        <v>0.44901129867833856</v>
      </c>
      <c r="K50" s="755">
        <v>0.46071457771237023</v>
      </c>
      <c r="L50" s="755">
        <v>0.4551309879944116</v>
      </c>
      <c r="M50" s="755">
        <v>0.41198573235980063</v>
      </c>
      <c r="N50" s="755">
        <v>0.49570446177522937</v>
      </c>
      <c r="O50" s="755">
        <v>0.45931471698113208</v>
      </c>
      <c r="P50" s="755">
        <v>0.47807842810756807</v>
      </c>
      <c r="Q50" s="755">
        <v>0.46517803378051548</v>
      </c>
      <c r="R50" s="755">
        <v>0.53407271794599664</v>
      </c>
      <c r="S50" s="755">
        <v>0.42468022354965218</v>
      </c>
      <c r="T50" s="755">
        <v>0.45946840983700971</v>
      </c>
      <c r="U50" s="755">
        <v>0.48571017796810334</v>
      </c>
      <c r="V50" s="755">
        <v>0.48633152389617207</v>
      </c>
      <c r="W50" s="755">
        <v>0.45208091900223901</v>
      </c>
      <c r="X50" s="755">
        <v>0.4398894423646133</v>
      </c>
      <c r="Y50" s="725"/>
      <c r="Z50" s="755"/>
      <c r="AA50" s="755"/>
      <c r="AB50" s="755"/>
      <c r="AC50" s="725"/>
      <c r="AD50" s="755"/>
      <c r="AE50" s="755"/>
      <c r="AF50" s="755"/>
      <c r="AG50" s="725"/>
      <c r="AH50" s="724"/>
      <c r="AI50" s="724"/>
      <c r="AJ50" s="724"/>
      <c r="AK50" s="724"/>
      <c r="AL50" s="183"/>
      <c r="AM50" s="183"/>
      <c r="AN50" s="183"/>
      <c r="AO50" s="183"/>
      <c r="AP50" s="755"/>
      <c r="AQ50" s="755">
        <v>0.47805503762182461</v>
      </c>
      <c r="AR50" s="755">
        <v>0.44416739876634409</v>
      </c>
      <c r="AS50" s="160">
        <v>4.3539902334694682</v>
      </c>
      <c r="AT50" s="755"/>
      <c r="AU50" s="725"/>
      <c r="AV50" s="755">
        <v>0.48917558982556009</v>
      </c>
      <c r="AW50" s="755">
        <v>0.44563568749086541</v>
      </c>
      <c r="AX50" s="755">
        <v>0.47493590963952292</v>
      </c>
      <c r="AY50" s="755">
        <v>0.48017950235221979</v>
      </c>
      <c r="AZ50" s="755">
        <v>0.45894319810487078</v>
      </c>
      <c r="BA50" s="755">
        <v>0.50788044823659495</v>
      </c>
      <c r="BB50" s="755">
        <v>0.47616346062363674</v>
      </c>
      <c r="BC50" s="755">
        <v>0.48487565893725509</v>
      </c>
      <c r="BD50" s="754"/>
      <c r="BE50" s="754"/>
      <c r="BF50" s="754"/>
      <c r="BG50" s="754"/>
      <c r="BH50" s="722"/>
      <c r="BJ50" s="722"/>
      <c r="BK50" s="722"/>
      <c r="BL50" s="722"/>
      <c r="BM50" s="722"/>
    </row>
    <row r="51" spans="1:65" ht="12.75" customHeight="1" x14ac:dyDescent="0.2">
      <c r="A51" s="7" t="s">
        <v>336</v>
      </c>
      <c r="B51" s="726"/>
      <c r="C51" s="160">
        <v>1.6957488196965826</v>
      </c>
      <c r="D51" s="755"/>
      <c r="E51" s="755"/>
      <c r="F51" s="184">
        <v>6.0127118378205412E-2</v>
      </c>
      <c r="G51" s="184">
        <v>8.5100032734484812E-2</v>
      </c>
      <c r="H51" s="184">
        <v>4.9485684142660379E-2</v>
      </c>
      <c r="I51" s="184">
        <v>4.8732182208708751E-2</v>
      </c>
      <c r="J51" s="184">
        <v>4.3169630181239586E-2</v>
      </c>
      <c r="K51" s="184">
        <v>5.2326056741067779E-2</v>
      </c>
      <c r="L51" s="184">
        <v>5.5078892739026448E-2</v>
      </c>
      <c r="M51" s="184">
        <v>6.3122113317988504E-2</v>
      </c>
      <c r="N51" s="184">
        <v>5.1475028734325995E-2</v>
      </c>
      <c r="O51" s="184">
        <v>4.5343396226415096E-2</v>
      </c>
      <c r="P51" s="184">
        <v>7.6246773790691863E-2</v>
      </c>
      <c r="Q51" s="184">
        <v>0.10897227075744563</v>
      </c>
      <c r="R51" s="184">
        <v>5.0899024472215587E-2</v>
      </c>
      <c r="S51" s="184">
        <v>5.8676440730490165E-2</v>
      </c>
      <c r="T51" s="184">
        <v>7.1488222081437541E-2</v>
      </c>
      <c r="U51" s="184">
        <v>-1.1727615350647484E-2</v>
      </c>
      <c r="V51" s="184">
        <v>-2.3172600765703329E-2</v>
      </c>
      <c r="W51" s="184">
        <v>1.508792853204919E-2</v>
      </c>
      <c r="X51" s="184">
        <v>3.7148190546909647E-2</v>
      </c>
      <c r="Y51" s="725"/>
      <c r="Z51" s="755"/>
      <c r="AA51" s="755"/>
      <c r="AB51" s="755"/>
      <c r="AC51" s="725"/>
      <c r="AD51" s="755"/>
      <c r="AE51" s="755"/>
      <c r="AF51" s="755"/>
      <c r="AG51" s="725"/>
      <c r="AH51" s="724"/>
      <c r="AI51" s="724"/>
      <c r="AJ51" s="724"/>
      <c r="AK51" s="724"/>
      <c r="AL51" s="183"/>
      <c r="AM51" s="183"/>
      <c r="AN51" s="183"/>
      <c r="AO51" s="183"/>
      <c r="AP51" s="184"/>
      <c r="AQ51" s="184">
        <v>5.734077394727214E-2</v>
      </c>
      <c r="AR51" s="184">
        <v>5.6439641974129109E-2</v>
      </c>
      <c r="AS51" s="160">
        <v>0.56478747296457432</v>
      </c>
      <c r="AT51" s="755"/>
      <c r="AU51" s="725"/>
      <c r="AV51" s="184">
        <v>5.8065094885867835E-2</v>
      </c>
      <c r="AW51" s="184">
        <v>5.2417220156222091E-2</v>
      </c>
      <c r="AX51" s="184">
        <v>6.586289560895546E-2</v>
      </c>
      <c r="AY51" s="184">
        <v>4.0347866133657491E-2</v>
      </c>
      <c r="AZ51" s="184">
        <v>7.6358411121260055E-3</v>
      </c>
      <c r="BA51" s="184">
        <v>2.904625946891555E-2</v>
      </c>
      <c r="BB51" s="184">
        <v>2.2781170384830875E-2</v>
      </c>
      <c r="BC51" s="184">
        <v>7.1671487143629021E-3</v>
      </c>
      <c r="BD51" s="754"/>
      <c r="BE51" s="754"/>
      <c r="BF51" s="754"/>
      <c r="BG51" s="754"/>
      <c r="BH51" s="722"/>
      <c r="BJ51" s="722"/>
      <c r="BK51" s="722"/>
      <c r="BL51" s="722"/>
      <c r="BM51" s="722"/>
    </row>
    <row r="52" spans="1:65" ht="12.75" customHeight="1" x14ac:dyDescent="0.2">
      <c r="A52" s="727" t="s">
        <v>79</v>
      </c>
      <c r="B52" s="690"/>
      <c r="C52" s="160">
        <v>8.8780176430328268</v>
      </c>
      <c r="D52" s="755"/>
      <c r="E52" s="755"/>
      <c r="F52" s="184">
        <v>0.58096110528990641</v>
      </c>
      <c r="G52" s="184">
        <v>0.59379392679028753</v>
      </c>
      <c r="H52" s="184">
        <v>0.51974914280690443</v>
      </c>
      <c r="I52" s="184">
        <v>0.51644955228876677</v>
      </c>
      <c r="J52" s="184">
        <v>0.49218092885957815</v>
      </c>
      <c r="K52" s="184">
        <v>0.51304063445343795</v>
      </c>
      <c r="L52" s="184">
        <v>0.51020988073343809</v>
      </c>
      <c r="M52" s="184">
        <v>0.47510784567778913</v>
      </c>
      <c r="N52" s="184">
        <v>0.54717949050955539</v>
      </c>
      <c r="O52" s="184">
        <v>0.50465811320754717</v>
      </c>
      <c r="P52" s="184">
        <v>0.55432520189825996</v>
      </c>
      <c r="Q52" s="184">
        <v>0.57415030453796112</v>
      </c>
      <c r="R52" s="184">
        <v>0.58497174241821226</v>
      </c>
      <c r="S52" s="184">
        <v>0.48335666428014235</v>
      </c>
      <c r="T52" s="184">
        <v>0.53095663191844722</v>
      </c>
      <c r="U52" s="184">
        <v>0.47398256261745586</v>
      </c>
      <c r="V52" s="184">
        <v>0.46315892313046875</v>
      </c>
      <c r="W52" s="184">
        <v>0.46716884753428817</v>
      </c>
      <c r="X52" s="184">
        <v>0.47703763291152296</v>
      </c>
      <c r="Y52" s="184">
        <v>0.46380567777710807</v>
      </c>
      <c r="Z52" s="184">
        <v>0.52271965124077802</v>
      </c>
      <c r="AA52" s="184">
        <v>0.54756654319924192</v>
      </c>
      <c r="AB52" s="184">
        <v>0.54489964956992676</v>
      </c>
      <c r="AC52" s="184">
        <v>0.52903610653005373</v>
      </c>
      <c r="AD52" s="184">
        <v>0.46496952533399005</v>
      </c>
      <c r="AE52" s="184">
        <v>0.58592893401015234</v>
      </c>
      <c r="AF52" s="184">
        <v>0.51422792100932524</v>
      </c>
      <c r="AG52" s="184">
        <v>0.50126439743112616</v>
      </c>
      <c r="AH52" s="35">
        <v>0.51800000000000002</v>
      </c>
      <c r="AI52" s="35">
        <v>0.52900000000000003</v>
      </c>
      <c r="AJ52" s="35">
        <v>0.47399999999999998</v>
      </c>
      <c r="AK52" s="35">
        <v>0.49199999999999999</v>
      </c>
      <c r="AL52" s="35">
        <v>0.54400000000000004</v>
      </c>
      <c r="AM52" s="35">
        <v>0.50800000000000001</v>
      </c>
      <c r="AN52" s="35">
        <v>0.48699999999999999</v>
      </c>
      <c r="AO52" s="35">
        <v>0.52700000000000002</v>
      </c>
      <c r="AP52" s="184"/>
      <c r="AQ52" s="184">
        <v>0.53539581156909677</v>
      </c>
      <c r="AR52" s="184">
        <v>0.50060704074047324</v>
      </c>
      <c r="AS52" s="160">
        <v>4.9187777064340468</v>
      </c>
      <c r="AT52" s="755"/>
      <c r="AU52" s="725"/>
      <c r="AV52" s="184">
        <v>0.54724068471142795</v>
      </c>
      <c r="AW52" s="184">
        <v>0.49805290764708748</v>
      </c>
      <c r="AX52" s="184">
        <v>0.54079880524847834</v>
      </c>
      <c r="AY52" s="184">
        <v>0.52052736848587733</v>
      </c>
      <c r="AZ52" s="184">
        <v>0.46657903921699673</v>
      </c>
      <c r="BA52" s="184">
        <v>0.53692670770551054</v>
      </c>
      <c r="BB52" s="35">
        <v>0.51052276717949463</v>
      </c>
      <c r="BC52" s="35">
        <v>0.50211981225181979</v>
      </c>
      <c r="BD52" s="35">
        <v>0.51900000000000002</v>
      </c>
      <c r="BE52" s="305">
        <v>0.52600000000000002</v>
      </c>
      <c r="BF52" s="305">
        <v>0.52200000000000002</v>
      </c>
      <c r="BG52" s="305">
        <v>0.56799999999999995</v>
      </c>
      <c r="BH52" s="722"/>
      <c r="BJ52" s="722"/>
      <c r="BK52" s="722"/>
      <c r="BL52" s="722"/>
      <c r="BM52" s="722"/>
    </row>
    <row r="53" spans="1:65" ht="13.5" customHeight="1" x14ac:dyDescent="0.2">
      <c r="A53" s="727" t="s">
        <v>217</v>
      </c>
      <c r="B53" s="144"/>
      <c r="C53" s="160">
        <v>8.0897277093817443</v>
      </c>
      <c r="D53" s="755"/>
      <c r="E53" s="755"/>
      <c r="F53" s="184">
        <v>0.62200164388031043</v>
      </c>
      <c r="G53" s="184">
        <v>0.65307222767796969</v>
      </c>
      <c r="H53" s="184">
        <v>0.55506256776953966</v>
      </c>
      <c r="I53" s="184">
        <v>0.55511171859745045</v>
      </c>
      <c r="J53" s="184">
        <v>0.54110436678649299</v>
      </c>
      <c r="K53" s="184">
        <v>0.5605020031068596</v>
      </c>
      <c r="L53" s="184">
        <v>0.57804421782131332</v>
      </c>
      <c r="M53" s="184">
        <v>0.54321448714235632</v>
      </c>
      <c r="N53" s="184">
        <v>0.60873913128177826</v>
      </c>
      <c r="O53" s="184">
        <v>0.55465056603773588</v>
      </c>
      <c r="P53" s="184">
        <v>0.62650903338606279</v>
      </c>
      <c r="Q53" s="184">
        <v>0.66112871541248364</v>
      </c>
      <c r="R53" s="184">
        <v>0.62903411251735697</v>
      </c>
      <c r="S53" s="184">
        <v>0.5286756927154016</v>
      </c>
      <c r="T53" s="184">
        <v>0.57965213384783731</v>
      </c>
      <c r="U53" s="184">
        <v>0.5274962260081949</v>
      </c>
      <c r="V53" s="184">
        <v>0.48948226486984875</v>
      </c>
      <c r="W53" s="184">
        <v>0.48908628584930075</v>
      </c>
      <c r="X53" s="184">
        <v>0.51987871662386687</v>
      </c>
      <c r="Y53" s="184">
        <v>0.50419906374942236</v>
      </c>
      <c r="Z53" s="184">
        <v>0.57168008048289742</v>
      </c>
      <c r="AA53" s="184">
        <v>0.58582134550779563</v>
      </c>
      <c r="AB53" s="184">
        <v>0.58791971965594136</v>
      </c>
      <c r="AC53" s="184">
        <v>0.56885036901879593</v>
      </c>
      <c r="AD53" s="184">
        <v>0.51903897063350368</v>
      </c>
      <c r="AE53" s="184">
        <v>0.65522842639593903</v>
      </c>
      <c r="AF53" s="184">
        <v>0.58140770707624789</v>
      </c>
      <c r="AG53" s="184">
        <v>0.54156289065109309</v>
      </c>
      <c r="AH53" s="35">
        <v>0.56100000000000005</v>
      </c>
      <c r="AI53" s="35">
        <v>0.55900000000000005</v>
      </c>
      <c r="AJ53" s="35">
        <v>0.51</v>
      </c>
      <c r="AK53" s="35">
        <v>0.51700000000000002</v>
      </c>
      <c r="AL53" s="35">
        <v>0.56399999999999995</v>
      </c>
      <c r="AM53" s="35">
        <v>0.53900000000000003</v>
      </c>
      <c r="AN53" s="35">
        <v>0.51100000000000001</v>
      </c>
      <c r="AO53" s="35">
        <v>0.55300000000000005</v>
      </c>
      <c r="AP53" s="184"/>
      <c r="AQ53" s="184">
        <v>0.57751814972031579</v>
      </c>
      <c r="AR53" s="184">
        <v>0.55989531052289399</v>
      </c>
      <c r="AS53" s="160">
        <v>3.4533988285269657</v>
      </c>
      <c r="AT53" s="755"/>
      <c r="AU53" s="725"/>
      <c r="AV53" s="184">
        <v>0.58908180491106743</v>
      </c>
      <c r="AW53" s="184">
        <v>0.55454781662579777</v>
      </c>
      <c r="AX53" s="184">
        <v>0.60593531263342537</v>
      </c>
      <c r="AY53" s="184">
        <v>0.56823043989321964</v>
      </c>
      <c r="AZ53" s="184">
        <v>0.49699244770200729</v>
      </c>
      <c r="BA53" s="184">
        <v>0.57903553215717984</v>
      </c>
      <c r="BB53" s="35">
        <v>0.56485103713345186</v>
      </c>
      <c r="BC53" s="35">
        <v>0.53407685072351629</v>
      </c>
      <c r="BD53" s="35">
        <v>0.54400000000000004</v>
      </c>
      <c r="BE53" s="305">
        <v>0.55200000000000005</v>
      </c>
      <c r="BF53" s="305">
        <v>0.59099999999999997</v>
      </c>
      <c r="BG53" s="305">
        <v>0.627</v>
      </c>
      <c r="BH53" s="722"/>
      <c r="BJ53" s="722"/>
      <c r="BK53" s="722"/>
      <c r="BL53" s="722"/>
      <c r="BM53" s="722"/>
    </row>
    <row r="54" spans="1:65" ht="12.75" customHeight="1" x14ac:dyDescent="0.2">
      <c r="A54" s="727" t="s">
        <v>80</v>
      </c>
      <c r="B54" s="144"/>
      <c r="C54" s="160">
        <v>24.196383845013852</v>
      </c>
      <c r="D54" s="755"/>
      <c r="E54" s="755"/>
      <c r="F54" s="184">
        <v>0.50437636075016157</v>
      </c>
      <c r="G54" s="184">
        <v>0.57935224231220994</v>
      </c>
      <c r="H54" s="184">
        <v>0.276980335843859</v>
      </c>
      <c r="I54" s="184">
        <v>0.28048202181371867</v>
      </c>
      <c r="J54" s="184">
        <v>0.26141252230002304</v>
      </c>
      <c r="K54" s="184">
        <v>0.26392538864945048</v>
      </c>
      <c r="L54" s="184">
        <v>0.40769273271187378</v>
      </c>
      <c r="M54" s="184">
        <v>0.3485968629483408</v>
      </c>
      <c r="N54" s="184">
        <v>0.31023980986642596</v>
      </c>
      <c r="O54" s="184">
        <v>0.32202264150943394</v>
      </c>
      <c r="P54" s="184">
        <v>0.42322038131712597</v>
      </c>
      <c r="Q54" s="184">
        <v>0.53357814829073746</v>
      </c>
      <c r="R54" s="184">
        <v>0.60033431505213719</v>
      </c>
      <c r="S54" s="184">
        <v>0.35996623246171766</v>
      </c>
      <c r="T54" s="184">
        <v>0.45720785578529055</v>
      </c>
      <c r="U54" s="184">
        <v>0.30402456432217051</v>
      </c>
      <c r="V54" s="184">
        <v>0.17368154313034664</v>
      </c>
      <c r="W54" s="184">
        <v>0.17640274980591591</v>
      </c>
      <c r="X54" s="184">
        <v>0.28057093943050443</v>
      </c>
      <c r="Y54" s="184">
        <v>0.36539891105619515</v>
      </c>
      <c r="Z54" s="184">
        <v>0.28268420044073966</v>
      </c>
      <c r="AA54" s="184">
        <v>0.17315875613747955</v>
      </c>
      <c r="AB54" s="184">
        <v>0.22785600509716469</v>
      </c>
      <c r="AC54" s="184">
        <v>0.23973940606103139</v>
      </c>
      <c r="AD54" s="184">
        <v>0.32039955673213077</v>
      </c>
      <c r="AE54" s="184">
        <v>1.2893401015228427</v>
      </c>
      <c r="AF54" s="184">
        <v>0.50111423477783867</v>
      </c>
      <c r="AG54" s="184">
        <v>0.26975084213640221</v>
      </c>
      <c r="AH54" s="35">
        <v>0.40299999999999991</v>
      </c>
      <c r="AI54" s="35">
        <v>0.23899999999999999</v>
      </c>
      <c r="AJ54" s="35">
        <v>0.32199999999999995</v>
      </c>
      <c r="AK54" s="35">
        <v>0.16900000000000004</v>
      </c>
      <c r="AL54" s="35">
        <v>0.21100000000000008</v>
      </c>
      <c r="AM54" s="35">
        <v>0.20399999999999996</v>
      </c>
      <c r="AN54" s="35">
        <v>0.249</v>
      </c>
      <c r="AO54" s="35">
        <v>0.17899999999999994</v>
      </c>
      <c r="AP54" s="184"/>
      <c r="AQ54" s="184">
        <v>0.3475820208672194</v>
      </c>
      <c r="AR54" s="184">
        <v>0.33225751577024265</v>
      </c>
      <c r="AS54" s="160">
        <v>7.7558415080318577</v>
      </c>
      <c r="AT54" s="755"/>
      <c r="AU54" s="725"/>
      <c r="AV54" s="184">
        <v>0.38834131184707349</v>
      </c>
      <c r="AW54" s="184">
        <v>0.31078289676675491</v>
      </c>
      <c r="AX54" s="184">
        <v>0.38074572161032694</v>
      </c>
      <c r="AY54" s="184">
        <v>0.43623302104279515</v>
      </c>
      <c r="AZ54" s="184">
        <v>0.22905666822613824</v>
      </c>
      <c r="BA54" s="184">
        <v>0.22577690492301092</v>
      </c>
      <c r="BB54" s="35">
        <v>0.51133040803891094</v>
      </c>
      <c r="BC54" s="35">
        <v>0.26071837309622325</v>
      </c>
      <c r="BD54" s="35">
        <v>0.20899999999999996</v>
      </c>
      <c r="BE54" s="305">
        <v>0.1419999999999999</v>
      </c>
      <c r="BF54" s="305">
        <v>0.13400000000000001</v>
      </c>
      <c r="BG54" s="305">
        <v>0.10299999999999998</v>
      </c>
      <c r="BH54" s="722"/>
      <c r="BJ54" s="722"/>
      <c r="BK54" s="722"/>
      <c r="BL54" s="722"/>
      <c r="BM54" s="722"/>
    </row>
    <row r="55" spans="1:65" ht="12.75" customHeight="1" x14ac:dyDescent="0.2">
      <c r="A55" s="727" t="s">
        <v>81</v>
      </c>
      <c r="B55" s="727"/>
      <c r="C55" s="160">
        <v>32.286111554395603</v>
      </c>
      <c r="D55" s="755"/>
      <c r="E55" s="755"/>
      <c r="F55" s="184">
        <v>1.1263780046304721</v>
      </c>
      <c r="G55" s="184">
        <v>1.2324244699901796</v>
      </c>
      <c r="H55" s="184">
        <v>0.83204290361339861</v>
      </c>
      <c r="I55" s="184">
        <v>0.83559374041116907</v>
      </c>
      <c r="J55" s="184">
        <v>0.80251688908651608</v>
      </c>
      <c r="K55" s="184">
        <v>0.82442739175631008</v>
      </c>
      <c r="L55" s="184">
        <v>0.985736950533187</v>
      </c>
      <c r="M55" s="184">
        <v>0.89181135009069712</v>
      </c>
      <c r="N55" s="184">
        <v>0.91897894114820422</v>
      </c>
      <c r="O55" s="184">
        <v>0.87667320754716982</v>
      </c>
      <c r="P55" s="184">
        <v>1.0497294147031888</v>
      </c>
      <c r="Q55" s="184">
        <v>1.194706863703221</v>
      </c>
      <c r="R55" s="184">
        <v>1.2293684275694943</v>
      </c>
      <c r="S55" s="184">
        <v>0.88864192517711926</v>
      </c>
      <c r="T55" s="184">
        <v>1.0368599896331279</v>
      </c>
      <c r="U55" s="184">
        <v>0.83152079033036552</v>
      </c>
      <c r="V55" s="184">
        <v>0.66316380800019537</v>
      </c>
      <c r="W55" s="184">
        <v>0.66548903565521667</v>
      </c>
      <c r="X55" s="184">
        <v>0.80044965605437124</v>
      </c>
      <c r="Y55" s="184">
        <v>0.86959797480561751</v>
      </c>
      <c r="Z55" s="184">
        <v>0.85436428092363703</v>
      </c>
      <c r="AA55" s="184">
        <v>0.75898010164527518</v>
      </c>
      <c r="AB55" s="184">
        <v>0.81577572475310611</v>
      </c>
      <c r="AC55" s="184">
        <v>0.80858977507982732</v>
      </c>
      <c r="AD55" s="184">
        <v>0.8394385273656344</v>
      </c>
      <c r="AE55" s="184">
        <v>1.9445685279187817</v>
      </c>
      <c r="AF55" s="184">
        <v>1.0825219418540866</v>
      </c>
      <c r="AG55" s="184">
        <v>0.8113137327874953</v>
      </c>
      <c r="AH55" s="35">
        <v>0.96399999999999997</v>
      </c>
      <c r="AI55" s="35">
        <v>0.79800000000000004</v>
      </c>
      <c r="AJ55" s="35">
        <v>0.83199999999999996</v>
      </c>
      <c r="AK55" s="35">
        <v>0.68600000000000005</v>
      </c>
      <c r="AL55" s="35">
        <v>0.77500000000000002</v>
      </c>
      <c r="AM55" s="35">
        <v>0.74299999999999999</v>
      </c>
      <c r="AN55" s="35">
        <v>0.76</v>
      </c>
      <c r="AO55" s="35">
        <v>0.73199999999999998</v>
      </c>
      <c r="AP55" s="184"/>
      <c r="AQ55" s="184">
        <v>0.92510017058753524</v>
      </c>
      <c r="AR55" s="184">
        <v>0.89265282629313658</v>
      </c>
      <c r="AS55" s="160">
        <v>11.209240336558835</v>
      </c>
      <c r="AT55" s="755"/>
      <c r="AU55" s="725"/>
      <c r="AV55" s="184">
        <v>0.97742311675814098</v>
      </c>
      <c r="AW55" s="184">
        <v>0.86533071339255263</v>
      </c>
      <c r="AX55" s="184">
        <v>0.9866810342437522</v>
      </c>
      <c r="AY55" s="184">
        <v>1.0044634609360148</v>
      </c>
      <c r="AZ55" s="184">
        <v>0.72604911592814547</v>
      </c>
      <c r="BA55" s="184">
        <v>0.80481243708019079</v>
      </c>
      <c r="BB55" s="35">
        <v>1.0761814451723628</v>
      </c>
      <c r="BC55" s="35">
        <v>0.79479522381973955</v>
      </c>
      <c r="BD55" s="35">
        <v>0.753</v>
      </c>
      <c r="BE55" s="305">
        <v>0.69399999999999995</v>
      </c>
      <c r="BF55" s="305">
        <v>0.72499999999999998</v>
      </c>
      <c r="BG55" s="305">
        <v>0.73</v>
      </c>
      <c r="BH55" s="722"/>
      <c r="BJ55" s="722"/>
      <c r="BK55" s="722"/>
      <c r="BL55" s="722"/>
      <c r="BM55" s="722"/>
    </row>
    <row r="56" spans="1:65" ht="12.75" customHeight="1" x14ac:dyDescent="0.2">
      <c r="A56" s="727" t="s">
        <v>187</v>
      </c>
      <c r="B56" s="727"/>
      <c r="C56" s="160">
        <v>-32.386111554395598</v>
      </c>
      <c r="D56" s="755"/>
      <c r="E56" s="755"/>
      <c r="F56" s="184">
        <v>-0.12637800463047202</v>
      </c>
      <c r="G56" s="184">
        <v>-0.23242446999017966</v>
      </c>
      <c r="H56" s="184">
        <v>0.16795709638660142</v>
      </c>
      <c r="I56" s="184">
        <v>0.16440625958883093</v>
      </c>
      <c r="J56" s="184">
        <v>0.19748311091348394</v>
      </c>
      <c r="K56" s="184">
        <v>0.17557260824368992</v>
      </c>
      <c r="L56" s="184">
        <v>1.4263049466812954E-2</v>
      </c>
      <c r="M56" s="184">
        <v>0.10818864990930292</v>
      </c>
      <c r="N56" s="184">
        <v>8.1021058851795807E-2</v>
      </c>
      <c r="O56" s="184">
        <v>0.12332679245283019</v>
      </c>
      <c r="P56" s="184">
        <v>-4.9729414703188743E-2</v>
      </c>
      <c r="Q56" s="184">
        <v>-0.1947068637032211</v>
      </c>
      <c r="R56" s="184">
        <v>-0.22936842756949419</v>
      </c>
      <c r="S56" s="184">
        <v>0.11135807482288071</v>
      </c>
      <c r="T56" s="184">
        <v>-3.6859989633127914E-2</v>
      </c>
      <c r="U56" s="184">
        <v>0.16847920966963451</v>
      </c>
      <c r="V56" s="184">
        <v>0.33683619199980458</v>
      </c>
      <c r="W56" s="184">
        <v>0.33451096434478333</v>
      </c>
      <c r="X56" s="184">
        <v>0.19955034394562873</v>
      </c>
      <c r="Y56" s="184">
        <v>0.13040202519438249</v>
      </c>
      <c r="Z56" s="184">
        <v>0.14563571907636294</v>
      </c>
      <c r="AA56" s="184">
        <v>0.24101989835472479</v>
      </c>
      <c r="AB56" s="184">
        <v>0.18422427524689391</v>
      </c>
      <c r="AC56" s="184">
        <v>0.19141022492017265</v>
      </c>
      <c r="AD56" s="184">
        <v>0.16056147263436557</v>
      </c>
      <c r="AE56" s="184">
        <v>-0.94456852791878176</v>
      </c>
      <c r="AF56" s="184">
        <v>-8.2521941854086664E-2</v>
      </c>
      <c r="AG56" s="184">
        <v>0.18868626721250464</v>
      </c>
      <c r="AH56" s="35">
        <v>3.6000000000000032E-2</v>
      </c>
      <c r="AI56" s="35">
        <v>0.20199999999999996</v>
      </c>
      <c r="AJ56" s="35">
        <v>0.16800000000000004</v>
      </c>
      <c r="AK56" s="35">
        <v>0.31399999999999995</v>
      </c>
      <c r="AL56" s="35">
        <v>0.22500000000000001</v>
      </c>
      <c r="AM56" s="35">
        <v>0.25700000000000001</v>
      </c>
      <c r="AN56" s="35">
        <v>0.24</v>
      </c>
      <c r="AO56" s="35">
        <v>0.26800000000000002</v>
      </c>
      <c r="AP56" s="184"/>
      <c r="AQ56" s="184">
        <v>7.4899829412464786E-2</v>
      </c>
      <c r="AR56" s="184">
        <v>0.10734717370686341</v>
      </c>
      <c r="AS56" s="160">
        <v>-11.209240336558828</v>
      </c>
      <c r="AT56" s="755"/>
      <c r="AU56" s="725"/>
      <c r="AV56" s="184">
        <v>2.2576883241859063E-2</v>
      </c>
      <c r="AW56" s="184">
        <v>0.13466928660744734</v>
      </c>
      <c r="AX56" s="184">
        <v>1.3318965756247771E-2</v>
      </c>
      <c r="AY56" s="184">
        <v>-4.4634609360148011E-3</v>
      </c>
      <c r="AZ56" s="184">
        <v>0.27395088407185453</v>
      </c>
      <c r="BA56" s="184">
        <v>0.19518756291980921</v>
      </c>
      <c r="BB56" s="35">
        <v>-7.6181445172362819E-2</v>
      </c>
      <c r="BC56" s="35">
        <v>0.20520477618026051</v>
      </c>
      <c r="BD56" s="35">
        <v>0.247</v>
      </c>
      <c r="BE56" s="305">
        <v>0.30600000000000005</v>
      </c>
      <c r="BF56" s="305">
        <v>0.27500000000000002</v>
      </c>
      <c r="BG56" s="305">
        <v>0.27</v>
      </c>
      <c r="BH56" s="722"/>
      <c r="BJ56" s="722"/>
      <c r="BK56" s="722"/>
      <c r="BL56" s="722"/>
      <c r="BM56" s="722"/>
    </row>
    <row r="57" spans="1:65" ht="12.75" customHeight="1" x14ac:dyDescent="0.2">
      <c r="A57" s="727" t="s">
        <v>82</v>
      </c>
      <c r="B57" s="727"/>
      <c r="C57" s="160">
        <v>-33.142236382631133</v>
      </c>
      <c r="D57" s="755"/>
      <c r="E57" s="755"/>
      <c r="F57" s="528">
        <v>-0.14596653260467188</v>
      </c>
      <c r="G57" s="528">
        <v>-0.25839061868176305</v>
      </c>
      <c r="H57" s="528">
        <v>0.14807607771884065</v>
      </c>
      <c r="I57" s="528">
        <v>0.14934865686630031</v>
      </c>
      <c r="J57" s="528">
        <v>0.18545583122163947</v>
      </c>
      <c r="K57" s="528">
        <v>0.16298165084037047</v>
      </c>
      <c r="L57" s="528">
        <v>-2.052237333354382E-4</v>
      </c>
      <c r="M57" s="528">
        <v>9.0636098958889078E-2</v>
      </c>
      <c r="N57" s="528">
        <v>7.7709306025442057E-2</v>
      </c>
      <c r="O57" s="528">
        <v>0.11820679245283019</v>
      </c>
      <c r="P57" s="528">
        <v>-5.3925568229123304E-2</v>
      </c>
      <c r="Q57" s="528">
        <v>-0.21152802045389482</v>
      </c>
      <c r="R57" s="528">
        <v>-0.25684770976500659</v>
      </c>
      <c r="S57" s="528">
        <v>8.341436830125773E-2</v>
      </c>
      <c r="T57" s="528">
        <v>-8.1552727063295513E-2</v>
      </c>
      <c r="U57" s="528">
        <v>0.13725006931821682</v>
      </c>
      <c r="V57" s="528">
        <v>0.32127177583332822</v>
      </c>
      <c r="W57" s="528">
        <v>0.31913050326848863</v>
      </c>
      <c r="X57" s="528">
        <v>0.16960077555356168</v>
      </c>
      <c r="Y57" s="528">
        <v>0.10311815643019308</v>
      </c>
      <c r="Z57" s="528">
        <v>0.11329884066302577</v>
      </c>
      <c r="AA57" s="528">
        <v>0.22059608924110605</v>
      </c>
      <c r="AB57" s="528">
        <v>0.15630455559095252</v>
      </c>
      <c r="AC57" s="528" t="s">
        <v>186</v>
      </c>
      <c r="AD57" s="528" t="s">
        <v>186</v>
      </c>
      <c r="AE57" s="528" t="s">
        <v>186</v>
      </c>
      <c r="AF57" s="528" t="s">
        <v>186</v>
      </c>
      <c r="AG57" s="528" t="s">
        <v>186</v>
      </c>
      <c r="AH57" s="528" t="s">
        <v>186</v>
      </c>
      <c r="AI57" s="755" t="s">
        <v>186</v>
      </c>
      <c r="AJ57" s="755" t="s">
        <v>186</v>
      </c>
      <c r="AK57" s="755"/>
      <c r="AL57" s="755"/>
      <c r="AM57" s="755"/>
      <c r="AN57" s="755"/>
      <c r="AO57" s="755"/>
      <c r="AP57" s="528"/>
      <c r="AQ57" s="528">
        <v>5.5531311849001383E-2</v>
      </c>
      <c r="AR57" s="528">
        <v>9.2684984305491797E-2</v>
      </c>
      <c r="AS57" s="160">
        <v>-11.765462105612974</v>
      </c>
      <c r="AT57" s="755"/>
      <c r="AU57" s="240"/>
      <c r="AV57" s="528">
        <v>3.1511731269521534E-3</v>
      </c>
      <c r="AW57" s="528">
        <v>0.12080579418308189</v>
      </c>
      <c r="AX57" s="528">
        <v>6.7278705735139997E-3</v>
      </c>
      <c r="AY57" s="528">
        <v>-3.6237840616691254E-2</v>
      </c>
      <c r="AZ57" s="528">
        <v>0.25370931450085771</v>
      </c>
      <c r="BA57" s="528">
        <v>0.16885613849784628</v>
      </c>
      <c r="BB57" s="755" t="s">
        <v>186</v>
      </c>
      <c r="BC57" s="755" t="s">
        <v>186</v>
      </c>
      <c r="BD57" s="755" t="s">
        <v>186</v>
      </c>
      <c r="BE57" s="755" t="s">
        <v>186</v>
      </c>
      <c r="BF57" s="503" t="s">
        <v>186</v>
      </c>
      <c r="BG57" s="305"/>
      <c r="BH57" s="722"/>
      <c r="BJ57" s="722"/>
      <c r="BK57" s="722"/>
      <c r="BL57" s="722"/>
      <c r="BM57" s="722"/>
    </row>
    <row r="58" spans="1:65" ht="12.75" customHeight="1" x14ac:dyDescent="0.2">
      <c r="A58" s="144"/>
      <c r="B58" s="144"/>
      <c r="C58" s="160"/>
      <c r="D58" s="755"/>
      <c r="E58" s="755"/>
      <c r="F58" s="755"/>
      <c r="G58" s="755"/>
      <c r="H58" s="755"/>
      <c r="I58" s="755"/>
      <c r="J58" s="755"/>
      <c r="K58" s="755"/>
      <c r="L58" s="755"/>
      <c r="M58" s="755"/>
      <c r="N58" s="755"/>
      <c r="O58" s="755"/>
      <c r="P58" s="755"/>
      <c r="Q58" s="755"/>
      <c r="R58" s="755"/>
      <c r="S58" s="755"/>
      <c r="T58" s="755"/>
      <c r="U58" s="755"/>
      <c r="V58" s="755"/>
      <c r="W58" s="755"/>
      <c r="X58" s="755"/>
      <c r="Y58" s="755"/>
      <c r="Z58" s="755"/>
      <c r="AA58" s="755"/>
      <c r="AB58" s="755"/>
      <c r="AC58" s="755"/>
      <c r="AD58" s="755"/>
      <c r="AE58" s="755"/>
      <c r="AF58" s="755"/>
      <c r="AG58" s="184"/>
      <c r="AH58" s="184"/>
      <c r="AI58" s="724"/>
      <c r="AJ58" s="724"/>
      <c r="AK58" s="724"/>
      <c r="AL58" s="184"/>
      <c r="AM58" s="184"/>
      <c r="AN58" s="184"/>
      <c r="AO58" s="184"/>
      <c r="AP58" s="725"/>
      <c r="AQ58" s="725"/>
      <c r="AR58" s="725"/>
      <c r="AS58" s="754"/>
      <c r="AT58" s="755"/>
      <c r="AU58" s="725"/>
      <c r="AV58" s="35"/>
      <c r="AW58" s="35"/>
      <c r="AX58" s="35"/>
      <c r="AY58" s="35"/>
      <c r="AZ58" s="35"/>
      <c r="BA58" s="35"/>
      <c r="BB58" s="35"/>
      <c r="BC58" s="35"/>
      <c r="BD58" s="11"/>
      <c r="BE58" s="306"/>
      <c r="BF58" s="306"/>
      <c r="BG58" s="306"/>
      <c r="BH58" s="722"/>
      <c r="BJ58" s="722"/>
      <c r="BK58" s="722"/>
      <c r="BL58" s="722"/>
      <c r="BM58" s="722"/>
    </row>
    <row r="59" spans="1:65" ht="12.75" customHeight="1" x14ac:dyDescent="0.2">
      <c r="A59" s="144" t="s">
        <v>94</v>
      </c>
      <c r="B59" s="144"/>
      <c r="C59" s="165">
        <v>-73</v>
      </c>
      <c r="D59" s="755">
        <v>-7.4948665297741274E-2</v>
      </c>
      <c r="F59" s="618">
        <v>901</v>
      </c>
      <c r="G59" s="618">
        <v>973</v>
      </c>
      <c r="H59" s="618">
        <v>986</v>
      </c>
      <c r="I59" s="618">
        <v>979</v>
      </c>
      <c r="J59" s="618">
        <v>974</v>
      </c>
      <c r="K59" s="618">
        <v>956</v>
      </c>
      <c r="L59" s="618">
        <v>975</v>
      </c>
      <c r="M59" s="618">
        <v>971</v>
      </c>
      <c r="N59" s="618">
        <v>973</v>
      </c>
      <c r="O59" s="618">
        <v>1006</v>
      </c>
      <c r="P59" s="618">
        <v>993</v>
      </c>
      <c r="Q59" s="618">
        <v>1063</v>
      </c>
      <c r="R59" s="618">
        <v>1090</v>
      </c>
      <c r="S59" s="618">
        <v>650</v>
      </c>
      <c r="T59" s="618">
        <v>640</v>
      </c>
      <c r="U59" s="618">
        <v>636</v>
      </c>
      <c r="V59" s="618">
        <v>627</v>
      </c>
      <c r="W59" s="618">
        <v>592</v>
      </c>
      <c r="X59" s="618">
        <v>597</v>
      </c>
      <c r="Y59" s="618">
        <v>580</v>
      </c>
      <c r="Z59" s="618">
        <v>505</v>
      </c>
      <c r="AA59" s="618">
        <v>503</v>
      </c>
      <c r="AB59" s="618">
        <v>482</v>
      </c>
      <c r="AC59" s="618">
        <v>474</v>
      </c>
      <c r="AD59" s="618">
        <v>474</v>
      </c>
      <c r="AE59" s="618">
        <v>480</v>
      </c>
      <c r="AF59" s="618">
        <v>551</v>
      </c>
      <c r="AG59" s="618">
        <v>545</v>
      </c>
      <c r="AH59" s="618">
        <v>541</v>
      </c>
      <c r="AI59" s="726">
        <v>531</v>
      </c>
      <c r="AJ59" s="726">
        <v>535</v>
      </c>
      <c r="AK59" s="726">
        <v>534</v>
      </c>
      <c r="AL59" s="618">
        <v>502</v>
      </c>
      <c r="AM59" s="618">
        <v>502</v>
      </c>
      <c r="AN59" s="618">
        <v>494</v>
      </c>
      <c r="AO59" s="618">
        <v>481</v>
      </c>
      <c r="AP59" s="7"/>
      <c r="AQ59" s="618">
        <v>973</v>
      </c>
      <c r="AR59" s="618">
        <v>956</v>
      </c>
      <c r="AS59" s="754">
        <v>-73</v>
      </c>
      <c r="AT59" s="755">
        <v>-7.4948665297741274E-2</v>
      </c>
      <c r="AU59" s="725"/>
      <c r="AV59" s="618">
        <v>901</v>
      </c>
      <c r="AW59" s="618">
        <v>974</v>
      </c>
      <c r="AX59" s="165">
        <v>973</v>
      </c>
      <c r="AY59" s="165">
        <v>1090</v>
      </c>
      <c r="AZ59" s="165">
        <v>627</v>
      </c>
      <c r="BA59" s="165">
        <v>505</v>
      </c>
      <c r="BB59" s="165">
        <v>474</v>
      </c>
      <c r="BC59" s="165">
        <v>541</v>
      </c>
      <c r="BD59" s="165">
        <v>502</v>
      </c>
      <c r="BE59" s="299">
        <v>464</v>
      </c>
      <c r="BF59" s="299">
        <v>279</v>
      </c>
      <c r="BG59" s="299">
        <v>237</v>
      </c>
      <c r="BH59" s="722"/>
      <c r="BJ59" s="722"/>
      <c r="BK59" s="722"/>
      <c r="BL59" s="722"/>
      <c r="BM59" s="722"/>
    </row>
    <row r="60" spans="1:65" ht="12.75" customHeight="1" x14ac:dyDescent="0.2">
      <c r="A60" s="7"/>
      <c r="B60" s="7"/>
      <c r="C60" s="205"/>
      <c r="D60" s="11"/>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5"/>
      <c r="AG60" s="725"/>
      <c r="AH60" s="725"/>
      <c r="AI60" s="725"/>
      <c r="AJ60" s="725"/>
      <c r="AK60" s="725"/>
      <c r="AL60" s="725"/>
      <c r="AM60" s="725"/>
      <c r="AN60" s="725"/>
      <c r="AO60" s="725"/>
      <c r="AP60" s="725"/>
      <c r="AQ60" s="725"/>
      <c r="AR60" s="725"/>
      <c r="AS60" s="725"/>
      <c r="AT60" s="725"/>
      <c r="AU60" s="725"/>
      <c r="AV60" s="725"/>
      <c r="AW60" s="725"/>
      <c r="AX60" s="725"/>
      <c r="AY60" s="725"/>
      <c r="AZ60" s="725"/>
      <c r="BA60" s="725"/>
      <c r="BB60" s="725"/>
      <c r="BC60" s="725"/>
      <c r="BD60" s="725"/>
      <c r="BE60" s="299"/>
      <c r="BF60" s="299"/>
      <c r="BG60" s="299"/>
      <c r="BH60" s="722"/>
      <c r="BJ60" s="722"/>
      <c r="BK60" s="722"/>
      <c r="BL60" s="722"/>
      <c r="BM60" s="722"/>
    </row>
    <row r="61" spans="1:65" ht="18" customHeight="1" x14ac:dyDescent="0.2">
      <c r="A61" s="12" t="s">
        <v>268</v>
      </c>
      <c r="B61" s="7"/>
      <c r="C61" s="724"/>
      <c r="D61" s="724"/>
      <c r="E61" s="725"/>
      <c r="F61" s="725"/>
      <c r="G61" s="725"/>
      <c r="H61" s="725"/>
      <c r="I61" s="725"/>
      <c r="J61" s="725"/>
      <c r="K61" s="725"/>
      <c r="L61" s="725"/>
      <c r="M61" s="725"/>
      <c r="N61" s="725"/>
      <c r="O61" s="725"/>
      <c r="P61" s="725"/>
      <c r="Q61" s="725"/>
      <c r="R61" s="725"/>
      <c r="S61" s="725"/>
      <c r="T61" s="725"/>
      <c r="U61" s="725"/>
      <c r="V61" s="725"/>
      <c r="W61" s="725"/>
      <c r="X61" s="725"/>
      <c r="Y61" s="725"/>
      <c r="Z61" s="725"/>
      <c r="AA61" s="725"/>
      <c r="AB61" s="725"/>
      <c r="AC61" s="725"/>
      <c r="AD61" s="725"/>
      <c r="AE61" s="725"/>
      <c r="AF61" s="725"/>
      <c r="AG61" s="725"/>
      <c r="AH61" s="725"/>
      <c r="AI61" s="725"/>
      <c r="AJ61" s="724"/>
      <c r="AK61" s="724"/>
      <c r="AL61" s="724"/>
      <c r="AM61" s="724"/>
      <c r="AN61" s="724"/>
      <c r="AO61" s="724"/>
      <c r="AP61" s="724"/>
      <c r="AQ61" s="724"/>
      <c r="AR61" s="724"/>
      <c r="AS61" s="725"/>
      <c r="AT61" s="725"/>
      <c r="AU61" s="724"/>
      <c r="AV61" s="678"/>
      <c r="AW61" s="678"/>
      <c r="AX61" s="678"/>
      <c r="AY61" s="678"/>
      <c r="AZ61" s="724"/>
      <c r="BA61" s="724"/>
      <c r="BB61" s="724"/>
      <c r="BC61" s="724"/>
      <c r="BD61" s="724"/>
      <c r="BE61" s="304"/>
      <c r="BF61" s="304"/>
      <c r="BG61" s="304"/>
      <c r="BH61" s="722"/>
      <c r="BJ61" s="722"/>
      <c r="BK61" s="722"/>
      <c r="BL61" s="722"/>
      <c r="BM61" s="722"/>
    </row>
    <row r="62" spans="1:65" ht="12.75" customHeight="1" x14ac:dyDescent="0.2">
      <c r="A62" s="190"/>
      <c r="B62" s="7"/>
      <c r="C62" s="724"/>
      <c r="D62" s="724"/>
      <c r="E62" s="725"/>
      <c r="F62" s="725"/>
      <c r="G62" s="725"/>
      <c r="H62" s="725"/>
      <c r="I62" s="725"/>
      <c r="J62" s="725"/>
      <c r="K62" s="725"/>
      <c r="L62" s="725"/>
      <c r="M62" s="725"/>
      <c r="N62" s="725"/>
      <c r="O62" s="725"/>
      <c r="P62" s="725"/>
      <c r="Q62" s="725"/>
      <c r="R62" s="401"/>
      <c r="S62" s="725"/>
      <c r="T62" s="725"/>
      <c r="U62" s="725"/>
      <c r="V62" s="401"/>
      <c r="W62" s="725"/>
      <c r="X62" s="401"/>
      <c r="Y62" s="725"/>
      <c r="Z62" s="401"/>
      <c r="AA62" s="725"/>
      <c r="AB62" s="401"/>
      <c r="AC62" s="725"/>
      <c r="AD62" s="401"/>
      <c r="AE62" s="725"/>
      <c r="AF62" s="725"/>
      <c r="AG62" s="725"/>
      <c r="AH62" s="725"/>
      <c r="AI62" s="725"/>
      <c r="AJ62" s="724"/>
      <c r="AK62" s="724"/>
      <c r="AL62" s="724"/>
      <c r="AM62" s="724"/>
      <c r="AN62" s="724"/>
      <c r="AO62" s="724"/>
      <c r="AP62" s="724"/>
      <c r="AQ62" s="724"/>
      <c r="AR62" s="724"/>
      <c r="AS62" s="725"/>
      <c r="AT62" s="725"/>
      <c r="AU62" s="724"/>
      <c r="AV62" s="724"/>
      <c r="AW62" s="724"/>
      <c r="AX62" s="724"/>
      <c r="AY62" s="724"/>
      <c r="AZ62" s="724"/>
      <c r="BA62" s="724"/>
      <c r="BB62" s="724"/>
      <c r="BC62" s="724"/>
      <c r="BD62" s="724"/>
      <c r="BE62" s="304"/>
      <c r="BF62" s="304"/>
      <c r="BG62" s="304"/>
      <c r="BH62" s="722"/>
      <c r="BJ62" s="722"/>
      <c r="BK62" s="722"/>
      <c r="BL62" s="722"/>
      <c r="BM62" s="722"/>
    </row>
    <row r="63" spans="1:65" ht="12.75" customHeight="1" x14ac:dyDescent="0.2">
      <c r="A63" s="6"/>
      <c r="B63" s="7"/>
      <c r="C63" s="1479" t="s">
        <v>447</v>
      </c>
      <c r="D63" s="1480"/>
      <c r="E63" s="256"/>
      <c r="F63" s="410"/>
      <c r="G63" s="410"/>
      <c r="H63" s="410"/>
      <c r="I63" s="19"/>
      <c r="J63" s="410"/>
      <c r="K63" s="410"/>
      <c r="L63" s="410"/>
      <c r="M63" s="19"/>
      <c r="N63" s="410"/>
      <c r="O63" s="410"/>
      <c r="P63" s="410"/>
      <c r="Q63" s="19"/>
      <c r="R63" s="17"/>
      <c r="S63" s="18"/>
      <c r="T63" s="410"/>
      <c r="U63" s="19"/>
      <c r="V63" s="17"/>
      <c r="W63" s="18"/>
      <c r="X63" s="410"/>
      <c r="Y63" s="19"/>
      <c r="AA63" s="18"/>
      <c r="AB63" s="2"/>
      <c r="AC63" s="19"/>
      <c r="AD63" s="18"/>
      <c r="AF63" s="410"/>
      <c r="AG63" s="19"/>
      <c r="AH63" s="18"/>
      <c r="AI63" s="18"/>
      <c r="AJ63" s="18"/>
      <c r="AK63" s="18"/>
      <c r="AL63" s="22"/>
      <c r="AM63" s="19"/>
      <c r="AN63" s="19"/>
      <c r="AO63" s="19"/>
      <c r="AP63" s="24"/>
      <c r="AQ63" s="661" t="s">
        <v>340</v>
      </c>
      <c r="AR63" s="647"/>
      <c r="AS63" s="647" t="s">
        <v>432</v>
      </c>
      <c r="AT63" s="648"/>
      <c r="AU63" s="15"/>
      <c r="AV63" s="87"/>
      <c r="AW63" s="87"/>
      <c r="AX63" s="87"/>
      <c r="AY63" s="87"/>
      <c r="AZ63" s="87"/>
      <c r="BA63" s="87"/>
      <c r="BB63" s="87"/>
      <c r="BC63" s="193"/>
      <c r="BD63" s="191"/>
      <c r="BE63" s="87"/>
      <c r="BF63" s="87"/>
      <c r="BG63" s="937"/>
      <c r="BH63" s="25"/>
      <c r="BJ63" s="722"/>
      <c r="BK63" s="722"/>
      <c r="BL63" s="722"/>
      <c r="BM63" s="722"/>
    </row>
    <row r="64" spans="1:65" ht="12.75" customHeight="1" x14ac:dyDescent="0.2">
      <c r="A64" s="6" t="s">
        <v>101</v>
      </c>
      <c r="B64" s="7"/>
      <c r="C64" s="1481" t="s">
        <v>39</v>
      </c>
      <c r="D64" s="1482"/>
      <c r="E64" s="530"/>
      <c r="F64" s="21" t="s">
        <v>425</v>
      </c>
      <c r="G64" s="21" t="s">
        <v>426</v>
      </c>
      <c r="H64" s="21" t="s">
        <v>427</v>
      </c>
      <c r="I64" s="14" t="s">
        <v>428</v>
      </c>
      <c r="J64" s="21" t="s">
        <v>363</v>
      </c>
      <c r="K64" s="21" t="s">
        <v>362</v>
      </c>
      <c r="L64" s="21" t="s">
        <v>361</v>
      </c>
      <c r="M64" s="14" t="s">
        <v>359</v>
      </c>
      <c r="N64" s="21" t="s">
        <v>302</v>
      </c>
      <c r="O64" s="21" t="s">
        <v>303</v>
      </c>
      <c r="P64" s="21" t="s">
        <v>304</v>
      </c>
      <c r="Q64" s="14" t="s">
        <v>305</v>
      </c>
      <c r="R64" s="20" t="s">
        <v>231</v>
      </c>
      <c r="S64" s="21" t="s">
        <v>232</v>
      </c>
      <c r="T64" s="21" t="s">
        <v>233</v>
      </c>
      <c r="U64" s="14" t="s">
        <v>230</v>
      </c>
      <c r="V64" s="20" t="s">
        <v>194</v>
      </c>
      <c r="W64" s="21" t="s">
        <v>195</v>
      </c>
      <c r="X64" s="21" t="s">
        <v>196</v>
      </c>
      <c r="Y64" s="14" t="s">
        <v>197</v>
      </c>
      <c r="Z64" s="21" t="s">
        <v>126</v>
      </c>
      <c r="AA64" s="21" t="s">
        <v>125</v>
      </c>
      <c r="AB64" s="21" t="s">
        <v>124</v>
      </c>
      <c r="AC64" s="14" t="s">
        <v>123</v>
      </c>
      <c r="AD64" s="21" t="s">
        <v>86</v>
      </c>
      <c r="AE64" s="21" t="s">
        <v>87</v>
      </c>
      <c r="AF64" s="21" t="s">
        <v>88</v>
      </c>
      <c r="AG64" s="14" t="s">
        <v>30</v>
      </c>
      <c r="AH64" s="21" t="s">
        <v>31</v>
      </c>
      <c r="AI64" s="21" t="s">
        <v>32</v>
      </c>
      <c r="AJ64" s="21" t="s">
        <v>33</v>
      </c>
      <c r="AK64" s="21" t="s">
        <v>34</v>
      </c>
      <c r="AL64" s="23" t="s">
        <v>35</v>
      </c>
      <c r="AM64" s="14" t="s">
        <v>36</v>
      </c>
      <c r="AN64" s="14" t="s">
        <v>37</v>
      </c>
      <c r="AO64" s="14" t="s">
        <v>38</v>
      </c>
      <c r="AP64" s="256"/>
      <c r="AQ64" s="21" t="s">
        <v>426</v>
      </c>
      <c r="AR64" s="21" t="s">
        <v>362</v>
      </c>
      <c r="AS64" s="1477" t="s">
        <v>39</v>
      </c>
      <c r="AT64" s="1478"/>
      <c r="AU64" s="194"/>
      <c r="AV64" s="20" t="s">
        <v>446</v>
      </c>
      <c r="AW64" s="20" t="s">
        <v>365</v>
      </c>
      <c r="AX64" s="20" t="s">
        <v>307</v>
      </c>
      <c r="AY64" s="20" t="s">
        <v>235</v>
      </c>
      <c r="AZ64" s="20" t="s">
        <v>128</v>
      </c>
      <c r="BA64" s="20" t="s">
        <v>127</v>
      </c>
      <c r="BB64" s="20" t="s">
        <v>43</v>
      </c>
      <c r="BC64" s="20" t="s">
        <v>40</v>
      </c>
      <c r="BD64" s="23" t="s">
        <v>41</v>
      </c>
      <c r="BE64" s="23" t="s">
        <v>146</v>
      </c>
      <c r="BF64" s="23" t="s">
        <v>147</v>
      </c>
      <c r="BG64" s="20" t="s">
        <v>148</v>
      </c>
      <c r="BH64" s="25"/>
      <c r="BJ64" s="722"/>
      <c r="BK64" s="722"/>
      <c r="BL64" s="722"/>
      <c r="BM64" s="722"/>
    </row>
    <row r="65" spans="1:65" ht="12.75" customHeight="1" x14ac:dyDescent="0.2">
      <c r="A65" s="145"/>
      <c r="B65" s="725" t="s">
        <v>4</v>
      </c>
      <c r="C65" s="83">
        <v>-27280</v>
      </c>
      <c r="D65" s="742">
        <v>-0.1461488596853085</v>
      </c>
      <c r="E65" s="88"/>
      <c r="F65" s="399">
        <v>159379</v>
      </c>
      <c r="G65" s="399">
        <v>103866</v>
      </c>
      <c r="H65" s="399">
        <v>170615</v>
      </c>
      <c r="I65" s="619">
        <v>179245</v>
      </c>
      <c r="J65" s="399">
        <v>186659</v>
      </c>
      <c r="K65" s="399">
        <v>171234</v>
      </c>
      <c r="L65" s="399">
        <v>126691</v>
      </c>
      <c r="M65" s="739">
        <v>131206</v>
      </c>
      <c r="N65" s="399">
        <v>153997</v>
      </c>
      <c r="O65" s="399">
        <v>165625</v>
      </c>
      <c r="P65" s="399">
        <v>120110</v>
      </c>
      <c r="Q65" s="739">
        <v>101301</v>
      </c>
      <c r="R65" s="399">
        <v>113067</v>
      </c>
      <c r="S65" s="399">
        <v>93581</v>
      </c>
      <c r="T65" s="399">
        <v>69452</v>
      </c>
      <c r="U65" s="739">
        <v>97377</v>
      </c>
      <c r="V65" s="399">
        <v>163771</v>
      </c>
      <c r="W65" s="399">
        <v>177758</v>
      </c>
      <c r="X65" s="399">
        <v>96963</v>
      </c>
      <c r="Y65" s="739">
        <v>100152</v>
      </c>
      <c r="Z65" s="390">
        <v>83496</v>
      </c>
      <c r="AA65" s="429">
        <v>116090</v>
      </c>
      <c r="AB65" s="399">
        <v>78475</v>
      </c>
      <c r="AC65" s="739">
        <v>85497</v>
      </c>
      <c r="AD65" s="429">
        <v>64972</v>
      </c>
      <c r="AE65" s="429">
        <v>49250</v>
      </c>
      <c r="AF65" s="399">
        <v>58336</v>
      </c>
      <c r="AG65" s="739">
        <v>104793</v>
      </c>
      <c r="AH65" s="209">
        <v>77965</v>
      </c>
      <c r="AI65" s="209">
        <v>109583</v>
      </c>
      <c r="AJ65" s="209">
        <v>89071</v>
      </c>
      <c r="AK65" s="209">
        <v>155023</v>
      </c>
      <c r="AL65" s="221">
        <v>130151</v>
      </c>
      <c r="AM65" s="213">
        <v>101427</v>
      </c>
      <c r="AN65" s="213">
        <v>93033</v>
      </c>
      <c r="AO65" s="222">
        <v>125106</v>
      </c>
      <c r="AP65" s="88"/>
      <c r="AQ65" s="536">
        <v>453726</v>
      </c>
      <c r="AR65" s="536">
        <v>429131</v>
      </c>
      <c r="AS65" s="341">
        <v>-2685</v>
      </c>
      <c r="AT65" s="339">
        <v>-4.360252683544715E-3</v>
      </c>
      <c r="AU65" s="724"/>
      <c r="AV65" s="744">
        <v>613105</v>
      </c>
      <c r="AW65" s="744">
        <v>615790</v>
      </c>
      <c r="AX65" s="744">
        <v>541033</v>
      </c>
      <c r="AY65" s="744">
        <v>373477</v>
      </c>
      <c r="AZ65" s="729">
        <v>538644</v>
      </c>
      <c r="BA65" s="729">
        <v>363558</v>
      </c>
      <c r="BB65" s="729">
        <v>277351</v>
      </c>
      <c r="BC65" s="221">
        <v>431642</v>
      </c>
      <c r="BD65" s="223">
        <v>449717</v>
      </c>
      <c r="BE65" s="307">
        <v>333666</v>
      </c>
      <c r="BF65" s="307">
        <v>239654</v>
      </c>
      <c r="BG65" s="469">
        <v>211758</v>
      </c>
      <c r="BH65" s="25"/>
      <c r="BJ65" s="722"/>
      <c r="BK65" s="722"/>
      <c r="BL65" s="722"/>
      <c r="BM65" s="722"/>
    </row>
    <row r="66" spans="1:65" ht="12.75" customHeight="1" x14ac:dyDescent="0.2">
      <c r="A66" s="724"/>
      <c r="B66" s="725" t="s">
        <v>85</v>
      </c>
      <c r="C66" s="83">
        <v>-1262</v>
      </c>
      <c r="D66" s="45">
        <v>-8.5215571086127151E-3</v>
      </c>
      <c r="E66" s="533"/>
      <c r="F66" s="399">
        <v>146833</v>
      </c>
      <c r="G66" s="399">
        <v>121788</v>
      </c>
      <c r="H66" s="399">
        <v>140252</v>
      </c>
      <c r="I66" s="619">
        <v>148035</v>
      </c>
      <c r="J66" s="399">
        <v>148095</v>
      </c>
      <c r="K66" s="399">
        <v>139490</v>
      </c>
      <c r="L66" s="399">
        <v>117740</v>
      </c>
      <c r="M66" s="739">
        <v>115309</v>
      </c>
      <c r="N66" s="399">
        <v>132501</v>
      </c>
      <c r="O66" s="399">
        <v>136450</v>
      </c>
      <c r="P66" s="399">
        <v>117864</v>
      </c>
      <c r="Q66" s="739">
        <v>116652</v>
      </c>
      <c r="R66" s="399">
        <v>103027</v>
      </c>
      <c r="S66" s="399">
        <v>77401</v>
      </c>
      <c r="T66" s="399">
        <v>69639</v>
      </c>
      <c r="U66" s="739">
        <v>80041</v>
      </c>
      <c r="V66" s="399">
        <v>107677</v>
      </c>
      <c r="W66" s="399">
        <v>115616</v>
      </c>
      <c r="X66" s="399">
        <v>75787</v>
      </c>
      <c r="Y66" s="739">
        <v>74136</v>
      </c>
      <c r="Z66" s="390">
        <v>66336</v>
      </c>
      <c r="AA66" s="399">
        <v>88110</v>
      </c>
      <c r="AB66" s="399">
        <v>64018</v>
      </c>
      <c r="AC66" s="739">
        <v>69132</v>
      </c>
      <c r="AD66" s="399">
        <v>54518</v>
      </c>
      <c r="AE66" s="399">
        <v>58297</v>
      </c>
      <c r="AF66" s="399">
        <v>63150</v>
      </c>
      <c r="AG66" s="739">
        <v>85020</v>
      </c>
      <c r="AH66" s="209">
        <v>73158</v>
      </c>
      <c r="AI66" s="209">
        <v>86348</v>
      </c>
      <c r="AJ66" s="209">
        <v>72982</v>
      </c>
      <c r="AK66" s="209">
        <v>106349</v>
      </c>
      <c r="AL66" s="172">
        <v>100905</v>
      </c>
      <c r="AM66" s="213">
        <v>75317</v>
      </c>
      <c r="AN66" s="213">
        <v>70703</v>
      </c>
      <c r="AO66" s="213">
        <v>91522</v>
      </c>
      <c r="AP66" s="88"/>
      <c r="AQ66" s="536">
        <v>410075</v>
      </c>
      <c r="AR66" s="536">
        <v>372539</v>
      </c>
      <c r="AS66" s="209">
        <v>36274</v>
      </c>
      <c r="AT66" s="45">
        <v>6.9672745153024962E-2</v>
      </c>
      <c r="AU66" s="724"/>
      <c r="AV66" s="744">
        <v>556908</v>
      </c>
      <c r="AW66" s="744">
        <v>520634</v>
      </c>
      <c r="AX66" s="744">
        <v>503467</v>
      </c>
      <c r="AY66" s="744">
        <v>330108</v>
      </c>
      <c r="AZ66" s="729">
        <v>373216</v>
      </c>
      <c r="BA66" s="729">
        <v>287596</v>
      </c>
      <c r="BB66" s="729">
        <v>260985</v>
      </c>
      <c r="BC66" s="172">
        <v>338837</v>
      </c>
      <c r="BD66" s="728">
        <v>338447</v>
      </c>
      <c r="BE66" s="43">
        <v>231683</v>
      </c>
      <c r="BF66" s="43">
        <v>173735</v>
      </c>
      <c r="BG66" s="686">
        <v>154490</v>
      </c>
      <c r="BH66" s="25"/>
      <c r="BJ66" s="722"/>
      <c r="BK66" s="722"/>
      <c r="BL66" s="722"/>
      <c r="BM66" s="722"/>
    </row>
    <row r="67" spans="1:65" ht="24.75" customHeight="1" x14ac:dyDescent="0.2">
      <c r="A67" s="724"/>
      <c r="B67" s="740" t="s">
        <v>188</v>
      </c>
      <c r="C67" s="83">
        <v>-26018</v>
      </c>
      <c r="D67" s="45">
        <v>-0.67467067731563113</v>
      </c>
      <c r="E67" s="533"/>
      <c r="F67" s="421">
        <v>12546</v>
      </c>
      <c r="G67" s="421">
        <v>-17922</v>
      </c>
      <c r="H67" s="399">
        <v>30363</v>
      </c>
      <c r="I67" s="619">
        <v>31210</v>
      </c>
      <c r="J67" s="399">
        <v>38564</v>
      </c>
      <c r="K67" s="399">
        <v>31744</v>
      </c>
      <c r="L67" s="399">
        <v>8951</v>
      </c>
      <c r="M67" s="739">
        <v>15897</v>
      </c>
      <c r="N67" s="399">
        <v>21496</v>
      </c>
      <c r="O67" s="399">
        <v>29175</v>
      </c>
      <c r="P67" s="399">
        <v>2246</v>
      </c>
      <c r="Q67" s="832">
        <v>-15351</v>
      </c>
      <c r="R67" s="399">
        <v>10040</v>
      </c>
      <c r="S67" s="399">
        <v>16180</v>
      </c>
      <c r="T67" s="421">
        <v>-187</v>
      </c>
      <c r="U67" s="739">
        <v>17336</v>
      </c>
      <c r="V67" s="399">
        <v>56094</v>
      </c>
      <c r="W67" s="399">
        <v>62142</v>
      </c>
      <c r="X67" s="399" t="e">
        <v>#VALUE!</v>
      </c>
      <c r="Y67" s="739" t="e">
        <v>#VALUE!</v>
      </c>
      <c r="Z67" s="390">
        <v>17160</v>
      </c>
      <c r="AA67" s="399">
        <v>27980</v>
      </c>
      <c r="AB67" s="399">
        <v>14457</v>
      </c>
      <c r="AC67" s="739">
        <v>16365</v>
      </c>
      <c r="AD67" s="399">
        <v>10454</v>
      </c>
      <c r="AE67" s="399">
        <v>-9047</v>
      </c>
      <c r="AF67" s="399">
        <v>-4814</v>
      </c>
      <c r="AG67" s="739">
        <v>19773</v>
      </c>
      <c r="AH67" s="209">
        <v>4807</v>
      </c>
      <c r="AI67" s="209">
        <v>23235</v>
      </c>
      <c r="AJ67" s="209">
        <v>16089</v>
      </c>
      <c r="AK67" s="209">
        <v>48674</v>
      </c>
      <c r="AL67" s="172">
        <v>29246</v>
      </c>
      <c r="AM67" s="213">
        <v>26110</v>
      </c>
      <c r="AN67" s="213">
        <v>22330</v>
      </c>
      <c r="AO67" s="213">
        <v>33584</v>
      </c>
      <c r="AP67" s="88"/>
      <c r="AQ67" s="536">
        <v>43651</v>
      </c>
      <c r="AR67" s="536">
        <v>56592</v>
      </c>
      <c r="AS67" s="421">
        <v>-38959</v>
      </c>
      <c r="AT67" s="45">
        <v>-0.40942242212787422</v>
      </c>
      <c r="AU67" s="724"/>
      <c r="AV67" s="744">
        <v>56197</v>
      </c>
      <c r="AW67" s="744">
        <v>95156</v>
      </c>
      <c r="AX67" s="744">
        <v>37566</v>
      </c>
      <c r="AY67" s="744">
        <v>43369</v>
      </c>
      <c r="AZ67" s="729">
        <v>165428</v>
      </c>
      <c r="BA67" s="729">
        <v>75962</v>
      </c>
      <c r="BB67" s="729">
        <v>16366</v>
      </c>
      <c r="BC67" s="172">
        <v>92805</v>
      </c>
      <c r="BD67" s="728">
        <v>111270</v>
      </c>
      <c r="BE67" s="43">
        <v>101983</v>
      </c>
      <c r="BF67" s="43">
        <v>65919</v>
      </c>
      <c r="BG67" s="686">
        <v>57268</v>
      </c>
      <c r="BH67" s="25"/>
      <c r="BJ67" s="722"/>
      <c r="BK67" s="722"/>
      <c r="BL67" s="722"/>
      <c r="BM67" s="722"/>
    </row>
    <row r="68" spans="1:65" x14ac:dyDescent="0.2">
      <c r="A68" s="724"/>
      <c r="B68" s="740" t="s">
        <v>77</v>
      </c>
      <c r="C68" s="152">
        <v>-26895</v>
      </c>
      <c r="D68" s="483">
        <v>-0.74052149012913349</v>
      </c>
      <c r="E68" s="533"/>
      <c r="F68" s="407">
        <v>9424</v>
      </c>
      <c r="G68" s="1322">
        <v>-20619</v>
      </c>
      <c r="H68" s="407">
        <v>26971</v>
      </c>
      <c r="I68" s="371">
        <v>28511</v>
      </c>
      <c r="J68" s="407">
        <v>36319</v>
      </c>
      <c r="K68" s="407">
        <v>29588</v>
      </c>
      <c r="L68" s="407">
        <v>7118</v>
      </c>
      <c r="M68" s="370">
        <v>13594</v>
      </c>
      <c r="N68" s="407">
        <v>20986</v>
      </c>
      <c r="O68" s="407">
        <v>28327</v>
      </c>
      <c r="P68" s="407">
        <v>1742</v>
      </c>
      <c r="Q68" s="1310">
        <v>-17055</v>
      </c>
      <c r="R68" s="407">
        <v>6933</v>
      </c>
      <c r="S68" s="407">
        <v>13565</v>
      </c>
      <c r="T68" s="1322">
        <v>-3291</v>
      </c>
      <c r="U68" s="370">
        <v>14295</v>
      </c>
      <c r="V68" s="407">
        <v>53545</v>
      </c>
      <c r="W68" s="407">
        <v>59408</v>
      </c>
      <c r="X68" s="407">
        <v>21176</v>
      </c>
      <c r="Y68" s="370">
        <v>26016</v>
      </c>
      <c r="Z68" s="416">
        <v>17160</v>
      </c>
      <c r="AA68" s="407">
        <v>27980</v>
      </c>
      <c r="AB68" s="407">
        <v>14457</v>
      </c>
      <c r="AC68" s="370">
        <v>16365</v>
      </c>
      <c r="AD68" s="407">
        <v>10454</v>
      </c>
      <c r="AE68" s="407">
        <v>-9047</v>
      </c>
      <c r="AF68" s="407">
        <v>-4814</v>
      </c>
      <c r="AG68" s="370">
        <v>19773</v>
      </c>
      <c r="AH68" s="215">
        <v>4807</v>
      </c>
      <c r="AI68" s="215">
        <v>23235</v>
      </c>
      <c r="AJ68" s="215">
        <v>16089</v>
      </c>
      <c r="AK68" s="215">
        <v>48674</v>
      </c>
      <c r="AL68" s="208">
        <v>29246</v>
      </c>
      <c r="AM68" s="216">
        <v>26110</v>
      </c>
      <c r="AN68" s="216">
        <v>22330</v>
      </c>
      <c r="AO68" s="216">
        <v>33584</v>
      </c>
      <c r="AP68" s="88"/>
      <c r="AQ68" s="407">
        <v>34863</v>
      </c>
      <c r="AR68" s="1322">
        <v>50300</v>
      </c>
      <c r="AS68" s="1322">
        <v>-42332</v>
      </c>
      <c r="AT68" s="483">
        <v>-0.48871494706704072</v>
      </c>
      <c r="AU68" s="724"/>
      <c r="AV68" s="195">
        <v>44287</v>
      </c>
      <c r="AW68" s="195">
        <v>86619</v>
      </c>
      <c r="AX68" s="195">
        <v>34000</v>
      </c>
      <c r="AY68" s="195">
        <v>31502</v>
      </c>
      <c r="AZ68" s="195">
        <v>154525</v>
      </c>
      <c r="BA68" s="195">
        <v>66389</v>
      </c>
      <c r="BB68" s="195">
        <v>16366</v>
      </c>
      <c r="BC68" s="208">
        <v>92805</v>
      </c>
      <c r="BD68" s="203">
        <v>111270</v>
      </c>
      <c r="BE68" s="158">
        <v>101983</v>
      </c>
      <c r="BF68" s="158">
        <v>65919</v>
      </c>
      <c r="BG68" s="404">
        <v>57268</v>
      </c>
      <c r="BH68" s="25"/>
      <c r="BJ68" s="722"/>
      <c r="BK68" s="722"/>
      <c r="BL68" s="722"/>
      <c r="BM68" s="722"/>
    </row>
    <row r="69" spans="1:65" ht="12.75" customHeight="1" x14ac:dyDescent="0.2">
      <c r="A69" s="724"/>
      <c r="B69" s="725"/>
      <c r="C69" s="151"/>
      <c r="D69" s="11"/>
      <c r="E69" s="11"/>
      <c r="F69" s="589"/>
      <c r="G69" s="589"/>
      <c r="H69" s="589"/>
      <c r="I69" s="589"/>
      <c r="J69" s="589"/>
      <c r="K69" s="589"/>
      <c r="L69" s="589"/>
      <c r="M69" s="589"/>
      <c r="N69" s="589"/>
      <c r="O69" s="589"/>
      <c r="P69" s="589"/>
      <c r="Q69" s="589"/>
      <c r="R69" s="589"/>
      <c r="S69" s="589"/>
      <c r="T69" s="589"/>
      <c r="U69" s="589"/>
      <c r="V69" s="589"/>
      <c r="W69" s="589"/>
      <c r="X69" s="589"/>
      <c r="Y69" s="589"/>
      <c r="Z69" s="11"/>
      <c r="AA69" s="11"/>
      <c r="AB69" s="11"/>
      <c r="AC69" s="725"/>
      <c r="AD69" s="11"/>
      <c r="AE69" s="11"/>
      <c r="AF69" s="11"/>
      <c r="AG69" s="725"/>
      <c r="AH69" s="724"/>
      <c r="AI69" s="724"/>
      <c r="AJ69" s="724"/>
      <c r="AK69" s="724"/>
      <c r="AL69" s="724"/>
      <c r="AM69" s="724"/>
      <c r="AN69" s="724"/>
      <c r="AO69" s="724"/>
      <c r="AP69" s="725"/>
      <c r="AQ69" s="725"/>
      <c r="AR69" s="725"/>
      <c r="AS69" s="151"/>
      <c r="AT69" s="11"/>
      <c r="AU69" s="725"/>
      <c r="AV69" s="725"/>
      <c r="AW69" s="725"/>
      <c r="AX69" s="725"/>
      <c r="AY69" s="725"/>
      <c r="AZ69" s="725"/>
      <c r="BA69" s="725"/>
      <c r="BB69" s="725"/>
      <c r="BC69" s="724"/>
      <c r="BD69" s="724"/>
      <c r="BE69" s="754"/>
      <c r="BF69" s="754"/>
      <c r="BG69" s="754"/>
      <c r="BH69" s="722"/>
      <c r="BJ69" s="722"/>
      <c r="BK69" s="722"/>
      <c r="BL69" s="722"/>
      <c r="BM69" s="722"/>
    </row>
    <row r="70" spans="1:65" ht="12.75" customHeight="1" x14ac:dyDescent="0.2">
      <c r="A70" s="724"/>
      <c r="B70" s="727" t="s">
        <v>80</v>
      </c>
      <c r="C70" s="205">
        <v>4.6986041129384866</v>
      </c>
      <c r="D70" s="11"/>
      <c r="E70" s="11"/>
      <c r="F70" s="11">
        <v>0.29928033178775121</v>
      </c>
      <c r="G70" s="11">
        <v>0.5194770184661005</v>
      </c>
      <c r="H70" s="11">
        <v>0.26697535386689331</v>
      </c>
      <c r="I70" s="11">
        <v>0.2707690591090407</v>
      </c>
      <c r="J70" s="11">
        <v>0.25229429065836634</v>
      </c>
      <c r="K70" s="11">
        <v>0.25411425301050022</v>
      </c>
      <c r="L70" s="11">
        <v>0.35130356536770568</v>
      </c>
      <c r="M70" s="11">
        <v>0.33562489520296329</v>
      </c>
      <c r="N70" s="11">
        <v>0.25167373390390724</v>
      </c>
      <c r="O70" s="11">
        <v>0.26919849056603773</v>
      </c>
      <c r="P70" s="11">
        <v>0.35479144117891931</v>
      </c>
      <c r="Q70" s="11">
        <v>0.4904097689065261</v>
      </c>
      <c r="R70" s="11">
        <v>0.28216897945465963</v>
      </c>
      <c r="S70" s="11">
        <v>0.29842596253512998</v>
      </c>
      <c r="T70" s="11">
        <v>0.42304037320739502</v>
      </c>
      <c r="U70" s="11">
        <v>0.29447405444817565</v>
      </c>
      <c r="V70" s="11">
        <v>0.16800288207313871</v>
      </c>
      <c r="W70" s="11">
        <v>0.16132607252556846</v>
      </c>
      <c r="X70" s="11">
        <v>0.26172870063838782</v>
      </c>
      <c r="Y70" s="11">
        <v>0.2405420609567436</v>
      </c>
      <c r="Z70" s="11">
        <v>0.22280109226789307</v>
      </c>
      <c r="AA70" s="11">
        <v>0.17315875613747955</v>
      </c>
      <c r="AB70" s="11">
        <v>0.22785600509716469</v>
      </c>
      <c r="AC70" s="11">
        <v>0.23973940606103139</v>
      </c>
      <c r="AD70" s="11">
        <v>0.32006094933201995</v>
      </c>
      <c r="AE70" s="11">
        <v>0.52846700507614208</v>
      </c>
      <c r="AF70" s="11">
        <v>0.50111423477783867</v>
      </c>
      <c r="AG70" s="11">
        <v>0.26975084213640221</v>
      </c>
      <c r="AH70" s="35">
        <v>0.37782338228692364</v>
      </c>
      <c r="AI70" s="35">
        <v>0.22941514650995137</v>
      </c>
      <c r="AJ70" s="35">
        <v>0.30967430476810637</v>
      </c>
      <c r="AK70" s="35">
        <v>0.16900000000000004</v>
      </c>
      <c r="AL70" s="35">
        <v>0.21100000000000008</v>
      </c>
      <c r="AM70" s="35">
        <v>0.20399999999999996</v>
      </c>
      <c r="AN70" s="35">
        <v>0.249</v>
      </c>
      <c r="AO70" s="35">
        <v>0.17899999999999994</v>
      </c>
      <c r="AP70" s="725"/>
      <c r="AQ70" s="11">
        <v>0.32627621075274504</v>
      </c>
      <c r="AR70" s="11">
        <v>0.30772887533177512</v>
      </c>
      <c r="AS70" s="160">
        <v>2.8333050469339427</v>
      </c>
      <c r="AT70" s="11"/>
      <c r="AU70" s="11"/>
      <c r="AV70" s="11">
        <v>0.31925852831081136</v>
      </c>
      <c r="AW70" s="11">
        <v>0.29092547784147194</v>
      </c>
      <c r="AX70" s="11">
        <v>0.32463084506860024</v>
      </c>
      <c r="AY70" s="11">
        <v>0.31564728216195376</v>
      </c>
      <c r="AZ70" s="11">
        <v>0.19588819331506524</v>
      </c>
      <c r="BA70" s="11">
        <v>0.21202394115931983</v>
      </c>
      <c r="BB70" s="35">
        <v>0.37614070257543691</v>
      </c>
      <c r="BC70" s="35">
        <v>0.25091858530912192</v>
      </c>
      <c r="BD70" s="35">
        <v>0.20899999999999996</v>
      </c>
      <c r="BE70" s="727">
        <v>0.1419999999999999</v>
      </c>
      <c r="BF70" s="727">
        <v>0.13400000000000001</v>
      </c>
      <c r="BG70" s="727">
        <v>0.10299999999999998</v>
      </c>
      <c r="BH70" s="722"/>
      <c r="BJ70" s="722"/>
      <c r="BK70" s="722"/>
      <c r="BL70" s="722"/>
      <c r="BM70" s="722"/>
    </row>
    <row r="71" spans="1:65" ht="12.75" customHeight="1" x14ac:dyDescent="0.2">
      <c r="A71" s="724"/>
      <c r="B71" s="727" t="s">
        <v>81</v>
      </c>
      <c r="C71" s="205">
        <v>12.788331822320231</v>
      </c>
      <c r="D71" s="11"/>
      <c r="E71" s="11"/>
      <c r="F71" s="11">
        <v>0.92128197566806169</v>
      </c>
      <c r="G71" s="11">
        <v>1.1725492461440703</v>
      </c>
      <c r="H71" s="11">
        <v>0.82203792163643286</v>
      </c>
      <c r="I71" s="11">
        <v>0.82588077770649115</v>
      </c>
      <c r="J71" s="11">
        <v>0.79339865744485938</v>
      </c>
      <c r="K71" s="11">
        <v>0.81461625611735988</v>
      </c>
      <c r="L71" s="11">
        <v>0.92934778318901901</v>
      </c>
      <c r="M71" s="11">
        <v>0.87883938234531955</v>
      </c>
      <c r="N71" s="11">
        <v>0.86041286518568538</v>
      </c>
      <c r="O71" s="11">
        <v>0.82384905660377361</v>
      </c>
      <c r="P71" s="11">
        <v>0.98130047456498215</v>
      </c>
      <c r="Q71" s="11">
        <v>1.1515384843190097</v>
      </c>
      <c r="R71" s="11">
        <v>0.91120309197201654</v>
      </c>
      <c r="S71" s="11">
        <v>0.82710165525053159</v>
      </c>
      <c r="T71" s="11">
        <v>1.0026925070552324</v>
      </c>
      <c r="U71" s="11">
        <v>0.82197028045637055</v>
      </c>
      <c r="V71" s="11">
        <v>0.65748514694298743</v>
      </c>
      <c r="W71" s="11">
        <v>0.65041235837486922</v>
      </c>
      <c r="X71" s="11">
        <v>0.78160741726225469</v>
      </c>
      <c r="Y71" s="11">
        <v>0.74023484303858134</v>
      </c>
      <c r="Z71" s="11">
        <v>0.79448117275079044</v>
      </c>
      <c r="AA71" s="11">
        <v>0.75898010164527518</v>
      </c>
      <c r="AB71" s="11">
        <v>0.81577572475310611</v>
      </c>
      <c r="AC71" s="11">
        <v>0.80858977507982732</v>
      </c>
      <c r="AD71" s="11">
        <v>0.83909991996552358</v>
      </c>
      <c r="AE71" s="11">
        <v>1.1836954314720811</v>
      </c>
      <c r="AF71" s="11">
        <v>1.0825219418540866</v>
      </c>
      <c r="AG71" s="11">
        <v>0.8113137327874953</v>
      </c>
      <c r="AH71" s="35">
        <v>0.9383441287757327</v>
      </c>
      <c r="AI71" s="35">
        <v>0.78796893678764046</v>
      </c>
      <c r="AJ71" s="35">
        <v>0.81936881813384832</v>
      </c>
      <c r="AK71" s="35">
        <v>0.68600000000000005</v>
      </c>
      <c r="AL71" s="35">
        <v>0.77500000000000002</v>
      </c>
      <c r="AM71" s="35">
        <v>0.74299999999999999</v>
      </c>
      <c r="AN71" s="35">
        <v>0.76</v>
      </c>
      <c r="AO71" s="35">
        <v>0.73199999999999998</v>
      </c>
      <c r="AP71" s="725"/>
      <c r="AQ71" s="11">
        <v>0.90379436047306083</v>
      </c>
      <c r="AR71" s="11">
        <v>0.86812418585466911</v>
      </c>
      <c r="AS71" s="160">
        <v>6.2867038754609084</v>
      </c>
      <c r="AT71" s="11"/>
      <c r="AU71" s="11"/>
      <c r="AV71" s="11">
        <v>0.90834033322187879</v>
      </c>
      <c r="AW71" s="11">
        <v>0.84547329446726971</v>
      </c>
      <c r="AX71" s="11">
        <v>0.93056615770202555</v>
      </c>
      <c r="AY71" s="11">
        <v>0.88387772205517345</v>
      </c>
      <c r="AZ71" s="11">
        <v>0.69288064101707247</v>
      </c>
      <c r="BA71" s="11">
        <v>0.79105947331649973</v>
      </c>
      <c r="BB71" s="35">
        <v>0.94099173970888872</v>
      </c>
      <c r="BC71" s="35">
        <v>0.78499543603263811</v>
      </c>
      <c r="BD71" s="35">
        <v>0.753</v>
      </c>
      <c r="BE71" s="727">
        <v>0.69399999999999995</v>
      </c>
      <c r="BF71" s="727">
        <v>0.72499999999999998</v>
      </c>
      <c r="BG71" s="727">
        <v>0.73</v>
      </c>
      <c r="BH71" s="722"/>
      <c r="BJ71" s="722"/>
      <c r="BK71" s="722"/>
      <c r="BL71" s="722"/>
      <c r="BM71" s="722"/>
    </row>
    <row r="72" spans="1:65" ht="12.75" customHeight="1" x14ac:dyDescent="0.2">
      <c r="A72" s="724"/>
      <c r="B72" s="727" t="s">
        <v>82</v>
      </c>
      <c r="C72" s="205">
        <v>-13.54445665055577</v>
      </c>
      <c r="D72" s="11"/>
      <c r="E72" s="11"/>
      <c r="F72" s="11">
        <v>5.9129496357738474E-2</v>
      </c>
      <c r="G72" s="11">
        <v>-0.19851539483565364</v>
      </c>
      <c r="H72" s="11">
        <v>0.15808105969580635</v>
      </c>
      <c r="I72" s="11">
        <v>0.15906161957097828</v>
      </c>
      <c r="J72" s="11">
        <v>0.19457406286329618</v>
      </c>
      <c r="K72" s="11">
        <v>0.1727927864793207</v>
      </c>
      <c r="L72" s="11">
        <v>5.6183943610832655E-2</v>
      </c>
      <c r="M72" s="11">
        <v>0.10360806670426657</v>
      </c>
      <c r="N72" s="11">
        <v>0.1362753819879608</v>
      </c>
      <c r="O72" s="11">
        <v>0.1710309433962264</v>
      </c>
      <c r="P72" s="11">
        <v>1.4503371909083341E-2</v>
      </c>
      <c r="Q72" s="11">
        <v>-0.16835964106968343</v>
      </c>
      <c r="R72" s="11">
        <v>6.1317625832471009E-2</v>
      </c>
      <c r="S72" s="11">
        <v>0.14495463822784541</v>
      </c>
      <c r="T72" s="11">
        <v>-4.7385244485399991E-2</v>
      </c>
      <c r="U72" s="11">
        <v>0.14680057919221171</v>
      </c>
      <c r="V72" s="11">
        <v>0.34251485305701251</v>
      </c>
      <c r="W72" s="11">
        <v>0.34958764162513078</v>
      </c>
      <c r="X72" s="11">
        <v>0.21839258273774534</v>
      </c>
      <c r="Y72" s="11">
        <v>0.25976515696141866</v>
      </c>
      <c r="Z72" s="11">
        <v>0.20551882724920953</v>
      </c>
      <c r="AA72" s="11">
        <v>0.24101989835472479</v>
      </c>
      <c r="AB72" s="11">
        <v>0.18422427524689391</v>
      </c>
      <c r="AC72" s="11">
        <v>0.19141022492017265</v>
      </c>
      <c r="AD72" s="11">
        <v>0.16090008003447639</v>
      </c>
      <c r="AE72" s="11">
        <v>-0.18369543147208123</v>
      </c>
      <c r="AF72" s="11">
        <v>-8.2521941854086664E-2</v>
      </c>
      <c r="AG72" s="11">
        <v>0.18868626721250464</v>
      </c>
      <c r="AH72" s="35">
        <v>6.16558712242673E-2</v>
      </c>
      <c r="AI72" s="35">
        <v>0.21203106321235959</v>
      </c>
      <c r="AJ72" s="35">
        <v>0.18063118186615174</v>
      </c>
      <c r="AK72" s="35">
        <v>0.31399999999999995</v>
      </c>
      <c r="AL72" s="35">
        <v>0.22500000000000001</v>
      </c>
      <c r="AM72" s="35">
        <v>0.25700000000000001</v>
      </c>
      <c r="AN72" s="35">
        <v>0.24</v>
      </c>
      <c r="AO72" s="35">
        <v>0.26800000000000002</v>
      </c>
      <c r="AP72" s="725"/>
      <c r="AQ72" s="11">
        <v>7.6837121963475752E-2</v>
      </c>
      <c r="AR72" s="11">
        <v>0.1172136247439593</v>
      </c>
      <c r="AS72" s="160">
        <v>-6.8429256445150566</v>
      </c>
      <c r="AT72" s="11"/>
      <c r="AU72" s="11"/>
      <c r="AV72" s="11">
        <v>7.2233956663214291E-2</v>
      </c>
      <c r="AW72" s="11">
        <v>0.14066321310836485</v>
      </c>
      <c r="AX72" s="11">
        <v>6.2842747115240655E-2</v>
      </c>
      <c r="AY72" s="11">
        <v>8.4347898264150137E-2</v>
      </c>
      <c r="AZ72" s="11">
        <v>0.28687778941193071</v>
      </c>
      <c r="BA72" s="11">
        <v>0.18260910226153737</v>
      </c>
      <c r="BB72" s="11">
        <v>5.900826029111126E-2</v>
      </c>
      <c r="BC72" s="11">
        <v>0.21500456396736184</v>
      </c>
      <c r="BD72" s="35">
        <v>0.247</v>
      </c>
      <c r="BE72" s="727">
        <v>0.30600000000000005</v>
      </c>
      <c r="BF72" s="727">
        <v>0.27500000000000002</v>
      </c>
      <c r="BG72" s="727">
        <v>0.27</v>
      </c>
    </row>
    <row r="73" spans="1:65" ht="12.75" customHeight="1" x14ac:dyDescent="0.2">
      <c r="A73" s="724"/>
      <c r="B73" s="727"/>
      <c r="C73" s="205"/>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35"/>
      <c r="AI73" s="35"/>
      <c r="AJ73" s="35"/>
      <c r="AK73" s="35"/>
      <c r="AL73" s="35"/>
      <c r="AM73" s="35"/>
      <c r="AN73" s="35"/>
      <c r="AO73" s="35"/>
      <c r="AP73" s="725"/>
      <c r="AQ73" s="725"/>
      <c r="AR73" s="725"/>
      <c r="AS73" s="160"/>
      <c r="AT73" s="11"/>
      <c r="AU73" s="725"/>
      <c r="AV73" s="35"/>
      <c r="AW73" s="35"/>
      <c r="AX73" s="35"/>
      <c r="AY73" s="35"/>
      <c r="AZ73" s="35"/>
      <c r="BA73" s="35"/>
      <c r="BB73" s="35"/>
      <c r="BC73" s="35"/>
      <c r="BD73" s="35"/>
      <c r="BE73" s="727"/>
      <c r="BF73" s="727"/>
      <c r="BG73" s="727"/>
    </row>
    <row r="74" spans="1:65" ht="12.75" customHeight="1" x14ac:dyDescent="0.2">
      <c r="A74" s="12" t="s">
        <v>199</v>
      </c>
      <c r="B74" s="727"/>
      <c r="C74" s="725"/>
      <c r="D74" s="725"/>
      <c r="E74" s="725"/>
      <c r="F74" s="725"/>
      <c r="G74" s="725"/>
      <c r="H74" s="725"/>
      <c r="I74" s="725"/>
      <c r="J74" s="725"/>
      <c r="K74" s="725"/>
      <c r="L74" s="725"/>
      <c r="M74" s="725"/>
      <c r="N74" s="725"/>
      <c r="O74" s="725"/>
      <c r="P74" s="725"/>
      <c r="Q74" s="725"/>
      <c r="R74" s="725"/>
      <c r="S74" s="725"/>
      <c r="T74" s="725"/>
      <c r="U74" s="725"/>
      <c r="V74" s="725"/>
      <c r="W74" s="725"/>
      <c r="X74" s="725"/>
      <c r="Y74" s="725"/>
      <c r="Z74" s="725"/>
      <c r="AA74" s="725"/>
      <c r="AB74" s="725"/>
      <c r="AC74" s="725"/>
      <c r="AD74" s="725"/>
      <c r="AE74" s="725"/>
      <c r="AF74" s="725"/>
      <c r="AG74" s="725"/>
      <c r="AH74" s="725"/>
      <c r="AI74" s="725"/>
      <c r="AJ74" s="725"/>
      <c r="AK74" s="7"/>
      <c r="AL74" s="725"/>
      <c r="AM74" s="7"/>
      <c r="AN74" s="7"/>
      <c r="AO74" s="725"/>
      <c r="AP74" s="725"/>
      <c r="AQ74" s="725"/>
      <c r="AR74" s="725"/>
      <c r="AS74" s="725"/>
      <c r="AT74" s="725"/>
      <c r="AU74" s="725"/>
      <c r="AV74" s="725"/>
      <c r="AW74" s="725"/>
      <c r="AX74" s="725"/>
      <c r="AY74" s="725"/>
      <c r="AZ74" s="725"/>
      <c r="BA74" s="725"/>
      <c r="BB74" s="725"/>
      <c r="BC74" s="725"/>
      <c r="BD74" s="725"/>
      <c r="BE74" s="754"/>
      <c r="BF74" s="727"/>
      <c r="BG74" s="727"/>
    </row>
    <row r="75" spans="1:65" ht="12.75" customHeight="1" x14ac:dyDescent="0.2">
      <c r="C75" s="1479" t="s">
        <v>447</v>
      </c>
      <c r="D75" s="1480"/>
      <c r="E75" s="256"/>
      <c r="F75" s="410"/>
      <c r="G75" s="410"/>
      <c r="H75" s="410"/>
      <c r="I75" s="19"/>
      <c r="J75" s="410"/>
      <c r="K75" s="410"/>
      <c r="L75" s="410"/>
      <c r="M75" s="19"/>
      <c r="N75" s="410"/>
      <c r="O75" s="410"/>
      <c r="P75" s="410"/>
      <c r="Q75" s="19"/>
      <c r="R75" s="17"/>
      <c r="S75" s="18"/>
      <c r="T75" s="410"/>
      <c r="U75" s="19"/>
      <c r="V75" s="17"/>
      <c r="W75" s="18"/>
      <c r="X75" s="410"/>
      <c r="Y75" s="19"/>
      <c r="AA75" s="18"/>
      <c r="AB75" s="2"/>
      <c r="AC75" s="19"/>
      <c r="AD75" s="18"/>
      <c r="AF75" s="410"/>
      <c r="AG75" s="19"/>
      <c r="AH75" s="18"/>
      <c r="AI75" s="18"/>
      <c r="AJ75" s="18"/>
      <c r="AK75" s="18"/>
      <c r="AL75" s="22"/>
      <c r="AM75" s="19"/>
      <c r="AN75" s="19"/>
      <c r="AO75" s="19"/>
      <c r="AP75" s="24"/>
      <c r="AQ75" s="661" t="s">
        <v>340</v>
      </c>
      <c r="AR75" s="647"/>
      <c r="AS75" s="647" t="s">
        <v>432</v>
      </c>
      <c r="AT75" s="648"/>
      <c r="AU75" s="725"/>
      <c r="AV75" s="87"/>
      <c r="AW75" s="87"/>
      <c r="AX75" s="87"/>
      <c r="AY75" s="87"/>
      <c r="AZ75" s="87"/>
      <c r="BA75" s="87"/>
      <c r="BB75" s="87"/>
      <c r="BC75" s="193"/>
      <c r="BD75" s="191"/>
      <c r="BE75" s="87"/>
      <c r="BF75" s="727"/>
      <c r="BG75" s="727"/>
      <c r="BH75" s="25"/>
    </row>
    <row r="76" spans="1:65" ht="12.75" customHeight="1" x14ac:dyDescent="0.2">
      <c r="C76" s="1481" t="s">
        <v>39</v>
      </c>
      <c r="D76" s="1482"/>
      <c r="E76" s="530"/>
      <c r="F76" s="21" t="s">
        <v>425</v>
      </c>
      <c r="G76" s="21" t="s">
        <v>426</v>
      </c>
      <c r="H76" s="21" t="s">
        <v>427</v>
      </c>
      <c r="I76" s="14" t="s">
        <v>428</v>
      </c>
      <c r="J76" s="21" t="s">
        <v>363</v>
      </c>
      <c r="K76" s="21" t="s">
        <v>362</v>
      </c>
      <c r="L76" s="21" t="s">
        <v>361</v>
      </c>
      <c r="M76" s="14" t="s">
        <v>359</v>
      </c>
      <c r="N76" s="21" t="s">
        <v>302</v>
      </c>
      <c r="O76" s="21" t="s">
        <v>303</v>
      </c>
      <c r="P76" s="21" t="s">
        <v>304</v>
      </c>
      <c r="Q76" s="14" t="s">
        <v>305</v>
      </c>
      <c r="R76" s="20" t="s">
        <v>231</v>
      </c>
      <c r="S76" s="21" t="s">
        <v>232</v>
      </c>
      <c r="T76" s="21" t="s">
        <v>233</v>
      </c>
      <c r="U76" s="14" t="s">
        <v>230</v>
      </c>
      <c r="V76" s="20" t="s">
        <v>194</v>
      </c>
      <c r="W76" s="21" t="s">
        <v>195</v>
      </c>
      <c r="X76" s="21" t="s">
        <v>196</v>
      </c>
      <c r="Y76" s="14" t="s">
        <v>197</v>
      </c>
      <c r="Z76" s="21" t="s">
        <v>126</v>
      </c>
      <c r="AA76" s="21" t="s">
        <v>125</v>
      </c>
      <c r="AB76" s="21" t="s">
        <v>124</v>
      </c>
      <c r="AC76" s="14" t="s">
        <v>123</v>
      </c>
      <c r="AD76" s="21" t="s">
        <v>86</v>
      </c>
      <c r="AE76" s="21" t="s">
        <v>87</v>
      </c>
      <c r="AF76" s="21" t="s">
        <v>88</v>
      </c>
      <c r="AG76" s="14" t="s">
        <v>30</v>
      </c>
      <c r="AH76" s="21" t="s">
        <v>31</v>
      </c>
      <c r="AI76" s="21" t="s">
        <v>32</v>
      </c>
      <c r="AJ76" s="21" t="s">
        <v>33</v>
      </c>
      <c r="AK76" s="21" t="s">
        <v>34</v>
      </c>
      <c r="AL76" s="23" t="s">
        <v>35</v>
      </c>
      <c r="AM76" s="14" t="s">
        <v>36</v>
      </c>
      <c r="AN76" s="14" t="s">
        <v>37</v>
      </c>
      <c r="AO76" s="14" t="s">
        <v>38</v>
      </c>
      <c r="AP76" s="256"/>
      <c r="AQ76" s="21" t="s">
        <v>426</v>
      </c>
      <c r="AR76" s="21" t="s">
        <v>362</v>
      </c>
      <c r="AS76" s="1477" t="s">
        <v>39</v>
      </c>
      <c r="AT76" s="1478"/>
      <c r="AU76" s="725"/>
      <c r="AV76" s="20" t="s">
        <v>446</v>
      </c>
      <c r="AW76" s="20" t="s">
        <v>365</v>
      </c>
      <c r="AX76" s="20" t="s">
        <v>307</v>
      </c>
      <c r="AY76" s="20" t="s">
        <v>235</v>
      </c>
      <c r="AZ76" s="20" t="s">
        <v>128</v>
      </c>
      <c r="BA76" s="20" t="s">
        <v>127</v>
      </c>
      <c r="BB76" s="20" t="s">
        <v>43</v>
      </c>
      <c r="BC76" s="20" t="s">
        <v>40</v>
      </c>
      <c r="BD76" s="23" t="s">
        <v>41</v>
      </c>
      <c r="BE76" s="23" t="s">
        <v>146</v>
      </c>
      <c r="BF76" s="727"/>
      <c r="BG76" s="727"/>
      <c r="BH76" s="25"/>
    </row>
    <row r="77" spans="1:65" ht="12.75" customHeight="1" x14ac:dyDescent="0.2">
      <c r="A77" s="724"/>
      <c r="B77" s="7" t="s">
        <v>399</v>
      </c>
      <c r="C77" s="83">
        <v>-3818</v>
      </c>
      <c r="D77" s="45">
        <v>-8.2407027692042042E-2</v>
      </c>
      <c r="E77" s="88"/>
      <c r="F77" s="399">
        <v>42513</v>
      </c>
      <c r="G77" s="399">
        <v>41083</v>
      </c>
      <c r="H77" s="399">
        <v>34050</v>
      </c>
      <c r="I77" s="619">
        <v>41525</v>
      </c>
      <c r="J77" s="399">
        <v>46331</v>
      </c>
      <c r="K77" s="399">
        <v>40217</v>
      </c>
      <c r="L77" s="399">
        <v>37823</v>
      </c>
      <c r="M77" s="619">
        <v>42832</v>
      </c>
      <c r="N77" s="399">
        <v>39270</v>
      </c>
      <c r="O77" s="399">
        <v>40686</v>
      </c>
      <c r="P77" s="399">
        <v>41061</v>
      </c>
      <c r="Q77" s="619">
        <v>42055</v>
      </c>
      <c r="R77" s="399">
        <v>36190</v>
      </c>
      <c r="S77" s="399">
        <v>25951</v>
      </c>
      <c r="T77" s="399">
        <v>26032</v>
      </c>
      <c r="U77" s="619">
        <v>22923</v>
      </c>
      <c r="V77" s="399">
        <v>34956</v>
      </c>
      <c r="W77" s="399">
        <v>41491</v>
      </c>
      <c r="X77" s="399">
        <v>30122</v>
      </c>
      <c r="Y77" s="619">
        <v>27253</v>
      </c>
      <c r="Z77" s="399">
        <v>24606</v>
      </c>
      <c r="AA77" s="399">
        <v>26648</v>
      </c>
      <c r="AB77" s="399">
        <v>26258</v>
      </c>
      <c r="AC77" s="619">
        <v>25700</v>
      </c>
      <c r="AD77" s="228">
        <v>24412</v>
      </c>
      <c r="AE77" s="429">
        <v>23557</v>
      </c>
      <c r="AF77" s="429">
        <v>27744</v>
      </c>
      <c r="AG77" s="619">
        <v>29582</v>
      </c>
      <c r="AH77" s="739">
        <v>29584</v>
      </c>
      <c r="AI77" s="725"/>
      <c r="AJ77" s="725"/>
      <c r="AK77" s="7"/>
      <c r="AL77" s="725"/>
      <c r="AM77" s="7"/>
      <c r="AN77" s="7"/>
      <c r="AO77" s="725"/>
      <c r="AP77" s="88"/>
      <c r="AQ77" s="536">
        <v>116658</v>
      </c>
      <c r="AR77" s="536">
        <v>120872</v>
      </c>
      <c r="AS77" s="535">
        <v>-8032</v>
      </c>
      <c r="AT77" s="470">
        <v>-4.8037415596610109E-2</v>
      </c>
      <c r="AU77" s="725"/>
      <c r="AV77" s="744">
        <v>159171</v>
      </c>
      <c r="AW77" s="744">
        <v>167203</v>
      </c>
      <c r="AX77" s="744">
        <v>163072</v>
      </c>
      <c r="AY77" s="744">
        <v>111096</v>
      </c>
      <c r="AZ77" s="729">
        <v>133822</v>
      </c>
      <c r="BA77" s="729">
        <v>103212</v>
      </c>
      <c r="BB77" s="729">
        <v>105295</v>
      </c>
      <c r="BC77" s="221">
        <v>125363</v>
      </c>
      <c r="BD77" s="223">
        <v>125810</v>
      </c>
      <c r="BE77" s="307">
        <v>89236</v>
      </c>
      <c r="BF77" s="727"/>
      <c r="BG77" s="727"/>
      <c r="BH77" s="25"/>
    </row>
    <row r="78" spans="1:65" ht="12.75" customHeight="1" x14ac:dyDescent="0.2">
      <c r="A78" s="724"/>
      <c r="B78" s="7" t="s">
        <v>65</v>
      </c>
      <c r="C78" s="83">
        <v>-21519</v>
      </c>
      <c r="D78" s="45">
        <v>-0.29587108660681138</v>
      </c>
      <c r="E78" s="88"/>
      <c r="F78" s="399">
        <v>51212</v>
      </c>
      <c r="G78" s="399">
        <v>24086</v>
      </c>
      <c r="H78" s="399">
        <v>60705</v>
      </c>
      <c r="I78" s="619">
        <v>81534</v>
      </c>
      <c r="J78" s="399">
        <v>72731</v>
      </c>
      <c r="K78" s="399">
        <v>66729</v>
      </c>
      <c r="L78" s="399">
        <v>37147</v>
      </c>
      <c r="M78" s="619">
        <v>28802</v>
      </c>
      <c r="N78" s="399">
        <v>33074</v>
      </c>
      <c r="O78" s="399">
        <v>34190</v>
      </c>
      <c r="P78" s="399">
        <v>31356</v>
      </c>
      <c r="Q78" s="619">
        <v>23046</v>
      </c>
      <c r="R78" s="399">
        <v>42554</v>
      </c>
      <c r="S78" s="399">
        <v>23556</v>
      </c>
      <c r="T78" s="399">
        <v>21108</v>
      </c>
      <c r="U78" s="619">
        <v>48446</v>
      </c>
      <c r="V78" s="399">
        <v>84470</v>
      </c>
      <c r="W78" s="399">
        <v>97802</v>
      </c>
      <c r="X78" s="399">
        <v>43112</v>
      </c>
      <c r="Y78" s="619">
        <v>46456</v>
      </c>
      <c r="Z78" s="399">
        <v>43383</v>
      </c>
      <c r="AA78" s="399">
        <v>71705</v>
      </c>
      <c r="AB78" s="399">
        <v>26112</v>
      </c>
      <c r="AC78" s="619">
        <v>40636</v>
      </c>
      <c r="AD78" s="228">
        <v>23936</v>
      </c>
      <c r="AE78" s="399">
        <v>7212</v>
      </c>
      <c r="AF78" s="399">
        <v>22784</v>
      </c>
      <c r="AG78" s="619">
        <v>43116</v>
      </c>
      <c r="AH78" s="739">
        <v>68274</v>
      </c>
      <c r="AI78" s="725">
        <v>0</v>
      </c>
      <c r="AJ78" s="725">
        <v>0</v>
      </c>
      <c r="AK78" s="7">
        <v>0</v>
      </c>
      <c r="AL78" s="725">
        <v>0</v>
      </c>
      <c r="AM78" s="7">
        <v>0</v>
      </c>
      <c r="AN78" s="7">
        <v>0</v>
      </c>
      <c r="AO78" s="725">
        <v>0</v>
      </c>
      <c r="AP78" s="88"/>
      <c r="AQ78" s="536">
        <v>166325</v>
      </c>
      <c r="AR78" s="536">
        <v>132678</v>
      </c>
      <c r="AS78" s="536">
        <v>12128</v>
      </c>
      <c r="AT78" s="742">
        <v>5.9043177270713551E-2</v>
      </c>
      <c r="AU78" s="725"/>
      <c r="AV78" s="744">
        <v>217537</v>
      </c>
      <c r="AW78" s="744">
        <v>205409</v>
      </c>
      <c r="AX78" s="744">
        <v>121666</v>
      </c>
      <c r="AY78" s="744">
        <v>135664</v>
      </c>
      <c r="AZ78" s="729">
        <v>271840</v>
      </c>
      <c r="BA78" s="729">
        <v>181837</v>
      </c>
      <c r="BB78" s="729">
        <v>97048</v>
      </c>
      <c r="BC78" s="172">
        <v>245983</v>
      </c>
      <c r="BD78" s="728">
        <v>257102</v>
      </c>
      <c r="BE78" s="43">
        <v>193257</v>
      </c>
      <c r="BF78" s="727"/>
      <c r="BG78" s="727"/>
      <c r="BH78" s="25"/>
    </row>
    <row r="79" spans="1:65" ht="12.75" customHeight="1" x14ac:dyDescent="0.2">
      <c r="A79" s="724"/>
      <c r="B79" s="7" t="s">
        <v>213</v>
      </c>
      <c r="C79" s="83">
        <v>6696</v>
      </c>
      <c r="D79" s="45">
        <v>0.19938065745593139</v>
      </c>
      <c r="E79" s="88"/>
      <c r="F79" s="399">
        <v>40280</v>
      </c>
      <c r="G79" s="399">
        <v>22588</v>
      </c>
      <c r="H79" s="399">
        <v>55687</v>
      </c>
      <c r="I79" s="619">
        <v>32694</v>
      </c>
      <c r="J79" s="399">
        <v>33584</v>
      </c>
      <c r="K79" s="399">
        <v>39546</v>
      </c>
      <c r="L79" s="399">
        <v>29877</v>
      </c>
      <c r="M79" s="619">
        <v>35905</v>
      </c>
      <c r="N79" s="399">
        <v>56134</v>
      </c>
      <c r="O79" s="399">
        <v>69341</v>
      </c>
      <c r="P79" s="399">
        <v>28559</v>
      </c>
      <c r="Q79" s="619">
        <v>25188</v>
      </c>
      <c r="R79" s="399">
        <v>24598</v>
      </c>
      <c r="S79" s="399">
        <v>38541</v>
      </c>
      <c r="T79" s="421">
        <v>21661</v>
      </c>
      <c r="U79" s="619">
        <v>22531</v>
      </c>
      <c r="V79" s="399">
        <v>25702</v>
      </c>
      <c r="W79" s="399">
        <v>25226</v>
      </c>
      <c r="X79" s="399">
        <v>12965</v>
      </c>
      <c r="Y79" s="619">
        <v>20651</v>
      </c>
      <c r="Z79" s="399">
        <v>8323</v>
      </c>
      <c r="AA79" s="399">
        <v>6328</v>
      </c>
      <c r="AB79" s="399">
        <v>15254</v>
      </c>
      <c r="AC79" s="619">
        <v>9296</v>
      </c>
      <c r="AD79" s="228">
        <v>8854</v>
      </c>
      <c r="AE79" s="399">
        <v>11311</v>
      </c>
      <c r="AF79" s="399">
        <v>6130</v>
      </c>
      <c r="AG79" s="619">
        <v>25158</v>
      </c>
      <c r="AH79" s="739"/>
      <c r="AI79" s="725"/>
      <c r="AJ79" s="725"/>
      <c r="AK79" s="7"/>
      <c r="AL79" s="725"/>
      <c r="AM79" s="7"/>
      <c r="AN79" s="7"/>
      <c r="AO79" s="725"/>
      <c r="AP79" s="88"/>
      <c r="AQ79" s="536">
        <v>110969</v>
      </c>
      <c r="AR79" s="536">
        <v>105328</v>
      </c>
      <c r="AS79" s="536">
        <v>12337</v>
      </c>
      <c r="AT79" s="742">
        <v>8.8811621746141448E-2</v>
      </c>
      <c r="AU79" s="725"/>
      <c r="AV79" s="744">
        <v>151249</v>
      </c>
      <c r="AW79" s="744">
        <v>138912</v>
      </c>
      <c r="AX79" s="744">
        <v>179222</v>
      </c>
      <c r="AY79" s="744">
        <v>107331</v>
      </c>
      <c r="AZ79" s="729">
        <v>84544</v>
      </c>
      <c r="BA79" s="729">
        <v>39200</v>
      </c>
      <c r="BB79" s="729">
        <v>51453</v>
      </c>
      <c r="BC79" s="172">
        <v>41087</v>
      </c>
      <c r="BD79" s="728">
        <v>31033</v>
      </c>
      <c r="BE79" s="43">
        <v>13082</v>
      </c>
      <c r="BF79" s="727"/>
      <c r="BG79" s="727"/>
      <c r="BH79" s="25"/>
    </row>
    <row r="80" spans="1:65" ht="12.75" customHeight="1" x14ac:dyDescent="0.2">
      <c r="A80" s="724"/>
      <c r="B80" s="7" t="s">
        <v>66</v>
      </c>
      <c r="C80" s="83">
        <v>-8716</v>
      </c>
      <c r="D80" s="742">
        <v>-0.27916212926782397</v>
      </c>
      <c r="E80" s="88"/>
      <c r="F80" s="399">
        <v>22506</v>
      </c>
      <c r="G80" s="399">
        <v>14499</v>
      </c>
      <c r="H80" s="399">
        <v>17621</v>
      </c>
      <c r="I80" s="619">
        <v>20259</v>
      </c>
      <c r="J80" s="399">
        <v>31222</v>
      </c>
      <c r="K80" s="399">
        <v>21770</v>
      </c>
      <c r="L80" s="399">
        <v>18945</v>
      </c>
      <c r="M80" s="619">
        <v>19878</v>
      </c>
      <c r="N80" s="399">
        <v>22869</v>
      </c>
      <c r="O80" s="399">
        <v>18602</v>
      </c>
      <c r="P80" s="399">
        <v>17025</v>
      </c>
      <c r="Q80" s="619">
        <v>8029</v>
      </c>
      <c r="R80" s="399">
        <v>6783</v>
      </c>
      <c r="S80" s="399">
        <v>3263</v>
      </c>
      <c r="T80" s="421">
        <v>-1431</v>
      </c>
      <c r="U80" s="619">
        <v>1596</v>
      </c>
      <c r="V80" s="399">
        <v>16713</v>
      </c>
      <c r="W80" s="399">
        <v>10128</v>
      </c>
      <c r="X80" s="399">
        <v>9273</v>
      </c>
      <c r="Y80" s="619">
        <v>5850</v>
      </c>
      <c r="Z80" s="399">
        <v>6575</v>
      </c>
      <c r="AA80" s="399">
        <v>11377</v>
      </c>
      <c r="AB80" s="399">
        <v>10681</v>
      </c>
      <c r="AC80" s="619">
        <v>8992</v>
      </c>
      <c r="AD80" s="228">
        <v>6928</v>
      </c>
      <c r="AE80" s="399">
        <v>4430</v>
      </c>
      <c r="AF80" s="399">
        <v>313</v>
      </c>
      <c r="AG80" s="619">
        <v>5363</v>
      </c>
      <c r="AH80" s="739">
        <v>5363</v>
      </c>
      <c r="AI80" s="725"/>
      <c r="AJ80" s="725"/>
      <c r="AK80" s="7"/>
      <c r="AL80" s="725"/>
      <c r="AM80" s="7"/>
      <c r="AN80" s="7"/>
      <c r="AO80" s="725"/>
      <c r="AP80" s="88"/>
      <c r="AQ80" s="536">
        <v>52379</v>
      </c>
      <c r="AR80" s="536">
        <v>60593</v>
      </c>
      <c r="AS80" s="536">
        <v>-16930</v>
      </c>
      <c r="AT80" s="742">
        <v>-0.18439252845395632</v>
      </c>
      <c r="AU80" s="725"/>
      <c r="AV80" s="744">
        <v>74885</v>
      </c>
      <c r="AW80" s="744">
        <v>91815</v>
      </c>
      <c r="AX80" s="744">
        <v>66525</v>
      </c>
      <c r="AY80" s="744">
        <v>10211</v>
      </c>
      <c r="AZ80" s="729">
        <v>41964</v>
      </c>
      <c r="BA80" s="729">
        <v>37625</v>
      </c>
      <c r="BB80" s="729">
        <v>17034</v>
      </c>
      <c r="BC80" s="172">
        <v>7233</v>
      </c>
      <c r="BD80" s="728">
        <v>26646</v>
      </c>
      <c r="BE80" s="43">
        <v>31739</v>
      </c>
      <c r="BF80" s="727"/>
      <c r="BG80" s="727"/>
      <c r="BH80" s="25"/>
    </row>
    <row r="81" spans="1:60" ht="12.75" customHeight="1" x14ac:dyDescent="0.2">
      <c r="A81" s="724"/>
      <c r="B81" s="7" t="s">
        <v>67</v>
      </c>
      <c r="C81" s="83">
        <v>-896</v>
      </c>
      <c r="D81" s="45">
        <v>-0.37805907172995779</v>
      </c>
      <c r="E81" s="88"/>
      <c r="F81" s="399">
        <v>1474</v>
      </c>
      <c r="G81" s="399">
        <v>1145</v>
      </c>
      <c r="H81" s="399">
        <v>1806</v>
      </c>
      <c r="I81" s="619">
        <v>2183</v>
      </c>
      <c r="J81" s="399">
        <v>2370</v>
      </c>
      <c r="K81" s="399">
        <v>2182</v>
      </c>
      <c r="L81" s="399">
        <v>2502</v>
      </c>
      <c r="M81" s="619">
        <v>2586</v>
      </c>
      <c r="N81" s="399">
        <v>2229</v>
      </c>
      <c r="O81" s="399">
        <v>2872</v>
      </c>
      <c r="P81" s="399">
        <v>1914</v>
      </c>
      <c r="Q81" s="619">
        <v>2967</v>
      </c>
      <c r="R81" s="399">
        <v>2590</v>
      </c>
      <c r="S81" s="399">
        <v>2133</v>
      </c>
      <c r="T81" s="421">
        <v>1827</v>
      </c>
      <c r="U81" s="619">
        <v>1804</v>
      </c>
      <c r="V81" s="399">
        <v>1891</v>
      </c>
      <c r="W81" s="399">
        <v>2898</v>
      </c>
      <c r="X81" s="399">
        <v>1311</v>
      </c>
      <c r="Y81" s="619">
        <v>-19</v>
      </c>
      <c r="Z81" s="399">
        <v>248</v>
      </c>
      <c r="AA81" s="399">
        <v>80</v>
      </c>
      <c r="AB81" s="399">
        <v>113</v>
      </c>
      <c r="AC81" s="619">
        <v>124</v>
      </c>
      <c r="AD81" s="228">
        <v>453</v>
      </c>
      <c r="AE81" s="399">
        <v>866</v>
      </c>
      <c r="AF81" s="399">
        <v>1320</v>
      </c>
      <c r="AG81" s="619">
        <v>1513</v>
      </c>
      <c r="AH81" s="739">
        <v>1512</v>
      </c>
      <c r="AI81" s="725"/>
      <c r="AJ81" s="725"/>
      <c r="AK81" s="7"/>
      <c r="AL81" s="725"/>
      <c r="AM81" s="7"/>
      <c r="AN81" s="7"/>
      <c r="AO81" s="725"/>
      <c r="AP81" s="88"/>
      <c r="AQ81" s="536">
        <v>5134</v>
      </c>
      <c r="AR81" s="536">
        <v>7270</v>
      </c>
      <c r="AS81" s="536">
        <v>-3032</v>
      </c>
      <c r="AT81" s="742">
        <v>-0.31452282157676348</v>
      </c>
      <c r="AU81" s="725"/>
      <c r="AV81" s="744">
        <v>6608</v>
      </c>
      <c r="AW81" s="744">
        <v>9640</v>
      </c>
      <c r="AX81" s="744">
        <v>9982</v>
      </c>
      <c r="AY81" s="744">
        <v>8354</v>
      </c>
      <c r="AZ81" s="729">
        <v>6081</v>
      </c>
      <c r="BA81" s="729">
        <v>565</v>
      </c>
      <c r="BB81" s="729">
        <v>4152</v>
      </c>
      <c r="BC81" s="172">
        <v>8036</v>
      </c>
      <c r="BD81" s="728">
        <v>9202</v>
      </c>
      <c r="BE81" s="43">
        <v>5342</v>
      </c>
      <c r="BF81" s="727"/>
      <c r="BG81" s="727"/>
      <c r="BH81" s="25"/>
    </row>
    <row r="82" spans="1:60" ht="12.75" customHeight="1" x14ac:dyDescent="0.2">
      <c r="A82" s="190"/>
      <c r="B82" s="7" t="s">
        <v>68</v>
      </c>
      <c r="C82" s="83">
        <v>973</v>
      </c>
      <c r="D82" s="485">
        <v>2.3111638954869358</v>
      </c>
      <c r="E82" s="534"/>
      <c r="F82" s="399">
        <v>1394</v>
      </c>
      <c r="G82" s="399">
        <v>465</v>
      </c>
      <c r="H82" s="399">
        <v>746</v>
      </c>
      <c r="I82" s="619">
        <v>1050</v>
      </c>
      <c r="J82" s="399">
        <v>421</v>
      </c>
      <c r="K82" s="399">
        <v>790</v>
      </c>
      <c r="L82" s="399">
        <v>397</v>
      </c>
      <c r="M82" s="619">
        <v>1203</v>
      </c>
      <c r="N82" s="399">
        <v>421</v>
      </c>
      <c r="O82" s="421">
        <v>-66</v>
      </c>
      <c r="P82" s="399">
        <v>195</v>
      </c>
      <c r="Q82" s="619">
        <v>16</v>
      </c>
      <c r="R82" s="399">
        <v>352</v>
      </c>
      <c r="S82" s="399">
        <v>137</v>
      </c>
      <c r="T82" s="421">
        <v>255</v>
      </c>
      <c r="U82" s="371">
        <v>77</v>
      </c>
      <c r="V82" s="399">
        <v>39</v>
      </c>
      <c r="W82" s="399">
        <v>213</v>
      </c>
      <c r="X82" s="407">
        <v>180</v>
      </c>
      <c r="Y82" s="371">
        <v>-39</v>
      </c>
      <c r="Z82" s="399">
        <v>361</v>
      </c>
      <c r="AA82" s="399">
        <v>-48</v>
      </c>
      <c r="AB82" s="407">
        <v>57</v>
      </c>
      <c r="AC82" s="371">
        <v>749</v>
      </c>
      <c r="AD82" s="228">
        <v>389</v>
      </c>
      <c r="AE82" s="407">
        <v>1874</v>
      </c>
      <c r="AF82" s="407">
        <v>45</v>
      </c>
      <c r="AG82" s="371">
        <v>61</v>
      </c>
      <c r="AH82" s="370">
        <v>60</v>
      </c>
      <c r="AI82" s="15"/>
      <c r="AJ82" s="15"/>
      <c r="AK82" s="15"/>
      <c r="AL82" s="15"/>
      <c r="AM82" s="15"/>
      <c r="AN82" s="15"/>
      <c r="AO82" s="15"/>
      <c r="AP82" s="88"/>
      <c r="AQ82" s="651">
        <v>2261</v>
      </c>
      <c r="AR82" s="537">
        <v>2390</v>
      </c>
      <c r="AS82" s="537">
        <v>844</v>
      </c>
      <c r="AT82" s="147">
        <v>0.30024902170046247</v>
      </c>
      <c r="AU82" s="724"/>
      <c r="AV82" s="744">
        <v>3655</v>
      </c>
      <c r="AW82" s="744">
        <v>2811</v>
      </c>
      <c r="AX82" s="744">
        <v>566</v>
      </c>
      <c r="AY82" s="744">
        <v>821</v>
      </c>
      <c r="AZ82" s="195">
        <v>393</v>
      </c>
      <c r="BA82" s="195">
        <v>1119</v>
      </c>
      <c r="BB82" s="195">
        <v>2369</v>
      </c>
      <c r="BC82" s="208">
        <v>3940</v>
      </c>
      <c r="BD82" s="203">
        <v>-76</v>
      </c>
      <c r="BE82" s="158">
        <v>1010</v>
      </c>
      <c r="BF82" s="727"/>
      <c r="BG82" s="727"/>
      <c r="BH82" s="25"/>
    </row>
    <row r="83" spans="1:60" ht="12.75" customHeight="1" x14ac:dyDescent="0.2">
      <c r="A83" s="190"/>
      <c r="B83" s="7"/>
      <c r="C83" s="507">
        <v>-27280</v>
      </c>
      <c r="D83" s="508">
        <v>-0.1461488596853085</v>
      </c>
      <c r="E83" s="24"/>
      <c r="F83" s="330">
        <v>159379</v>
      </c>
      <c r="G83" s="330">
        <v>103866</v>
      </c>
      <c r="H83" s="330">
        <v>170615</v>
      </c>
      <c r="I83" s="510">
        <v>179245</v>
      </c>
      <c r="J83" s="330">
        <v>186659</v>
      </c>
      <c r="K83" s="330">
        <v>171234</v>
      </c>
      <c r="L83" s="330">
        <v>126691</v>
      </c>
      <c r="M83" s="510">
        <v>131206</v>
      </c>
      <c r="N83" s="330">
        <v>153997</v>
      </c>
      <c r="O83" s="330">
        <v>165625</v>
      </c>
      <c r="P83" s="330">
        <v>120110</v>
      </c>
      <c r="Q83" s="510">
        <v>101301</v>
      </c>
      <c r="R83" s="330">
        <v>113067</v>
      </c>
      <c r="S83" s="330">
        <v>93581</v>
      </c>
      <c r="T83" s="330">
        <v>69452</v>
      </c>
      <c r="U83" s="510">
        <v>97377</v>
      </c>
      <c r="V83" s="330">
        <v>163771</v>
      </c>
      <c r="W83" s="330">
        <v>177758</v>
      </c>
      <c r="X83" s="330">
        <v>96963</v>
      </c>
      <c r="Y83" s="510">
        <v>100152</v>
      </c>
      <c r="Z83" s="330">
        <v>83496</v>
      </c>
      <c r="AA83" s="330">
        <v>116090</v>
      </c>
      <c r="AB83" s="330">
        <v>78475</v>
      </c>
      <c r="AC83" s="510">
        <v>85497</v>
      </c>
      <c r="AD83" s="329">
        <v>64972</v>
      </c>
      <c r="AE83" s="330">
        <v>49250</v>
      </c>
      <c r="AF83" s="330">
        <v>58336</v>
      </c>
      <c r="AG83" s="510">
        <v>104793</v>
      </c>
      <c r="AH83" s="510">
        <v>104793</v>
      </c>
      <c r="AI83" s="2"/>
      <c r="AJ83" s="2"/>
      <c r="AK83" s="2"/>
      <c r="AL83" s="2"/>
      <c r="AM83" s="2"/>
      <c r="AN83" s="2"/>
      <c r="AO83" s="2"/>
      <c r="AP83" s="24"/>
      <c r="AQ83" s="536">
        <v>453726</v>
      </c>
      <c r="AR83" s="536">
        <v>429131</v>
      </c>
      <c r="AS83" s="549">
        <v>-2685</v>
      </c>
      <c r="AT83" s="168">
        <v>-4.360252683544715E-3</v>
      </c>
      <c r="AV83" s="513">
        <v>613105</v>
      </c>
      <c r="AW83" s="513">
        <v>615790</v>
      </c>
      <c r="AX83" s="513">
        <v>541033</v>
      </c>
      <c r="AY83" s="513">
        <v>373477</v>
      </c>
      <c r="AZ83" s="513">
        <v>538644</v>
      </c>
      <c r="BA83" s="513">
        <v>363558</v>
      </c>
      <c r="BB83" s="509">
        <v>277351</v>
      </c>
      <c r="BC83" s="512">
        <v>431642</v>
      </c>
      <c r="BD83" s="513">
        <v>449717</v>
      </c>
      <c r="BE83" s="171">
        <v>333666</v>
      </c>
      <c r="BF83" s="727"/>
      <c r="BG83" s="727"/>
      <c r="BH83" s="25"/>
    </row>
    <row r="84" spans="1:60" ht="11.25" customHeight="1" x14ac:dyDescent="0.2">
      <c r="A84" s="190"/>
      <c r="B84" s="7"/>
      <c r="C84" s="397"/>
      <c r="D84" s="339"/>
      <c r="E84" s="24"/>
      <c r="F84" s="337"/>
      <c r="G84" s="337"/>
      <c r="H84" s="337"/>
      <c r="I84" s="638"/>
      <c r="J84" s="337"/>
      <c r="K84" s="337"/>
      <c r="L84" s="337"/>
      <c r="M84" s="638"/>
      <c r="N84" s="337"/>
      <c r="O84" s="337"/>
      <c r="P84" s="337"/>
      <c r="Q84" s="638"/>
      <c r="R84" s="227"/>
      <c r="S84" s="337"/>
      <c r="T84" s="337"/>
      <c r="U84" s="638"/>
      <c r="V84" s="227"/>
      <c r="W84" s="337"/>
      <c r="X84" s="337"/>
      <c r="Y84" s="638"/>
      <c r="Z84" s="227"/>
      <c r="AA84" s="638"/>
      <c r="AB84" s="638"/>
      <c r="AC84" s="638"/>
      <c r="AD84" s="738"/>
      <c r="AE84" s="738"/>
      <c r="AF84" s="738"/>
      <c r="AG84" s="738"/>
      <c r="AH84" s="738"/>
      <c r="AI84" s="2"/>
      <c r="AJ84" s="2"/>
      <c r="AK84" s="2"/>
      <c r="AL84" s="2"/>
      <c r="AM84" s="2"/>
      <c r="AN84" s="2"/>
      <c r="AO84" s="2"/>
      <c r="AP84" s="24"/>
      <c r="AQ84" s="227"/>
      <c r="AR84" s="337"/>
      <c r="AS84" s="337"/>
      <c r="AT84" s="638"/>
      <c r="AV84" s="639"/>
      <c r="AW84" s="639"/>
      <c r="AX84" s="639"/>
      <c r="AY84" s="639"/>
      <c r="AZ84" s="639"/>
      <c r="BA84" s="639"/>
      <c r="BB84" s="437"/>
      <c r="BC84" s="639"/>
      <c r="BD84" s="639"/>
      <c r="BE84" s="730"/>
      <c r="BF84" s="727"/>
      <c r="BG84" s="727"/>
      <c r="BH84" s="25"/>
    </row>
    <row r="85" spans="1:60" ht="13.5" customHeight="1" x14ac:dyDescent="0.2">
      <c r="A85" s="724"/>
      <c r="B85" s="7" t="s">
        <v>400</v>
      </c>
      <c r="C85" s="152">
        <v>1580</v>
      </c>
      <c r="D85" s="153">
        <v>0.35465768799102132</v>
      </c>
      <c r="E85" s="88"/>
      <c r="F85" s="1322">
        <v>-2875</v>
      </c>
      <c r="G85" s="1322">
        <v>-4152</v>
      </c>
      <c r="H85" s="1322">
        <v>-4070</v>
      </c>
      <c r="I85" s="837">
        <v>-2728</v>
      </c>
      <c r="J85" s="1322">
        <v>-4455</v>
      </c>
      <c r="K85" s="1322">
        <v>-3058</v>
      </c>
      <c r="L85" s="1322">
        <v>-4564</v>
      </c>
      <c r="M85" s="837">
        <v>-2711</v>
      </c>
      <c r="N85" s="1322">
        <v>-4936</v>
      </c>
      <c r="O85" s="1322">
        <v>-4073</v>
      </c>
      <c r="P85" s="1322">
        <v>-1622</v>
      </c>
      <c r="Q85" s="837">
        <v>-4802</v>
      </c>
      <c r="R85" s="1322">
        <v>-1603</v>
      </c>
      <c r="S85" s="1322">
        <v>-6363</v>
      </c>
      <c r="T85" s="1322">
        <v>-7649</v>
      </c>
      <c r="U85" s="837">
        <v>-12509</v>
      </c>
      <c r="V85" s="1322">
        <v>-10900</v>
      </c>
      <c r="W85" s="1322">
        <v>-2762</v>
      </c>
      <c r="X85" s="1322">
        <v>-6393</v>
      </c>
      <c r="Y85" s="837">
        <v>-8241</v>
      </c>
      <c r="Z85" s="836" t="s">
        <v>186</v>
      </c>
      <c r="AA85" s="836" t="s">
        <v>186</v>
      </c>
      <c r="AB85" s="750" t="s">
        <v>186</v>
      </c>
      <c r="AC85" s="703" t="s">
        <v>186</v>
      </c>
      <c r="AD85" s="1330"/>
      <c r="AE85" s="421"/>
      <c r="AF85" s="421"/>
      <c r="AG85" s="703"/>
      <c r="AH85" s="832"/>
      <c r="AI85" s="536"/>
      <c r="AJ85" s="536"/>
      <c r="AK85" s="421"/>
      <c r="AL85" s="536"/>
      <c r="AM85" s="421"/>
      <c r="AN85" s="421"/>
      <c r="AO85" s="536"/>
      <c r="AP85" s="751"/>
      <c r="AQ85" s="537">
        <v>-10950</v>
      </c>
      <c r="AR85" s="537">
        <v>-10333</v>
      </c>
      <c r="AS85" s="537">
        <v>963</v>
      </c>
      <c r="AT85" s="147">
        <v>6.5120367865837164E-2</v>
      </c>
      <c r="AU85" s="725"/>
      <c r="AV85" s="1216">
        <v>-13825</v>
      </c>
      <c r="AW85" s="1216">
        <v>-14788</v>
      </c>
      <c r="AX85" s="1216">
        <v>-15433</v>
      </c>
      <c r="AY85" s="1216">
        <v>-28124</v>
      </c>
      <c r="AZ85" s="1309">
        <v>-28296</v>
      </c>
      <c r="BA85" s="272" t="s">
        <v>186</v>
      </c>
      <c r="BB85" s="272" t="s">
        <v>186</v>
      </c>
      <c r="BC85" s="236" t="s">
        <v>186</v>
      </c>
      <c r="BD85" s="204" t="s">
        <v>186</v>
      </c>
      <c r="BE85" s="43"/>
      <c r="BF85" s="727"/>
      <c r="BG85" s="727"/>
      <c r="BH85" s="25"/>
    </row>
    <row r="86" spans="1:60" ht="12.75" customHeight="1" x14ac:dyDescent="0.2">
      <c r="A86" s="190"/>
      <c r="B86" s="7"/>
      <c r="C86" s="151"/>
      <c r="D86" s="11"/>
      <c r="F86" s="738"/>
      <c r="G86" s="738"/>
      <c r="H86" s="738"/>
      <c r="I86" s="738"/>
      <c r="J86" s="738"/>
      <c r="K86" s="738"/>
      <c r="L86" s="738"/>
      <c r="M86" s="738"/>
      <c r="N86" s="738"/>
      <c r="O86" s="738"/>
      <c r="P86" s="738"/>
      <c r="Q86" s="738"/>
      <c r="R86" s="738"/>
      <c r="S86" s="738"/>
      <c r="T86" s="738"/>
      <c r="U86" s="738"/>
      <c r="V86" s="738"/>
      <c r="W86" s="738"/>
      <c r="X86" s="738"/>
      <c r="Y86" s="738"/>
      <c r="Z86" s="738"/>
      <c r="AA86" s="738"/>
      <c r="AB86" s="738"/>
      <c r="AC86" s="738"/>
      <c r="AD86" s="738"/>
      <c r="AE86" s="738"/>
      <c r="AF86" s="738"/>
      <c r="AG86" s="738"/>
      <c r="AH86" s="738"/>
      <c r="AI86" s="2"/>
      <c r="AJ86" s="2"/>
      <c r="AK86" s="2"/>
      <c r="AL86" s="2"/>
      <c r="AM86" s="2"/>
      <c r="AN86" s="2"/>
      <c r="AO86" s="2"/>
      <c r="AP86" s="722"/>
      <c r="AQ86" s="722"/>
      <c r="AR86" s="722"/>
      <c r="AS86" s="637"/>
      <c r="AT86" s="755"/>
      <c r="AV86" s="536"/>
      <c r="AW86" s="536"/>
      <c r="AX86" s="536"/>
      <c r="AY86" s="536"/>
      <c r="AZ86" s="536"/>
      <c r="BA86" s="536"/>
      <c r="BB86" s="738"/>
      <c r="BC86" s="536"/>
      <c r="BD86" s="536"/>
      <c r="BE86" s="730"/>
      <c r="BF86" s="727"/>
      <c r="BG86" s="727"/>
    </row>
    <row r="87" spans="1:60" ht="12.75" customHeight="1" x14ac:dyDescent="0.2">
      <c r="A87" s="7" t="s">
        <v>439</v>
      </c>
      <c r="B87" s="13"/>
      <c r="C87" s="13"/>
      <c r="D87" s="13"/>
      <c r="E87" s="13"/>
      <c r="F87" s="835"/>
      <c r="G87" s="835"/>
      <c r="H87" s="835"/>
      <c r="I87" s="835"/>
      <c r="J87" s="835"/>
      <c r="K87" s="835"/>
      <c r="L87" s="835"/>
      <c r="M87" s="835"/>
      <c r="N87" s="1306"/>
      <c r="O87" s="835"/>
      <c r="P87" s="835"/>
      <c r="Q87" s="835"/>
      <c r="R87" s="835"/>
      <c r="S87" s="835"/>
      <c r="T87" s="835"/>
      <c r="U87" s="835"/>
      <c r="V87" s="835"/>
      <c r="W87" s="835"/>
      <c r="X87" s="835"/>
      <c r="Y87" s="15"/>
      <c r="Z87" s="13"/>
      <c r="AA87" s="13"/>
      <c r="AB87" s="13"/>
      <c r="AC87" s="15"/>
      <c r="AD87" s="13"/>
      <c r="AE87" s="13"/>
      <c r="AF87" s="13"/>
      <c r="AG87" s="15"/>
      <c r="AH87" s="15"/>
      <c r="AI87" s="15"/>
      <c r="AJ87" s="15"/>
      <c r="AK87" s="15"/>
      <c r="AL87" s="15"/>
      <c r="AM87" s="15"/>
      <c r="AN87" s="15"/>
      <c r="AO87" s="15"/>
      <c r="AP87" s="722"/>
      <c r="AQ87" s="722"/>
      <c r="AR87" s="722"/>
      <c r="BC87" s="2"/>
      <c r="BD87" s="2"/>
      <c r="BE87" s="724"/>
      <c r="BF87" s="724"/>
    </row>
    <row r="88" spans="1:60" x14ac:dyDescent="0.2">
      <c r="A88" s="1" t="s">
        <v>29</v>
      </c>
      <c r="B88" s="722"/>
      <c r="C88" s="722"/>
      <c r="D88" s="722"/>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row>
    <row r="89" spans="1:60" x14ac:dyDescent="0.2">
      <c r="A89" s="2"/>
      <c r="I89" s="754"/>
      <c r="BA89" s="394"/>
      <c r="BC89" s="754"/>
      <c r="BD89" s="754"/>
    </row>
    <row r="90" spans="1:60" x14ac:dyDescent="0.2">
      <c r="A90" s="7" t="s">
        <v>339</v>
      </c>
      <c r="F90" s="399"/>
      <c r="G90" s="399"/>
      <c r="H90" s="399"/>
      <c r="I90" s="399"/>
      <c r="BA90" s="738"/>
      <c r="BB90" s="738"/>
      <c r="BC90" s="209"/>
      <c r="BD90" s="209"/>
      <c r="BE90" s="754"/>
    </row>
    <row r="91" spans="1:60" x14ac:dyDescent="0.2">
      <c r="F91" s="665"/>
      <c r="G91" s="665"/>
      <c r="H91" s="665"/>
      <c r="I91" s="665"/>
      <c r="BA91" s="665"/>
      <c r="BB91" s="722"/>
      <c r="BC91" s="754"/>
      <c r="BD91" s="754"/>
      <c r="BE91" s="722"/>
    </row>
    <row r="92" spans="1:60" x14ac:dyDescent="0.2">
      <c r="F92" s="665"/>
      <c r="G92" s="399"/>
      <c r="H92" s="399"/>
      <c r="I92" s="399"/>
      <c r="BA92" s="738"/>
      <c r="BB92" s="738"/>
      <c r="BC92" s="209"/>
      <c r="BD92" s="209"/>
      <c r="BE92" s="754"/>
    </row>
    <row r="93" spans="1:60" x14ac:dyDescent="0.2">
      <c r="F93" s="665"/>
      <c r="G93" s="394"/>
      <c r="H93" s="394"/>
      <c r="I93" s="394"/>
      <c r="BA93" s="394"/>
      <c r="BB93" s="394"/>
      <c r="BC93" s="394"/>
      <c r="BD93" s="394"/>
      <c r="BE93" s="394"/>
    </row>
    <row r="94" spans="1:60" x14ac:dyDescent="0.2">
      <c r="AG94" s="11"/>
      <c r="AH94" s="35"/>
      <c r="AI94" s="35"/>
      <c r="AJ94" s="35"/>
      <c r="AK94" s="35"/>
      <c r="AL94" s="35"/>
      <c r="AM94" s="35"/>
      <c r="AN94" s="35"/>
      <c r="AO94" s="47"/>
      <c r="AP94" s="722"/>
      <c r="AQ94" s="722"/>
      <c r="AR94" s="722"/>
      <c r="BC94" s="35"/>
      <c r="BD94" s="35"/>
    </row>
    <row r="95" spans="1:60" x14ac:dyDescent="0.2">
      <c r="AG95" s="11"/>
      <c r="AH95" s="35"/>
      <c r="AI95" s="35"/>
      <c r="AJ95" s="35"/>
      <c r="AK95" s="35"/>
      <c r="AL95" s="35"/>
      <c r="AM95" s="35"/>
      <c r="AN95" s="35"/>
      <c r="AO95" s="755"/>
      <c r="AP95" s="722"/>
      <c r="AQ95" s="722"/>
      <c r="AR95" s="722"/>
      <c r="BC95" s="35"/>
      <c r="BD95" s="35"/>
    </row>
    <row r="96" spans="1:60" x14ac:dyDescent="0.2">
      <c r="AG96" s="35"/>
      <c r="AH96" s="35"/>
      <c r="AI96" s="35"/>
      <c r="AJ96" s="35"/>
      <c r="AK96" s="35"/>
      <c r="AL96" s="35"/>
      <c r="AM96" s="35"/>
      <c r="AN96" s="35"/>
      <c r="AO96" s="35"/>
      <c r="AP96" s="722"/>
      <c r="AQ96" s="722"/>
      <c r="AR96" s="722"/>
      <c r="BC96" s="36"/>
      <c r="BD96" s="36"/>
    </row>
    <row r="97" spans="33:56" x14ac:dyDescent="0.2">
      <c r="AG97" s="36"/>
      <c r="AH97" s="36"/>
      <c r="AI97" s="36"/>
      <c r="AJ97" s="36"/>
      <c r="AK97" s="36"/>
      <c r="AL97" s="36"/>
      <c r="AM97" s="36"/>
      <c r="AN97" s="36"/>
      <c r="AO97" s="36"/>
      <c r="AP97" s="722"/>
      <c r="AQ97" s="722"/>
      <c r="AR97" s="722"/>
      <c r="BC97" s="36"/>
      <c r="BD97" s="36"/>
    </row>
    <row r="98" spans="33:56" x14ac:dyDescent="0.2">
      <c r="AG98" s="36"/>
      <c r="AH98" s="36"/>
      <c r="AI98" s="36"/>
      <c r="AJ98" s="36"/>
      <c r="AK98" s="36"/>
      <c r="AL98" s="36"/>
      <c r="AM98" s="36"/>
      <c r="AN98" s="36"/>
      <c r="AO98" s="36"/>
      <c r="AP98" s="722"/>
      <c r="AQ98" s="722"/>
      <c r="AR98" s="722"/>
      <c r="BC98" s="722"/>
      <c r="BD98" s="722"/>
    </row>
    <row r="99" spans="33:56" x14ac:dyDescent="0.2">
      <c r="AG99" s="722"/>
      <c r="AH99" s="722"/>
      <c r="AI99" s="722"/>
      <c r="AJ99" s="722"/>
      <c r="AK99" s="722"/>
      <c r="AL99" s="722"/>
      <c r="AM99" s="722"/>
      <c r="AN99" s="722"/>
      <c r="AO99" s="722"/>
      <c r="AP99" s="722"/>
      <c r="AQ99" s="722"/>
      <c r="AR99" s="722"/>
      <c r="BC99" s="722"/>
      <c r="BD99" s="722"/>
    </row>
    <row r="100" spans="33:56" x14ac:dyDescent="0.2">
      <c r="AG100" s="722"/>
      <c r="AH100" s="722"/>
      <c r="AI100" s="722"/>
      <c r="AJ100" s="722"/>
      <c r="AK100" s="722"/>
      <c r="AL100" s="722"/>
      <c r="AM100" s="722"/>
      <c r="AN100" s="722"/>
      <c r="AO100" s="722"/>
      <c r="AP100" s="722"/>
      <c r="AQ100" s="722"/>
      <c r="AR100" s="722"/>
      <c r="BC100" s="722"/>
      <c r="BD100" s="722"/>
    </row>
    <row r="101" spans="33:56" x14ac:dyDescent="0.2">
      <c r="AG101" s="722"/>
      <c r="AH101" s="722"/>
      <c r="AI101" s="722"/>
      <c r="AJ101" s="722"/>
      <c r="AK101" s="722"/>
      <c r="AL101" s="722"/>
      <c r="AM101" s="722"/>
      <c r="AN101" s="722"/>
      <c r="AO101" s="722"/>
      <c r="AP101" s="722"/>
      <c r="AQ101" s="722"/>
      <c r="AR101" s="722"/>
      <c r="BC101" s="722"/>
      <c r="BD101" s="722"/>
    </row>
    <row r="102" spans="33:56" x14ac:dyDescent="0.2">
      <c r="AG102" s="722"/>
      <c r="AH102" s="722"/>
      <c r="AI102" s="722"/>
      <c r="AJ102" s="722"/>
      <c r="AK102" s="722"/>
      <c r="AL102" s="722"/>
      <c r="AM102" s="722"/>
      <c r="AN102" s="722"/>
      <c r="AO102" s="722"/>
      <c r="AP102" s="722"/>
      <c r="AQ102" s="722"/>
      <c r="AR102" s="722"/>
      <c r="BC102" s="722"/>
      <c r="BD102" s="722"/>
    </row>
    <row r="103" spans="33:56" x14ac:dyDescent="0.2">
      <c r="AG103" s="722"/>
      <c r="AH103" s="722"/>
      <c r="AI103" s="722"/>
      <c r="AJ103" s="722"/>
      <c r="AK103" s="722"/>
      <c r="AL103" s="722"/>
      <c r="AM103" s="722"/>
      <c r="AN103" s="722"/>
      <c r="AO103" s="722"/>
      <c r="AP103" s="722"/>
      <c r="AQ103" s="722"/>
      <c r="AR103" s="722"/>
    </row>
  </sheetData>
  <mergeCells count="10">
    <mergeCell ref="A42:B42"/>
    <mergeCell ref="C63:D63"/>
    <mergeCell ref="C64:D64"/>
    <mergeCell ref="AS64:AT64"/>
    <mergeCell ref="C75:D75"/>
    <mergeCell ref="C76:D76"/>
    <mergeCell ref="AS76:AT76"/>
    <mergeCell ref="C12:D12"/>
    <mergeCell ref="C13:D13"/>
    <mergeCell ref="AS13:AT13"/>
  </mergeCells>
  <conditionalFormatting sqref="A86 BC57:BF57 BC52:BD56 A82:A84 A61:A62 AH52:AH56 AI52:AO57 AH70:AO73 BB52:BB57 A74 A52:A53 B49:B53 A49 BD70:BD73 BB70:BC71 AY73:BC73">
    <cfRule type="cellIs" dxfId="46" priority="5" stopIfTrue="1" operator="equal">
      <formula>0</formula>
    </cfRule>
  </conditionalFormatting>
  <conditionalFormatting sqref="AX73">
    <cfRule type="cellIs" dxfId="45" priority="4" stopIfTrue="1" operator="equal">
      <formula>0</formula>
    </cfRule>
  </conditionalFormatting>
  <conditionalFormatting sqref="AX73">
    <cfRule type="cellIs" dxfId="44" priority="3" stopIfTrue="1" operator="equal">
      <formula>0</formula>
    </cfRule>
  </conditionalFormatting>
  <conditionalFormatting sqref="AW73">
    <cfRule type="cellIs" dxfId="43" priority="2" stopIfTrue="1" operator="equal">
      <formula>0</formula>
    </cfRule>
  </conditionalFormatting>
  <conditionalFormatting sqref="AV73">
    <cfRule type="cellIs" dxfId="42" priority="1" stopIfTrue="1" operator="equal">
      <formula>0</formula>
    </cfRule>
  </conditionalFormatting>
  <printOptions horizontalCentered="1"/>
  <pageMargins left="0.3" right="0.3" top="0.4" bottom="0.53" header="0" footer="0.3"/>
  <pageSetup scale="53" orientation="landscape" r:id="rId1"/>
  <headerFooter alignWithMargins="0">
    <oddFooter>&amp;CPage 3</oddFooter>
  </headerFooter>
  <colBreaks count="1" manualBreakCount="1">
    <brk id="57" max="8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O99"/>
  <sheetViews>
    <sheetView topLeftCell="A46" zoomScaleNormal="100" zoomScaleSheetLayoutView="80" workbookViewId="0">
      <selection activeCell="A41" sqref="A41:XFD43"/>
    </sheetView>
  </sheetViews>
  <sheetFormatPr defaultRowHeight="12.75" x14ac:dyDescent="0.2"/>
  <cols>
    <col min="1" max="1" width="2.7109375" style="942" customWidth="1"/>
    <col min="2" max="2" width="45.7109375" style="942" customWidth="1"/>
    <col min="3" max="3" width="9.5703125" style="942" customWidth="1"/>
    <col min="4" max="4" width="9.7109375" style="942" customWidth="1"/>
    <col min="5" max="5" width="1.5703125" style="943" customWidth="1"/>
    <col min="6" max="6" width="9.7109375" style="943" customWidth="1"/>
    <col min="7" max="7" width="7.28515625" style="943" bestFit="1" customWidth="1"/>
    <col min="8" max="14" width="8.7109375" style="943" customWidth="1"/>
    <col min="15" max="25" width="8.7109375" style="943" hidden="1" customWidth="1"/>
    <col min="26" max="32" width="9.7109375" style="943" hidden="1" customWidth="1"/>
    <col min="33" max="41" width="9.7109375" style="942" hidden="1" customWidth="1"/>
    <col min="42" max="42" width="1.5703125" style="942" customWidth="1"/>
    <col min="43" max="43" width="9.42578125" style="942" hidden="1" customWidth="1"/>
    <col min="44" max="44" width="9" style="942" hidden="1" customWidth="1"/>
    <col min="45" max="46" width="9.7109375" style="945" customWidth="1"/>
    <col min="47" max="47" width="1.5703125" style="942" customWidth="1"/>
    <col min="48" max="52" width="9.7109375" style="942" customWidth="1"/>
    <col min="53" max="59" width="9.7109375" style="942" hidden="1" customWidth="1"/>
    <col min="60" max="60" width="1.5703125" style="942" customWidth="1"/>
    <col min="61" max="16384" width="9.140625" style="942"/>
  </cols>
  <sheetData>
    <row r="2" spans="1:67" x14ac:dyDescent="0.2">
      <c r="G2" s="944"/>
      <c r="H2" s="944"/>
      <c r="I2" s="944"/>
      <c r="K2" s="944"/>
      <c r="L2" s="944"/>
      <c r="M2" s="944"/>
      <c r="O2" s="944"/>
      <c r="P2" s="944"/>
      <c r="Q2" s="944"/>
      <c r="T2" s="944"/>
      <c r="U2" s="944"/>
      <c r="X2" s="944"/>
      <c r="Y2" s="944"/>
      <c r="AB2" s="944"/>
      <c r="AC2" s="944"/>
    </row>
    <row r="5" spans="1:67" x14ac:dyDescent="0.2">
      <c r="A5" s="943"/>
      <c r="B5" s="943"/>
      <c r="C5" s="943"/>
      <c r="D5" s="943"/>
      <c r="AG5" s="943"/>
      <c r="AH5" s="943"/>
      <c r="AI5" s="943"/>
    </row>
    <row r="6" spans="1:67" ht="18" customHeight="1" x14ac:dyDescent="0.2">
      <c r="A6" s="946" t="s">
        <v>381</v>
      </c>
      <c r="B6" s="943"/>
      <c r="C6" s="943"/>
      <c r="D6" s="943"/>
      <c r="G6" s="944"/>
      <c r="H6" s="1400"/>
      <c r="K6" s="944"/>
      <c r="L6" s="1400"/>
      <c r="AG6" s="943"/>
      <c r="AH6" s="943"/>
      <c r="AI6" s="943"/>
    </row>
    <row r="7" spans="1:67" ht="18" customHeight="1" x14ac:dyDescent="0.2">
      <c r="A7" s="946" t="s">
        <v>412</v>
      </c>
      <c r="B7" s="943"/>
      <c r="C7" s="943"/>
      <c r="D7" s="943"/>
      <c r="G7" s="1401"/>
      <c r="K7" s="1401"/>
      <c r="AG7" s="943"/>
      <c r="AH7" s="943"/>
      <c r="AI7" s="943"/>
    </row>
    <row r="8" spans="1:67" ht="18" customHeight="1" x14ac:dyDescent="0.2">
      <c r="A8" s="946" t="s">
        <v>409</v>
      </c>
      <c r="B8" s="947"/>
      <c r="C8" s="947"/>
      <c r="D8" s="947"/>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c r="AE8" s="947"/>
      <c r="AF8" s="947"/>
      <c r="AG8" s="943"/>
      <c r="AH8" s="943"/>
      <c r="AI8" s="943"/>
    </row>
    <row r="9" spans="1:67" ht="9.75" customHeight="1" x14ac:dyDescent="0.2">
      <c r="A9" s="948"/>
      <c r="B9" s="948"/>
      <c r="C9" s="948"/>
      <c r="D9" s="948"/>
      <c r="E9" s="948"/>
      <c r="F9" s="948"/>
      <c r="G9" s="949"/>
      <c r="H9" s="949"/>
      <c r="I9" s="948"/>
      <c r="J9" s="948"/>
      <c r="K9" s="949"/>
      <c r="L9" s="949"/>
      <c r="M9" s="948"/>
      <c r="N9" s="948"/>
      <c r="O9" s="949"/>
      <c r="P9" s="949"/>
      <c r="Q9" s="948"/>
      <c r="R9" s="948"/>
      <c r="S9" s="948"/>
      <c r="T9" s="949"/>
      <c r="U9" s="948"/>
      <c r="V9" s="949"/>
      <c r="W9" s="948"/>
      <c r="X9" s="949"/>
      <c r="Y9" s="948"/>
      <c r="Z9" s="949"/>
      <c r="AA9" s="948"/>
      <c r="AB9" s="949"/>
      <c r="AC9" s="948"/>
      <c r="AD9" s="949"/>
      <c r="AE9" s="948"/>
      <c r="AF9" s="948"/>
      <c r="AG9" s="943"/>
      <c r="AH9" s="943"/>
      <c r="AI9" s="943"/>
      <c r="AS9" s="950"/>
      <c r="AT9" s="950"/>
    </row>
    <row r="10" spans="1:67" x14ac:dyDescent="0.2">
      <c r="A10" s="951" t="s">
        <v>1</v>
      </c>
      <c r="B10" s="952"/>
      <c r="C10" s="1489" t="s">
        <v>447</v>
      </c>
      <c r="D10" s="1490"/>
      <c r="E10" s="953"/>
      <c r="F10" s="954"/>
      <c r="G10" s="954"/>
      <c r="I10" s="955"/>
      <c r="J10" s="954"/>
      <c r="K10" s="954"/>
      <c r="M10" s="955"/>
      <c r="N10" s="954"/>
      <c r="O10" s="954"/>
      <c r="Q10" s="955"/>
      <c r="R10" s="954"/>
      <c r="S10" s="954"/>
      <c r="U10" s="955"/>
      <c r="V10" s="954"/>
      <c r="W10" s="954"/>
      <c r="Y10" s="955"/>
      <c r="Z10" s="954"/>
      <c r="AA10" s="954"/>
      <c r="AC10" s="955"/>
      <c r="AE10" s="954"/>
      <c r="AF10" s="954"/>
      <c r="AG10" s="955"/>
      <c r="AH10" s="954"/>
      <c r="AI10" s="954"/>
      <c r="AJ10" s="954"/>
      <c r="AK10" s="954"/>
      <c r="AL10" s="956"/>
      <c r="AM10" s="955"/>
      <c r="AN10" s="955"/>
      <c r="AO10" s="955"/>
      <c r="AP10" s="957"/>
      <c r="AQ10" s="661" t="s">
        <v>340</v>
      </c>
      <c r="AR10" s="647"/>
      <c r="AS10" s="647" t="s">
        <v>432</v>
      </c>
      <c r="AT10" s="648"/>
      <c r="AU10" s="958"/>
      <c r="AV10" s="959"/>
      <c r="AW10" s="959"/>
      <c r="AX10" s="959"/>
      <c r="AY10" s="959"/>
      <c r="AZ10" s="959"/>
      <c r="BA10" s="959"/>
      <c r="BB10" s="959"/>
      <c r="BC10" s="956"/>
      <c r="BD10" s="960"/>
      <c r="BE10" s="959"/>
      <c r="BF10" s="961"/>
      <c r="BG10" s="961"/>
      <c r="BH10" s="962"/>
    </row>
    <row r="11" spans="1:67" ht="13.5" x14ac:dyDescent="0.2">
      <c r="A11" s="951" t="s">
        <v>2</v>
      </c>
      <c r="B11" s="952"/>
      <c r="C11" s="1487" t="s">
        <v>39</v>
      </c>
      <c r="D11" s="1488"/>
      <c r="E11" s="963"/>
      <c r="F11" s="21" t="s">
        <v>425</v>
      </c>
      <c r="G11" s="21" t="s">
        <v>426</v>
      </c>
      <c r="H11" s="21" t="s">
        <v>427</v>
      </c>
      <c r="I11" s="14" t="s">
        <v>428</v>
      </c>
      <c r="J11" s="964" t="s">
        <v>363</v>
      </c>
      <c r="K11" s="964" t="s">
        <v>362</v>
      </c>
      <c r="L11" s="964" t="s">
        <v>361</v>
      </c>
      <c r="M11" s="965" t="s">
        <v>359</v>
      </c>
      <c r="N11" s="964" t="s">
        <v>302</v>
      </c>
      <c r="O11" s="964" t="s">
        <v>303</v>
      </c>
      <c r="P11" s="964" t="s">
        <v>304</v>
      </c>
      <c r="Q11" s="965" t="s">
        <v>305</v>
      </c>
      <c r="R11" s="964" t="s">
        <v>231</v>
      </c>
      <c r="S11" s="964" t="s">
        <v>232</v>
      </c>
      <c r="T11" s="964" t="s">
        <v>233</v>
      </c>
      <c r="U11" s="965" t="s">
        <v>230</v>
      </c>
      <c r="V11" s="964" t="s">
        <v>194</v>
      </c>
      <c r="W11" s="964" t="s">
        <v>195</v>
      </c>
      <c r="X11" s="964" t="s">
        <v>196</v>
      </c>
      <c r="Y11" s="965" t="s">
        <v>197</v>
      </c>
      <c r="Z11" s="964" t="s">
        <v>126</v>
      </c>
      <c r="AA11" s="964" t="s">
        <v>125</v>
      </c>
      <c r="AB11" s="964" t="s">
        <v>124</v>
      </c>
      <c r="AC11" s="965" t="s">
        <v>123</v>
      </c>
      <c r="AD11" s="964" t="s">
        <v>86</v>
      </c>
      <c r="AE11" s="964" t="s">
        <v>87</v>
      </c>
      <c r="AF11" s="964" t="s">
        <v>88</v>
      </c>
      <c r="AG11" s="965" t="s">
        <v>30</v>
      </c>
      <c r="AH11" s="964" t="s">
        <v>31</v>
      </c>
      <c r="AI11" s="964" t="s">
        <v>32</v>
      </c>
      <c r="AJ11" s="964" t="s">
        <v>33</v>
      </c>
      <c r="AK11" s="964" t="s">
        <v>34</v>
      </c>
      <c r="AL11" s="966" t="s">
        <v>35</v>
      </c>
      <c r="AM11" s="965" t="s">
        <v>36</v>
      </c>
      <c r="AN11" s="965" t="s">
        <v>37</v>
      </c>
      <c r="AO11" s="965" t="s">
        <v>38</v>
      </c>
      <c r="AP11" s="953"/>
      <c r="AQ11" s="21" t="s">
        <v>426</v>
      </c>
      <c r="AR11" s="21" t="s">
        <v>362</v>
      </c>
      <c r="AS11" s="1477" t="s">
        <v>39</v>
      </c>
      <c r="AT11" s="1478"/>
      <c r="AU11" s="967"/>
      <c r="AV11" s="20" t="s">
        <v>446</v>
      </c>
      <c r="AW11" s="20" t="s">
        <v>365</v>
      </c>
      <c r="AX11" s="968" t="s">
        <v>307</v>
      </c>
      <c r="AY11" s="968" t="s">
        <v>235</v>
      </c>
      <c r="AZ11" s="968" t="s">
        <v>128</v>
      </c>
      <c r="BA11" s="968" t="s">
        <v>127</v>
      </c>
      <c r="BB11" s="966" t="s">
        <v>43</v>
      </c>
      <c r="BC11" s="966" t="s">
        <v>40</v>
      </c>
      <c r="BD11" s="968" t="s">
        <v>41</v>
      </c>
      <c r="BE11" s="968" t="s">
        <v>146</v>
      </c>
      <c r="BF11" s="968" t="s">
        <v>147</v>
      </c>
      <c r="BG11" s="968" t="s">
        <v>148</v>
      </c>
      <c r="BH11" s="962"/>
      <c r="BI11" s="943"/>
      <c r="BJ11" s="943"/>
      <c r="BK11" s="943"/>
      <c r="BL11" s="943"/>
      <c r="BM11" s="943"/>
      <c r="BN11" s="943"/>
      <c r="BO11" s="943"/>
    </row>
    <row r="12" spans="1:67" s="986" customFormat="1" x14ac:dyDescent="0.2">
      <c r="A12" s="951"/>
      <c r="B12" s="951"/>
      <c r="C12" s="969"/>
      <c r="D12" s="970"/>
      <c r="E12" s="971"/>
      <c r="F12" s="633" t="s">
        <v>254</v>
      </c>
      <c r="G12" s="633" t="s">
        <v>254</v>
      </c>
      <c r="H12" s="633" t="s">
        <v>254</v>
      </c>
      <c r="I12" s="634" t="s">
        <v>254</v>
      </c>
      <c r="J12" s="972" t="s">
        <v>254</v>
      </c>
      <c r="K12" s="972" t="s">
        <v>254</v>
      </c>
      <c r="L12" s="972" t="s">
        <v>254</v>
      </c>
      <c r="M12" s="973" t="s">
        <v>254</v>
      </c>
      <c r="N12" s="972" t="s">
        <v>254</v>
      </c>
      <c r="O12" s="972" t="s">
        <v>254</v>
      </c>
      <c r="P12" s="972" t="s">
        <v>254</v>
      </c>
      <c r="Q12" s="973" t="s">
        <v>254</v>
      </c>
      <c r="R12" s="972" t="s">
        <v>254</v>
      </c>
      <c r="S12" s="972" t="s">
        <v>254</v>
      </c>
      <c r="T12" s="972" t="s">
        <v>254</v>
      </c>
      <c r="U12" s="973" t="s">
        <v>254</v>
      </c>
      <c r="V12" s="972" t="s">
        <v>254</v>
      </c>
      <c r="W12" s="972" t="s">
        <v>254</v>
      </c>
      <c r="X12" s="972" t="s">
        <v>254</v>
      </c>
      <c r="Y12" s="973" t="s">
        <v>254</v>
      </c>
      <c r="Z12" s="972" t="s">
        <v>255</v>
      </c>
      <c r="AA12" s="972" t="s">
        <v>255</v>
      </c>
      <c r="AB12" s="972" t="s">
        <v>255</v>
      </c>
      <c r="AC12" s="973" t="s">
        <v>255</v>
      </c>
      <c r="AD12" s="974"/>
      <c r="AE12" s="974"/>
      <c r="AF12" s="974"/>
      <c r="AG12" s="975"/>
      <c r="AH12" s="974"/>
      <c r="AI12" s="974"/>
      <c r="AJ12" s="974"/>
      <c r="AK12" s="974"/>
      <c r="AL12" s="976"/>
      <c r="AM12" s="975"/>
      <c r="AN12" s="975"/>
      <c r="AO12" s="975"/>
      <c r="AP12" s="977"/>
      <c r="AQ12" s="978" t="s">
        <v>254</v>
      </c>
      <c r="AR12" s="979" t="s">
        <v>254</v>
      </c>
      <c r="AS12" s="980"/>
      <c r="AT12" s="981"/>
      <c r="AU12" s="982"/>
      <c r="AV12" s="983" t="s">
        <v>254</v>
      </c>
      <c r="AW12" s="983" t="s">
        <v>254</v>
      </c>
      <c r="AX12" s="983" t="s">
        <v>254</v>
      </c>
      <c r="AY12" s="983" t="s">
        <v>254</v>
      </c>
      <c r="AZ12" s="983" t="s">
        <v>254</v>
      </c>
      <c r="BA12" s="983" t="s">
        <v>255</v>
      </c>
      <c r="BB12" s="983" t="s">
        <v>255</v>
      </c>
      <c r="BC12" s="983" t="s">
        <v>255</v>
      </c>
      <c r="BD12" s="983" t="s">
        <v>255</v>
      </c>
      <c r="BE12" s="983" t="s">
        <v>255</v>
      </c>
      <c r="BF12" s="977"/>
      <c r="BG12" s="977"/>
      <c r="BH12" s="984"/>
      <c r="BI12" s="985"/>
      <c r="BJ12" s="985"/>
      <c r="BK12" s="985"/>
      <c r="BL12" s="985"/>
      <c r="BM12" s="985"/>
      <c r="BN12" s="985"/>
      <c r="BO12" s="985"/>
    </row>
    <row r="13" spans="1:67" ht="12.75" customHeight="1" x14ac:dyDescent="0.2">
      <c r="A13" s="987" t="s">
        <v>64</v>
      </c>
      <c r="B13" s="988"/>
      <c r="C13" s="989"/>
      <c r="D13" s="990"/>
      <c r="E13" s="991"/>
      <c r="F13" s="992"/>
      <c r="G13" s="992"/>
      <c r="H13" s="992"/>
      <c r="I13" s="990"/>
      <c r="J13" s="992"/>
      <c r="K13" s="992"/>
      <c r="L13" s="992"/>
      <c r="M13" s="990"/>
      <c r="N13" s="992"/>
      <c r="O13" s="992"/>
      <c r="P13" s="992"/>
      <c r="Q13" s="990"/>
      <c r="R13" s="992"/>
      <c r="S13" s="992"/>
      <c r="T13" s="992"/>
      <c r="U13" s="990"/>
      <c r="V13" s="992"/>
      <c r="W13" s="992"/>
      <c r="X13" s="992"/>
      <c r="Y13" s="990"/>
      <c r="Z13" s="992"/>
      <c r="AA13" s="992"/>
      <c r="AB13" s="992"/>
      <c r="AC13" s="990"/>
      <c r="AD13" s="992"/>
      <c r="AE13" s="992"/>
      <c r="AF13" s="992"/>
      <c r="AG13" s="990"/>
      <c r="AH13" s="993"/>
      <c r="AI13" s="992"/>
      <c r="AJ13" s="992"/>
      <c r="AK13" s="990"/>
      <c r="AL13" s="989"/>
      <c r="AM13" s="990"/>
      <c r="AN13" s="990"/>
      <c r="AO13" s="990"/>
      <c r="AP13" s="991"/>
      <c r="AQ13" s="992"/>
      <c r="AR13" s="992"/>
      <c r="AS13" s="994"/>
      <c r="AT13" s="995"/>
      <c r="AU13" s="996"/>
      <c r="AV13" s="991"/>
      <c r="AW13" s="991"/>
      <c r="AX13" s="991"/>
      <c r="AY13" s="991"/>
      <c r="AZ13" s="991"/>
      <c r="BA13" s="991"/>
      <c r="BB13" s="991"/>
      <c r="BC13" s="989"/>
      <c r="BD13" s="991"/>
      <c r="BE13" s="997"/>
      <c r="BF13" s="998"/>
      <c r="BG13" s="998"/>
      <c r="BH13" s="962"/>
      <c r="BI13" s="943"/>
      <c r="BJ13" s="943"/>
      <c r="BK13" s="943"/>
      <c r="BL13" s="943"/>
      <c r="BM13" s="943"/>
    </row>
    <row r="14" spans="1:67" ht="12.75" customHeight="1" x14ac:dyDescent="0.2">
      <c r="A14" s="952"/>
      <c r="B14" s="990" t="s">
        <v>381</v>
      </c>
      <c r="C14" s="999">
        <v>5235</v>
      </c>
      <c r="D14" s="742">
        <v>0.12158301786004598</v>
      </c>
      <c r="E14" s="1001"/>
      <c r="F14" s="1002">
        <v>48292</v>
      </c>
      <c r="G14" s="1002">
        <v>29192</v>
      </c>
      <c r="H14" s="1284">
        <v>68913</v>
      </c>
      <c r="I14" s="1251">
        <v>58188</v>
      </c>
      <c r="J14" s="1002">
        <v>43057</v>
      </c>
      <c r="K14" s="1002">
        <v>41283</v>
      </c>
      <c r="L14" s="1284">
        <v>31264</v>
      </c>
      <c r="M14" s="1251">
        <v>32910</v>
      </c>
      <c r="N14" s="1284">
        <v>56814</v>
      </c>
      <c r="O14" s="1284">
        <v>76454</v>
      </c>
      <c r="P14" s="1284">
        <v>35445</v>
      </c>
      <c r="Q14" s="1251">
        <v>35624</v>
      </c>
      <c r="R14" s="1284">
        <v>71006</v>
      </c>
      <c r="S14" s="1284">
        <v>56942</v>
      </c>
      <c r="T14" s="1284">
        <v>42491</v>
      </c>
      <c r="U14" s="1251">
        <v>61867</v>
      </c>
      <c r="V14" s="1284">
        <v>88632</v>
      </c>
      <c r="W14" s="1284">
        <v>109404</v>
      </c>
      <c r="X14" s="1284">
        <v>49909</v>
      </c>
      <c r="Y14" s="1251">
        <v>53057</v>
      </c>
      <c r="Z14" s="1284">
        <v>32806</v>
      </c>
      <c r="AA14" s="1284">
        <v>58040</v>
      </c>
      <c r="AB14" s="1285">
        <v>27314</v>
      </c>
      <c r="AC14" s="1251">
        <v>30054</v>
      </c>
      <c r="AD14" s="1198">
        <v>25033</v>
      </c>
      <c r="AE14" s="1198">
        <v>12639</v>
      </c>
      <c r="AF14" s="1198">
        <v>23461</v>
      </c>
      <c r="AG14" s="1251">
        <v>34352</v>
      </c>
      <c r="AH14" s="1269">
        <v>31944</v>
      </c>
      <c r="AI14" s="1256">
        <v>42952</v>
      </c>
      <c r="AJ14" s="1256">
        <v>39210</v>
      </c>
      <c r="AK14" s="1272">
        <v>62549</v>
      </c>
      <c r="AL14" s="1271">
        <v>57382</v>
      </c>
      <c r="AM14" s="1272">
        <v>48897</v>
      </c>
      <c r="AN14" s="1272">
        <v>38533</v>
      </c>
      <c r="AO14" s="1272">
        <v>42750</v>
      </c>
      <c r="AP14" s="1254"/>
      <c r="AQ14" s="1284">
        <v>156293</v>
      </c>
      <c r="AR14" s="1284">
        <v>105457</v>
      </c>
      <c r="AS14" s="1010">
        <v>56071</v>
      </c>
      <c r="AT14" s="1000">
        <v>0.37754689793554819</v>
      </c>
      <c r="AU14" s="996"/>
      <c r="AV14" s="1011">
        <v>204585</v>
      </c>
      <c r="AW14" s="1011">
        <v>148514</v>
      </c>
      <c r="AX14" s="1011">
        <v>204337</v>
      </c>
      <c r="AY14" s="1011">
        <v>232306</v>
      </c>
      <c r="AZ14" s="1011">
        <v>338520</v>
      </c>
      <c r="BA14" s="1011">
        <v>177581</v>
      </c>
      <c r="BB14" s="1011">
        <v>122850</v>
      </c>
      <c r="BC14" s="1011">
        <v>176655</v>
      </c>
      <c r="BD14" s="1011">
        <v>187562</v>
      </c>
      <c r="BE14" s="997">
        <v>150470</v>
      </c>
      <c r="BF14" s="997">
        <v>95559</v>
      </c>
      <c r="BG14" s="997"/>
      <c r="BH14" s="943"/>
      <c r="BI14" s="943"/>
      <c r="BJ14" s="943"/>
      <c r="BK14" s="943"/>
      <c r="BL14" s="943"/>
      <c r="BM14" s="943"/>
    </row>
    <row r="15" spans="1:67" ht="12.75" customHeight="1" x14ac:dyDescent="0.2">
      <c r="A15" s="988"/>
      <c r="B15" s="952"/>
      <c r="C15" s="1012">
        <v>5235</v>
      </c>
      <c r="D15" s="1013">
        <v>0.12158301786004598</v>
      </c>
      <c r="E15" s="1001"/>
      <c r="F15" s="1002">
        <v>48292</v>
      </c>
      <c r="G15" s="1002">
        <v>29192</v>
      </c>
      <c r="H15" s="1284">
        <v>68913</v>
      </c>
      <c r="I15" s="1286">
        <v>58188</v>
      </c>
      <c r="J15" s="1002">
        <v>43057</v>
      </c>
      <c r="K15" s="1002">
        <v>41283</v>
      </c>
      <c r="L15" s="1284">
        <v>31264</v>
      </c>
      <c r="M15" s="1286">
        <v>32910</v>
      </c>
      <c r="N15" s="1284">
        <v>56814</v>
      </c>
      <c r="O15" s="1284">
        <v>76454</v>
      </c>
      <c r="P15" s="1284">
        <v>35445</v>
      </c>
      <c r="Q15" s="1286">
        <v>35624</v>
      </c>
      <c r="R15" s="1284">
        <v>71006</v>
      </c>
      <c r="S15" s="1284">
        <v>56942</v>
      </c>
      <c r="T15" s="1284">
        <v>42491</v>
      </c>
      <c r="U15" s="1286">
        <v>61867</v>
      </c>
      <c r="V15" s="1284">
        <v>88632</v>
      </c>
      <c r="W15" s="1284">
        <v>109404</v>
      </c>
      <c r="X15" s="1284">
        <v>49909</v>
      </c>
      <c r="Y15" s="1286">
        <v>53057</v>
      </c>
      <c r="Z15" s="1284">
        <v>32806</v>
      </c>
      <c r="AA15" s="1284">
        <v>58040</v>
      </c>
      <c r="AB15" s="1284">
        <v>27314</v>
      </c>
      <c r="AC15" s="1286">
        <v>30054</v>
      </c>
      <c r="AD15" s="1287">
        <v>25033</v>
      </c>
      <c r="AE15" s="1287">
        <v>12639</v>
      </c>
      <c r="AF15" s="1287">
        <v>23461</v>
      </c>
      <c r="AG15" s="1286">
        <v>34352</v>
      </c>
      <c r="AH15" s="1287">
        <v>31944</v>
      </c>
      <c r="AI15" s="1287">
        <v>42952</v>
      </c>
      <c r="AJ15" s="1287">
        <v>39210</v>
      </c>
      <c r="AK15" s="1287">
        <v>62549</v>
      </c>
      <c r="AL15" s="1288">
        <v>57382</v>
      </c>
      <c r="AM15" s="1286">
        <v>48897</v>
      </c>
      <c r="AN15" s="1286">
        <v>38533</v>
      </c>
      <c r="AO15" s="1286">
        <v>42750</v>
      </c>
      <c r="AP15" s="1254"/>
      <c r="AQ15" s="1284">
        <v>156293</v>
      </c>
      <c r="AR15" s="1284">
        <v>105457</v>
      </c>
      <c r="AS15" s="1017">
        <v>56071</v>
      </c>
      <c r="AT15" s="1013">
        <v>0.37754689793554819</v>
      </c>
      <c r="AU15" s="996"/>
      <c r="AV15" s="1018">
        <v>204585</v>
      </c>
      <c r="AW15" s="1018">
        <v>148514</v>
      </c>
      <c r="AX15" s="1018">
        <v>204337</v>
      </c>
      <c r="AY15" s="1018">
        <v>232306</v>
      </c>
      <c r="AZ15" s="1018">
        <v>338520</v>
      </c>
      <c r="BA15" s="1018">
        <v>177581</v>
      </c>
      <c r="BB15" s="1018">
        <v>122850</v>
      </c>
      <c r="BC15" s="1018">
        <v>176655</v>
      </c>
      <c r="BD15" s="1018">
        <v>187562</v>
      </c>
      <c r="BE15" s="1019">
        <v>150470</v>
      </c>
      <c r="BF15" s="1019">
        <v>95559</v>
      </c>
      <c r="BG15" s="1019">
        <v>211758</v>
      </c>
      <c r="BH15" s="943"/>
      <c r="BJ15" s="943"/>
      <c r="BK15" s="943"/>
      <c r="BL15" s="943"/>
      <c r="BM15" s="943"/>
    </row>
    <row r="16" spans="1:67" ht="12.75" customHeight="1" x14ac:dyDescent="0.2">
      <c r="A16" s="987" t="s">
        <v>5</v>
      </c>
      <c r="B16" s="952"/>
      <c r="C16" s="999"/>
      <c r="D16" s="1000"/>
      <c r="E16" s="1001"/>
      <c r="F16" s="1005"/>
      <c r="G16" s="1005"/>
      <c r="H16" s="1198"/>
      <c r="I16" s="1251"/>
      <c r="J16" s="1005"/>
      <c r="K16" s="1005"/>
      <c r="L16" s="1198"/>
      <c r="M16" s="1251"/>
      <c r="N16" s="1198"/>
      <c r="O16" s="1198"/>
      <c r="P16" s="1198"/>
      <c r="Q16" s="1251"/>
      <c r="R16" s="1198"/>
      <c r="S16" s="1289"/>
      <c r="T16" s="1198"/>
      <c r="U16" s="1251"/>
      <c r="V16" s="1198"/>
      <c r="W16" s="1289"/>
      <c r="X16" s="1198"/>
      <c r="Y16" s="1251"/>
      <c r="Z16" s="1198"/>
      <c r="AA16" s="1289"/>
      <c r="AB16" s="1198"/>
      <c r="AC16" s="1251"/>
      <c r="AD16" s="1289"/>
      <c r="AE16" s="1289"/>
      <c r="AF16" s="1289"/>
      <c r="AG16" s="1290"/>
      <c r="AH16" s="1252"/>
      <c r="AI16" s="1252"/>
      <c r="AJ16" s="1252"/>
      <c r="AK16" s="1252"/>
      <c r="AL16" s="1253"/>
      <c r="AM16" s="1251"/>
      <c r="AN16" s="1251"/>
      <c r="AO16" s="1251"/>
      <c r="AP16" s="1254"/>
      <c r="AQ16" s="1198"/>
      <c r="AR16" s="1198"/>
      <c r="AS16" s="1010"/>
      <c r="AT16" s="1000"/>
      <c r="AU16" s="996"/>
      <c r="AV16" s="1024"/>
      <c r="AW16" s="1024"/>
      <c r="AX16" s="1024"/>
      <c r="AY16" s="1024"/>
      <c r="AZ16" s="1024"/>
      <c r="BA16" s="1024"/>
      <c r="BB16" s="1024"/>
      <c r="BC16" s="1011"/>
      <c r="BD16" s="1011"/>
      <c r="BE16" s="1025"/>
      <c r="BF16" s="1025"/>
      <c r="BG16" s="1025"/>
      <c r="BH16" s="943"/>
      <c r="BJ16" s="943"/>
      <c r="BK16" s="943"/>
      <c r="BL16" s="943"/>
      <c r="BM16" s="943"/>
    </row>
    <row r="17" spans="1:65" ht="12.75" customHeight="1" x14ac:dyDescent="0.2">
      <c r="A17" s="987"/>
      <c r="B17" s="952" t="s">
        <v>382</v>
      </c>
      <c r="C17" s="999">
        <v>2256</v>
      </c>
      <c r="D17" s="1000">
        <v>0.12794192706856461</v>
      </c>
      <c r="E17" s="1001"/>
      <c r="F17" s="1005">
        <v>19889</v>
      </c>
      <c r="G17" s="1005">
        <v>9898</v>
      </c>
      <c r="H17" s="1198">
        <v>29488</v>
      </c>
      <c r="I17" s="1251">
        <v>25438</v>
      </c>
      <c r="J17" s="1005">
        <v>17633</v>
      </c>
      <c r="K17" s="1005">
        <v>16110</v>
      </c>
      <c r="L17" s="1198">
        <v>10947</v>
      </c>
      <c r="M17" s="1251">
        <v>9008</v>
      </c>
      <c r="N17" s="1198">
        <v>24687</v>
      </c>
      <c r="O17" s="1198">
        <v>32365</v>
      </c>
      <c r="P17" s="1198">
        <v>13998</v>
      </c>
      <c r="Q17" s="1251">
        <v>13566</v>
      </c>
      <c r="R17" s="1198">
        <v>30200</v>
      </c>
      <c r="S17" s="1198">
        <v>23452</v>
      </c>
      <c r="T17" s="1198">
        <v>16998</v>
      </c>
      <c r="U17" s="1251">
        <v>29195</v>
      </c>
      <c r="V17" s="1198">
        <v>43043</v>
      </c>
      <c r="W17" s="1198">
        <v>47584</v>
      </c>
      <c r="X17" s="1198">
        <v>20732</v>
      </c>
      <c r="Y17" s="1251"/>
      <c r="Z17" s="1198"/>
      <c r="AA17" s="1198"/>
      <c r="AB17" s="1198"/>
      <c r="AC17" s="1251"/>
      <c r="AD17" s="1198"/>
      <c r="AE17" s="1198"/>
      <c r="AF17" s="1198"/>
      <c r="AG17" s="1251"/>
      <c r="AH17" s="1252"/>
      <c r="AI17" s="1252"/>
      <c r="AJ17" s="1252"/>
      <c r="AK17" s="1252"/>
      <c r="AL17" s="1253"/>
      <c r="AM17" s="1251"/>
      <c r="AN17" s="1251"/>
      <c r="AO17" s="1251"/>
      <c r="AP17" s="1254"/>
      <c r="AQ17" s="1198">
        <v>64824</v>
      </c>
      <c r="AR17" s="1252">
        <v>36065</v>
      </c>
      <c r="AS17" s="1010">
        <v>31015</v>
      </c>
      <c r="AT17" s="1000">
        <v>0.57758203285038545</v>
      </c>
      <c r="AU17" s="996"/>
      <c r="AV17" s="1026">
        <v>84713</v>
      </c>
      <c r="AW17" s="1026">
        <v>53698</v>
      </c>
      <c r="AX17" s="1026">
        <v>84615</v>
      </c>
      <c r="AY17" s="1026">
        <v>99845</v>
      </c>
      <c r="AZ17" s="1010">
        <v>147080</v>
      </c>
      <c r="BA17" s="1027">
        <v>86644</v>
      </c>
      <c r="BB17" s="1027">
        <v>63086</v>
      </c>
      <c r="BC17" s="1027">
        <v>88234</v>
      </c>
      <c r="BD17" s="1028"/>
      <c r="BE17" s="1025"/>
      <c r="BF17" s="1025"/>
      <c r="BG17" s="1025"/>
      <c r="BH17" s="962"/>
      <c r="BJ17" s="943"/>
      <c r="BK17" s="943"/>
      <c r="BL17" s="943"/>
      <c r="BM17" s="943"/>
    </row>
    <row r="18" spans="1:65" ht="12.75" customHeight="1" x14ac:dyDescent="0.2">
      <c r="A18" s="987"/>
      <c r="B18" s="952" t="s">
        <v>383</v>
      </c>
      <c r="C18" s="1029">
        <v>250</v>
      </c>
      <c r="D18" s="1030">
        <v>5.8865081233812101E-2</v>
      </c>
      <c r="E18" s="1001"/>
      <c r="F18" s="1031">
        <v>4497</v>
      </c>
      <c r="G18" s="1031">
        <v>3700</v>
      </c>
      <c r="H18" s="1291">
        <v>3230</v>
      </c>
      <c r="I18" s="1292">
        <v>3226</v>
      </c>
      <c r="J18" s="1031">
        <v>4247</v>
      </c>
      <c r="K18" s="1031">
        <v>4019</v>
      </c>
      <c r="L18" s="1291">
        <v>4969</v>
      </c>
      <c r="M18" s="1292">
        <v>5109</v>
      </c>
      <c r="N18" s="1291">
        <v>3758</v>
      </c>
      <c r="O18" s="1291">
        <v>3721</v>
      </c>
      <c r="P18" s="1291">
        <v>5475</v>
      </c>
      <c r="Q18" s="1292">
        <v>3512</v>
      </c>
      <c r="R18" s="1291">
        <v>6279</v>
      </c>
      <c r="S18" s="1291">
        <v>3254</v>
      </c>
      <c r="T18" s="1291">
        <v>3168</v>
      </c>
      <c r="U18" s="1292">
        <v>-3366</v>
      </c>
      <c r="V18" s="1291">
        <v>-3740</v>
      </c>
      <c r="W18" s="1291">
        <v>598</v>
      </c>
      <c r="X18" s="1291">
        <v>1780</v>
      </c>
      <c r="Y18" s="1251"/>
      <c r="Z18" s="1198"/>
      <c r="AA18" s="1198"/>
      <c r="AB18" s="1198"/>
      <c r="AC18" s="1251"/>
      <c r="AD18" s="1198"/>
      <c r="AE18" s="1198"/>
      <c r="AF18" s="1198"/>
      <c r="AG18" s="1251"/>
      <c r="AH18" s="1252"/>
      <c r="AI18" s="1252"/>
      <c r="AJ18" s="1252"/>
      <c r="AK18" s="1252"/>
      <c r="AL18" s="1253"/>
      <c r="AM18" s="1251"/>
      <c r="AN18" s="1251"/>
      <c r="AO18" s="1251"/>
      <c r="AP18" s="1254"/>
      <c r="AQ18" s="1291">
        <v>10156</v>
      </c>
      <c r="AR18" s="1284">
        <v>14097</v>
      </c>
      <c r="AS18" s="1033">
        <v>-3691</v>
      </c>
      <c r="AT18" s="1030">
        <v>-0.20121020497165285</v>
      </c>
      <c r="AU18" s="996"/>
      <c r="AV18" s="1034">
        <v>14653</v>
      </c>
      <c r="AW18" s="1034">
        <v>18344</v>
      </c>
      <c r="AX18" s="1034">
        <v>16465</v>
      </c>
      <c r="AY18" s="1034">
        <v>9335</v>
      </c>
      <c r="AZ18" s="1033">
        <v>-1125</v>
      </c>
      <c r="BA18" s="1035">
        <v>6489</v>
      </c>
      <c r="BB18" s="1035">
        <v>3937</v>
      </c>
      <c r="BC18" s="1035">
        <v>-253</v>
      </c>
      <c r="BD18" s="1028"/>
      <c r="BE18" s="1025"/>
      <c r="BF18" s="1025"/>
      <c r="BG18" s="1025"/>
      <c r="BH18" s="962"/>
      <c r="BJ18" s="943"/>
      <c r="BK18" s="943"/>
      <c r="BL18" s="943"/>
      <c r="BM18" s="943"/>
    </row>
    <row r="19" spans="1:65" ht="12.75" customHeight="1" x14ac:dyDescent="0.2">
      <c r="A19" s="988"/>
      <c r="B19" s="164" t="s">
        <v>219</v>
      </c>
      <c r="C19" s="999">
        <v>2506</v>
      </c>
      <c r="D19" s="1000">
        <v>0.11453382084095064</v>
      </c>
      <c r="E19" s="1001"/>
      <c r="F19" s="1005">
        <v>24386</v>
      </c>
      <c r="G19" s="1005">
        <v>13598</v>
      </c>
      <c r="H19" s="1198">
        <v>32718</v>
      </c>
      <c r="I19" s="1251">
        <v>28664</v>
      </c>
      <c r="J19" s="1005">
        <v>21880</v>
      </c>
      <c r="K19" s="1005">
        <v>20129</v>
      </c>
      <c r="L19" s="1198">
        <v>15916</v>
      </c>
      <c r="M19" s="1251">
        <v>14117</v>
      </c>
      <c r="N19" s="1198">
        <v>28445</v>
      </c>
      <c r="O19" s="1198">
        <v>36086</v>
      </c>
      <c r="P19" s="1198">
        <v>19473</v>
      </c>
      <c r="Q19" s="1251">
        <v>17078</v>
      </c>
      <c r="R19" s="1198">
        <v>36479</v>
      </c>
      <c r="S19" s="1198">
        <v>26706</v>
      </c>
      <c r="T19" s="1198">
        <v>20166</v>
      </c>
      <c r="U19" s="1251">
        <v>25829</v>
      </c>
      <c r="V19" s="1198">
        <v>39303</v>
      </c>
      <c r="W19" s="1198">
        <v>48182</v>
      </c>
      <c r="X19" s="1198">
        <v>22512</v>
      </c>
      <c r="Y19" s="1251">
        <v>22508</v>
      </c>
      <c r="Z19" s="1198">
        <v>16925</v>
      </c>
      <c r="AA19" s="1198">
        <v>30817</v>
      </c>
      <c r="AB19" s="1198">
        <v>14959</v>
      </c>
      <c r="AC19" s="1251">
        <v>17215</v>
      </c>
      <c r="AD19" s="1198">
        <v>12371</v>
      </c>
      <c r="AE19" s="1198">
        <v>10291</v>
      </c>
      <c r="AF19" s="1198">
        <v>13228</v>
      </c>
      <c r="AG19" s="1251">
        <v>19085</v>
      </c>
      <c r="AH19" s="1252">
        <v>16510</v>
      </c>
      <c r="AI19" s="1252">
        <v>57933</v>
      </c>
      <c r="AJ19" s="1252">
        <v>42205</v>
      </c>
      <c r="AK19" s="1252">
        <v>76203</v>
      </c>
      <c r="AL19" s="1253">
        <v>70783</v>
      </c>
      <c r="AM19" s="1251">
        <v>51546</v>
      </c>
      <c r="AN19" s="1251">
        <v>45305</v>
      </c>
      <c r="AO19" s="1251">
        <v>65948</v>
      </c>
      <c r="AP19" s="1254"/>
      <c r="AQ19" s="1198">
        <v>74980</v>
      </c>
      <c r="AR19" s="1252">
        <v>50162</v>
      </c>
      <c r="AS19" s="1010">
        <v>27324</v>
      </c>
      <c r="AT19" s="1000">
        <v>0.37927875406013162</v>
      </c>
      <c r="AU19" s="996"/>
      <c r="AV19" s="1011">
        <v>99366</v>
      </c>
      <c r="AW19" s="1011">
        <v>72042</v>
      </c>
      <c r="AX19" s="1011">
        <v>101080</v>
      </c>
      <c r="AY19" s="1011">
        <v>109180</v>
      </c>
      <c r="AZ19" s="1011">
        <v>145955</v>
      </c>
      <c r="BA19" s="1011">
        <v>93133</v>
      </c>
      <c r="BB19" s="1011">
        <v>67023</v>
      </c>
      <c r="BC19" s="1011">
        <v>87981</v>
      </c>
      <c r="BD19" s="1011">
        <v>98642</v>
      </c>
      <c r="BE19" s="1025">
        <v>82259</v>
      </c>
      <c r="BF19" s="1025">
        <v>47759</v>
      </c>
      <c r="BG19" s="1025">
        <v>120298</v>
      </c>
      <c r="BH19" s="962"/>
      <c r="BJ19" s="943"/>
      <c r="BK19" s="943"/>
      <c r="BL19" s="943"/>
      <c r="BM19" s="943"/>
    </row>
    <row r="20" spans="1:65" ht="12.75" customHeight="1" x14ac:dyDescent="0.2">
      <c r="A20" s="988"/>
      <c r="B20" s="990" t="s">
        <v>69</v>
      </c>
      <c r="C20" s="999">
        <v>206</v>
      </c>
      <c r="D20" s="1000">
        <v>0.19415645617342131</v>
      </c>
      <c r="E20" s="1001"/>
      <c r="F20" s="1005">
        <v>1267</v>
      </c>
      <c r="G20" s="1005">
        <v>1086</v>
      </c>
      <c r="H20" s="1198">
        <v>1093</v>
      </c>
      <c r="I20" s="1251">
        <v>1780</v>
      </c>
      <c r="J20" s="1005">
        <v>1061</v>
      </c>
      <c r="K20" s="1005">
        <v>1398</v>
      </c>
      <c r="L20" s="1198">
        <v>1040</v>
      </c>
      <c r="M20" s="1251">
        <v>1320</v>
      </c>
      <c r="N20" s="1198">
        <v>1372</v>
      </c>
      <c r="O20" s="1198">
        <v>1492</v>
      </c>
      <c r="P20" s="1198">
        <v>2221</v>
      </c>
      <c r="Q20" s="1251">
        <v>1737</v>
      </c>
      <c r="R20" s="1198">
        <v>1421</v>
      </c>
      <c r="S20" s="1198">
        <v>1310</v>
      </c>
      <c r="T20" s="1198">
        <v>867</v>
      </c>
      <c r="U20" s="1251">
        <v>1866</v>
      </c>
      <c r="V20" s="1198">
        <v>733</v>
      </c>
      <c r="W20" s="1198">
        <v>930</v>
      </c>
      <c r="X20" s="1198">
        <v>1056</v>
      </c>
      <c r="Y20" s="1251">
        <v>1141</v>
      </c>
      <c r="Z20" s="1198">
        <v>736</v>
      </c>
      <c r="AA20" s="1198">
        <v>1106</v>
      </c>
      <c r="AB20" s="1198">
        <v>445</v>
      </c>
      <c r="AC20" s="1251">
        <v>469</v>
      </c>
      <c r="AD20" s="1198">
        <v>514</v>
      </c>
      <c r="AE20" s="1198">
        <v>535</v>
      </c>
      <c r="AF20" s="1198">
        <v>708</v>
      </c>
      <c r="AG20" s="1251">
        <v>937</v>
      </c>
      <c r="AH20" s="1252">
        <v>571</v>
      </c>
      <c r="AI20" s="1252">
        <v>3275</v>
      </c>
      <c r="AJ20" s="1252">
        <v>3194</v>
      </c>
      <c r="AK20" s="1252">
        <v>4019</v>
      </c>
      <c r="AL20" s="1253">
        <v>2619</v>
      </c>
      <c r="AM20" s="1251">
        <v>3158</v>
      </c>
      <c r="AN20" s="1251">
        <v>2228</v>
      </c>
      <c r="AO20" s="1251">
        <v>3188</v>
      </c>
      <c r="AP20" s="1254"/>
      <c r="AQ20" s="1198">
        <v>3959</v>
      </c>
      <c r="AR20" s="1198">
        <v>3758</v>
      </c>
      <c r="AS20" s="1255">
        <v>407</v>
      </c>
      <c r="AT20" s="1000">
        <v>8.4457356297987132E-2</v>
      </c>
      <c r="AU20" s="1256"/>
      <c r="AV20" s="752">
        <v>5226</v>
      </c>
      <c r="AW20" s="752">
        <v>4819</v>
      </c>
      <c r="AX20" s="752">
        <v>6822</v>
      </c>
      <c r="AY20" s="752">
        <v>5464</v>
      </c>
      <c r="AZ20" s="752">
        <v>5760</v>
      </c>
      <c r="BA20" s="752">
        <v>4482</v>
      </c>
      <c r="BB20" s="1257">
        <v>4289</v>
      </c>
      <c r="BC20" s="1011">
        <v>3159</v>
      </c>
      <c r="BD20" s="1011">
        <v>1847</v>
      </c>
      <c r="BE20" s="1025">
        <v>2414</v>
      </c>
      <c r="BF20" s="1025">
        <v>6699</v>
      </c>
      <c r="BG20" s="1025">
        <v>12517</v>
      </c>
      <c r="BH20" s="943"/>
      <c r="BJ20" s="943"/>
      <c r="BK20" s="943"/>
      <c r="BL20" s="943"/>
      <c r="BM20" s="943"/>
    </row>
    <row r="21" spans="1:65" ht="12.75" hidden="1" customHeight="1" x14ac:dyDescent="0.2">
      <c r="A21" s="988"/>
      <c r="B21" s="952"/>
      <c r="C21" s="999"/>
      <c r="D21" s="1000"/>
      <c r="E21" s="1001"/>
      <c r="F21" s="1036"/>
      <c r="G21" s="1036"/>
      <c r="H21" s="1252"/>
      <c r="I21" s="1251"/>
      <c r="J21" s="1036"/>
      <c r="K21" s="1036"/>
      <c r="L21" s="1252"/>
      <c r="M21" s="1251"/>
      <c r="N21" s="1252"/>
      <c r="O21" s="1252"/>
      <c r="P21" s="1252"/>
      <c r="Q21" s="1251"/>
      <c r="R21" s="1252"/>
      <c r="S21" s="1252"/>
      <c r="T21" s="1252"/>
      <c r="U21" s="1251"/>
      <c r="V21" s="1252"/>
      <c r="W21" s="1252"/>
      <c r="X21" s="1252"/>
      <c r="Y21" s="1251"/>
      <c r="Z21" s="1252"/>
      <c r="AA21" s="1252"/>
      <c r="AB21" s="1252"/>
      <c r="AC21" s="1251"/>
      <c r="AD21" s="1252"/>
      <c r="AE21" s="1252"/>
      <c r="AF21" s="1252"/>
      <c r="AG21" s="1251"/>
      <c r="AH21" s="1223"/>
      <c r="AI21" s="1223"/>
      <c r="AJ21" s="1223"/>
      <c r="AK21" s="1258"/>
      <c r="AL21" s="1257"/>
      <c r="AM21" s="1258"/>
      <c r="AN21" s="1258"/>
      <c r="AO21" s="1258"/>
      <c r="AP21" s="1259"/>
      <c r="AQ21" s="1198"/>
      <c r="AR21" s="1252"/>
      <c r="AS21" s="1223"/>
      <c r="AT21" s="1000" t="e">
        <v>#DIV/0!</v>
      </c>
      <c r="AU21" s="1260"/>
      <c r="AV21" s="705">
        <v>0</v>
      </c>
      <c r="AW21" s="705">
        <v>0</v>
      </c>
      <c r="AX21" s="705"/>
      <c r="AY21" s="705"/>
      <c r="AZ21" s="705"/>
      <c r="BA21" s="705"/>
      <c r="BB21" s="1261"/>
      <c r="BC21" s="1025"/>
      <c r="BD21" s="1025"/>
      <c r="BE21" s="1025"/>
      <c r="BF21" s="1025"/>
      <c r="BG21" s="1025"/>
      <c r="BH21" s="943"/>
      <c r="BJ21" s="943"/>
      <c r="BK21" s="943"/>
      <c r="BL21" s="943"/>
      <c r="BM21" s="943"/>
    </row>
    <row r="22" spans="1:65" ht="12.75" customHeight="1" x14ac:dyDescent="0.2">
      <c r="A22" s="988"/>
      <c r="B22" s="990" t="s">
        <v>98</v>
      </c>
      <c r="C22" s="999">
        <v>291</v>
      </c>
      <c r="D22" s="1041">
        <v>8.3572659391154505E-2</v>
      </c>
      <c r="E22" s="1001"/>
      <c r="F22" s="1005">
        <v>3773</v>
      </c>
      <c r="G22" s="1005">
        <v>3824</v>
      </c>
      <c r="H22" s="1198">
        <v>3787</v>
      </c>
      <c r="I22" s="1251">
        <v>3756</v>
      </c>
      <c r="J22" s="1005">
        <v>3482</v>
      </c>
      <c r="K22" s="1005">
        <v>3496</v>
      </c>
      <c r="L22" s="1198">
        <v>2839</v>
      </c>
      <c r="M22" s="1251">
        <v>3201</v>
      </c>
      <c r="N22" s="1198">
        <v>2802</v>
      </c>
      <c r="O22" s="1198">
        <v>2737</v>
      </c>
      <c r="P22" s="1198">
        <v>2309</v>
      </c>
      <c r="Q22" s="1251">
        <v>2984</v>
      </c>
      <c r="R22" s="1198">
        <v>2748</v>
      </c>
      <c r="S22" s="1198">
        <v>3263</v>
      </c>
      <c r="T22" s="1198">
        <v>3155</v>
      </c>
      <c r="U22" s="1251">
        <v>4193</v>
      </c>
      <c r="V22" s="1198">
        <v>2526</v>
      </c>
      <c r="W22" s="1198">
        <v>2575</v>
      </c>
      <c r="X22" s="1198">
        <v>2211</v>
      </c>
      <c r="Y22" s="1251">
        <v>1863</v>
      </c>
      <c r="Z22" s="1198">
        <v>1434</v>
      </c>
      <c r="AA22" s="1198">
        <v>1589</v>
      </c>
      <c r="AB22" s="1198">
        <v>1151</v>
      </c>
      <c r="AC22" s="1251">
        <v>943</v>
      </c>
      <c r="AD22" s="1198">
        <v>993</v>
      </c>
      <c r="AE22" s="1198">
        <v>971</v>
      </c>
      <c r="AF22" s="1198">
        <v>891</v>
      </c>
      <c r="AG22" s="1251">
        <v>781</v>
      </c>
      <c r="AH22" s="1252">
        <v>689</v>
      </c>
      <c r="AI22" s="1252">
        <v>4655</v>
      </c>
      <c r="AJ22" s="1252">
        <v>4906</v>
      </c>
      <c r="AK22" s="1252">
        <v>4441</v>
      </c>
      <c r="AL22" s="1253">
        <v>4178</v>
      </c>
      <c r="AM22" s="1251">
        <v>3700</v>
      </c>
      <c r="AN22" s="1251">
        <v>3796</v>
      </c>
      <c r="AO22" s="1251">
        <v>5308</v>
      </c>
      <c r="AP22" s="1254"/>
      <c r="AQ22" s="1198">
        <v>11367</v>
      </c>
      <c r="AR22" s="1198">
        <v>9536</v>
      </c>
      <c r="AS22" s="1255">
        <v>2122</v>
      </c>
      <c r="AT22" s="1000">
        <v>0.16300506990321093</v>
      </c>
      <c r="AU22" s="1256"/>
      <c r="AV22" s="752">
        <v>15140</v>
      </c>
      <c r="AW22" s="752">
        <v>13018</v>
      </c>
      <c r="AX22" s="752">
        <v>10832</v>
      </c>
      <c r="AY22" s="752">
        <v>13359</v>
      </c>
      <c r="AZ22" s="752">
        <v>13928</v>
      </c>
      <c r="BA22" s="752">
        <v>9367</v>
      </c>
      <c r="BB22" s="1257">
        <v>7303</v>
      </c>
      <c r="BC22" s="1011">
        <v>3032</v>
      </c>
      <c r="BD22" s="1011">
        <v>2191</v>
      </c>
      <c r="BE22" s="1025">
        <v>2896</v>
      </c>
      <c r="BF22" s="1025">
        <v>1887</v>
      </c>
      <c r="BG22" s="1025">
        <v>3440</v>
      </c>
      <c r="BH22" s="943"/>
      <c r="BJ22" s="943"/>
      <c r="BK22" s="943"/>
      <c r="BL22" s="943"/>
      <c r="BM22" s="943"/>
    </row>
    <row r="23" spans="1:65" ht="12.75" customHeight="1" x14ac:dyDescent="0.2">
      <c r="A23" s="988"/>
      <c r="B23" s="990" t="s">
        <v>71</v>
      </c>
      <c r="C23" s="999">
        <v>-8</v>
      </c>
      <c r="D23" s="1041">
        <v>-7.1492403932082215E-3</v>
      </c>
      <c r="E23" s="1001"/>
      <c r="F23" s="1005">
        <v>1111</v>
      </c>
      <c r="G23" s="1005">
        <v>1164</v>
      </c>
      <c r="H23" s="1198">
        <v>1168</v>
      </c>
      <c r="I23" s="1251">
        <v>1087</v>
      </c>
      <c r="J23" s="1005">
        <v>1119</v>
      </c>
      <c r="K23" s="1005">
        <v>1119</v>
      </c>
      <c r="L23" s="1198">
        <v>1108</v>
      </c>
      <c r="M23" s="1251">
        <v>1078</v>
      </c>
      <c r="N23" s="1198">
        <v>1221</v>
      </c>
      <c r="O23" s="1198">
        <v>1117</v>
      </c>
      <c r="P23" s="1198">
        <v>1196</v>
      </c>
      <c r="Q23" s="1251">
        <v>1263</v>
      </c>
      <c r="R23" s="1198">
        <v>1300</v>
      </c>
      <c r="S23" s="1198">
        <v>1228</v>
      </c>
      <c r="T23" s="1198">
        <v>1661</v>
      </c>
      <c r="U23" s="1251">
        <v>852</v>
      </c>
      <c r="V23" s="1198">
        <v>1191</v>
      </c>
      <c r="W23" s="1198">
        <v>1338</v>
      </c>
      <c r="X23" s="1198">
        <v>855</v>
      </c>
      <c r="Y23" s="1251">
        <v>549</v>
      </c>
      <c r="Z23" s="1198">
        <v>661</v>
      </c>
      <c r="AA23" s="1198">
        <v>671</v>
      </c>
      <c r="AB23" s="1198">
        <v>645</v>
      </c>
      <c r="AC23" s="1251">
        <v>595</v>
      </c>
      <c r="AD23" s="1198">
        <v>667</v>
      </c>
      <c r="AE23" s="1198">
        <v>676</v>
      </c>
      <c r="AF23" s="1198">
        <v>693</v>
      </c>
      <c r="AG23" s="1251">
        <v>690</v>
      </c>
      <c r="AH23" s="1252">
        <v>706</v>
      </c>
      <c r="AI23" s="1252">
        <v>3011</v>
      </c>
      <c r="AJ23" s="1252">
        <v>2910</v>
      </c>
      <c r="AK23" s="1252">
        <v>2613</v>
      </c>
      <c r="AL23" s="1253">
        <v>5054</v>
      </c>
      <c r="AM23" s="1251">
        <v>3183</v>
      </c>
      <c r="AN23" s="1251">
        <v>2884</v>
      </c>
      <c r="AO23" s="1251">
        <v>3008</v>
      </c>
      <c r="AP23" s="1254"/>
      <c r="AQ23" s="1198">
        <v>3419</v>
      </c>
      <c r="AR23" s="1198">
        <v>3305</v>
      </c>
      <c r="AS23" s="1255">
        <v>106</v>
      </c>
      <c r="AT23" s="1000">
        <v>2.3960216998191682E-2</v>
      </c>
      <c r="AU23" s="1256"/>
      <c r="AV23" s="752">
        <v>4530</v>
      </c>
      <c r="AW23" s="752">
        <v>4424</v>
      </c>
      <c r="AX23" s="752">
        <v>4797</v>
      </c>
      <c r="AY23" s="752">
        <v>5041</v>
      </c>
      <c r="AZ23" s="752">
        <v>4319</v>
      </c>
      <c r="BA23" s="752">
        <v>3014</v>
      </c>
      <c r="BB23" s="1257">
        <v>3158</v>
      </c>
      <c r="BC23" s="1011">
        <v>2856</v>
      </c>
      <c r="BD23" s="1011">
        <v>3000</v>
      </c>
      <c r="BE23" s="1025">
        <v>2293</v>
      </c>
      <c r="BF23" s="1025">
        <v>1365</v>
      </c>
      <c r="BG23" s="1025">
        <v>4236</v>
      </c>
      <c r="BH23" s="943"/>
      <c r="BJ23" s="943"/>
      <c r="BK23" s="943"/>
      <c r="BL23" s="943"/>
      <c r="BM23" s="943"/>
    </row>
    <row r="24" spans="1:65" ht="12.75" customHeight="1" x14ac:dyDescent="0.2">
      <c r="A24" s="988"/>
      <c r="B24" s="990" t="s">
        <v>72</v>
      </c>
      <c r="C24" s="999">
        <v>353</v>
      </c>
      <c r="D24" s="1041">
        <v>0.23803101820633851</v>
      </c>
      <c r="E24" s="1001"/>
      <c r="F24" s="1005">
        <v>1836</v>
      </c>
      <c r="G24" s="1005">
        <v>1581</v>
      </c>
      <c r="H24" s="1198">
        <v>1758</v>
      </c>
      <c r="I24" s="1251">
        <v>1254</v>
      </c>
      <c r="J24" s="1005">
        <v>1483</v>
      </c>
      <c r="K24" s="1005">
        <v>1709</v>
      </c>
      <c r="L24" s="1198">
        <v>1632</v>
      </c>
      <c r="M24" s="1251">
        <v>1422</v>
      </c>
      <c r="N24" s="1198">
        <v>1553</v>
      </c>
      <c r="O24" s="1198">
        <v>1583</v>
      </c>
      <c r="P24" s="1198">
        <v>1305</v>
      </c>
      <c r="Q24" s="1251">
        <v>1477</v>
      </c>
      <c r="R24" s="1198">
        <v>2254</v>
      </c>
      <c r="S24" s="1198">
        <v>1309</v>
      </c>
      <c r="T24" s="1198">
        <v>1341</v>
      </c>
      <c r="U24" s="1251">
        <v>1329</v>
      </c>
      <c r="V24" s="1198">
        <v>977</v>
      </c>
      <c r="W24" s="1198">
        <v>993</v>
      </c>
      <c r="X24" s="1198">
        <v>1107</v>
      </c>
      <c r="Y24" s="1251">
        <v>1004</v>
      </c>
      <c r="Z24" s="1198">
        <v>587</v>
      </c>
      <c r="AA24" s="1198">
        <v>610</v>
      </c>
      <c r="AB24" s="1198">
        <v>573</v>
      </c>
      <c r="AC24" s="1251">
        <v>706</v>
      </c>
      <c r="AD24" s="1198">
        <v>894</v>
      </c>
      <c r="AE24" s="1198">
        <v>1012</v>
      </c>
      <c r="AF24" s="1198">
        <v>1350</v>
      </c>
      <c r="AG24" s="1251">
        <v>1224</v>
      </c>
      <c r="AH24" s="1252">
        <v>1201</v>
      </c>
      <c r="AI24" s="1252">
        <v>3063</v>
      </c>
      <c r="AJ24" s="1252">
        <v>2962</v>
      </c>
      <c r="AK24" s="1252">
        <v>2879</v>
      </c>
      <c r="AL24" s="1253">
        <v>2804</v>
      </c>
      <c r="AM24" s="1251">
        <v>2586</v>
      </c>
      <c r="AN24" s="1251">
        <v>2530</v>
      </c>
      <c r="AO24" s="1251">
        <v>2427</v>
      </c>
      <c r="AP24" s="1254"/>
      <c r="AQ24" s="1198">
        <v>4593</v>
      </c>
      <c r="AR24" s="1198">
        <v>4763</v>
      </c>
      <c r="AS24" s="1255">
        <v>183</v>
      </c>
      <c r="AT24" s="1000">
        <v>2.9298751200768493E-2</v>
      </c>
      <c r="AU24" s="1256"/>
      <c r="AV24" s="752">
        <v>6429</v>
      </c>
      <c r="AW24" s="752">
        <v>6246</v>
      </c>
      <c r="AX24" s="752">
        <v>5918</v>
      </c>
      <c r="AY24" s="752">
        <v>6233</v>
      </c>
      <c r="AZ24" s="752">
        <v>5344</v>
      </c>
      <c r="BA24" s="752">
        <v>3731</v>
      </c>
      <c r="BB24" s="1257">
        <v>6466</v>
      </c>
      <c r="BC24" s="1011">
        <v>4740</v>
      </c>
      <c r="BD24" s="1011">
        <v>3930</v>
      </c>
      <c r="BE24" s="1025">
        <v>2980</v>
      </c>
      <c r="BF24" s="1025">
        <v>2274</v>
      </c>
      <c r="BG24" s="1025">
        <v>4205</v>
      </c>
      <c r="BH24" s="943"/>
      <c r="BJ24" s="943"/>
      <c r="BK24" s="943"/>
      <c r="BL24" s="943"/>
      <c r="BM24" s="943"/>
    </row>
    <row r="25" spans="1:65" ht="12.75" customHeight="1" x14ac:dyDescent="0.2">
      <c r="A25" s="988"/>
      <c r="B25" s="990" t="s">
        <v>67</v>
      </c>
      <c r="C25" s="999">
        <v>-281</v>
      </c>
      <c r="D25" s="1000">
        <v>-0.17717528373266078</v>
      </c>
      <c r="E25" s="1001"/>
      <c r="F25" s="1005">
        <v>1305</v>
      </c>
      <c r="G25" s="1005">
        <v>1755</v>
      </c>
      <c r="H25" s="1198">
        <v>1303</v>
      </c>
      <c r="I25" s="1251">
        <v>1453</v>
      </c>
      <c r="J25" s="1005">
        <v>1586</v>
      </c>
      <c r="K25" s="1005">
        <v>1678</v>
      </c>
      <c r="L25" s="1198">
        <v>2042</v>
      </c>
      <c r="M25" s="1251">
        <v>1957</v>
      </c>
      <c r="N25" s="1198">
        <v>1676</v>
      </c>
      <c r="O25" s="1198">
        <v>2282</v>
      </c>
      <c r="P25" s="1198">
        <v>1441</v>
      </c>
      <c r="Q25" s="1251">
        <v>2552</v>
      </c>
      <c r="R25" s="1198">
        <v>2405</v>
      </c>
      <c r="S25" s="1198">
        <v>1861</v>
      </c>
      <c r="T25" s="1198">
        <v>1440</v>
      </c>
      <c r="U25" s="1251">
        <v>1878</v>
      </c>
      <c r="V25" s="1198">
        <v>8</v>
      </c>
      <c r="W25" s="1198">
        <v>3</v>
      </c>
      <c r="X25" s="1198">
        <v>3</v>
      </c>
      <c r="Y25" s="1251">
        <v>33</v>
      </c>
      <c r="Z25" s="1198">
        <v>3</v>
      </c>
      <c r="AA25" s="1198">
        <v>2</v>
      </c>
      <c r="AB25" s="1198">
        <v>2</v>
      </c>
      <c r="AC25" s="1251">
        <v>5</v>
      </c>
      <c r="AD25" s="1198">
        <v>21</v>
      </c>
      <c r="AE25" s="1198">
        <v>72</v>
      </c>
      <c r="AF25" s="1198">
        <v>94</v>
      </c>
      <c r="AG25" s="1251">
        <v>126</v>
      </c>
      <c r="AH25" s="1252">
        <v>153</v>
      </c>
      <c r="AI25" s="1252">
        <v>738</v>
      </c>
      <c r="AJ25" s="1252">
        <v>353</v>
      </c>
      <c r="AK25" s="1252">
        <v>594</v>
      </c>
      <c r="AL25" s="1253">
        <v>617</v>
      </c>
      <c r="AM25" s="1251">
        <v>520</v>
      </c>
      <c r="AN25" s="1251">
        <v>889</v>
      </c>
      <c r="AO25" s="1251">
        <v>691</v>
      </c>
      <c r="AP25" s="1254"/>
      <c r="AQ25" s="1198">
        <v>4511</v>
      </c>
      <c r="AR25" s="1198">
        <v>5677</v>
      </c>
      <c r="AS25" s="1255">
        <v>-1447</v>
      </c>
      <c r="AT25" s="1000">
        <v>-0.19922896874569737</v>
      </c>
      <c r="AU25" s="1256"/>
      <c r="AV25" s="752">
        <v>5816</v>
      </c>
      <c r="AW25" s="752">
        <v>7263</v>
      </c>
      <c r="AX25" s="752">
        <v>7951</v>
      </c>
      <c r="AY25" s="752">
        <v>7584</v>
      </c>
      <c r="AZ25" s="752">
        <v>5684</v>
      </c>
      <c r="BA25" s="752">
        <v>435</v>
      </c>
      <c r="BB25" s="1257">
        <v>949</v>
      </c>
      <c r="BC25" s="1011">
        <v>602</v>
      </c>
      <c r="BD25" s="1011">
        <v>551</v>
      </c>
      <c r="BE25" s="1025">
        <v>175</v>
      </c>
      <c r="BF25" s="1025">
        <v>114</v>
      </c>
      <c r="BG25" s="1025">
        <v>35</v>
      </c>
      <c r="BH25" s="943"/>
      <c r="BJ25" s="943"/>
      <c r="BK25" s="943"/>
      <c r="BL25" s="943"/>
      <c r="BM25" s="943"/>
    </row>
    <row r="26" spans="1:65" ht="12.75" customHeight="1" x14ac:dyDescent="0.2">
      <c r="A26" s="988"/>
      <c r="B26" s="990" t="s">
        <v>73</v>
      </c>
      <c r="C26" s="999">
        <v>519</v>
      </c>
      <c r="D26" s="1041">
        <v>0.36041666666666666</v>
      </c>
      <c r="E26" s="1001"/>
      <c r="F26" s="1005">
        <v>1959</v>
      </c>
      <c r="G26" s="1005">
        <v>3435</v>
      </c>
      <c r="H26" s="1198">
        <v>2993</v>
      </c>
      <c r="I26" s="1251">
        <v>3397</v>
      </c>
      <c r="J26" s="1005">
        <v>1440</v>
      </c>
      <c r="K26" s="1005">
        <v>2466</v>
      </c>
      <c r="L26" s="1198">
        <v>2827</v>
      </c>
      <c r="M26" s="1251">
        <v>1612</v>
      </c>
      <c r="N26" s="1198">
        <v>1696</v>
      </c>
      <c r="O26" s="1198">
        <v>2998</v>
      </c>
      <c r="P26" s="1198">
        <v>4496</v>
      </c>
      <c r="Q26" s="1251">
        <v>3008</v>
      </c>
      <c r="R26" s="1198">
        <v>3819</v>
      </c>
      <c r="S26" s="1198">
        <v>2995</v>
      </c>
      <c r="T26" s="1198">
        <v>5330</v>
      </c>
      <c r="U26" s="1251">
        <v>3753</v>
      </c>
      <c r="V26" s="1198">
        <v>3862</v>
      </c>
      <c r="W26" s="1198">
        <v>4390</v>
      </c>
      <c r="X26" s="1198">
        <v>3806</v>
      </c>
      <c r="Y26" s="1251">
        <v>3275</v>
      </c>
      <c r="Z26" s="1198">
        <v>1553</v>
      </c>
      <c r="AA26" s="1198">
        <v>1777</v>
      </c>
      <c r="AB26" s="1198">
        <v>1251</v>
      </c>
      <c r="AC26" s="1251">
        <v>1408</v>
      </c>
      <c r="AD26" s="1198">
        <v>-532</v>
      </c>
      <c r="AE26" s="1198">
        <v>1655</v>
      </c>
      <c r="AF26" s="1198">
        <v>2880</v>
      </c>
      <c r="AG26" s="1251">
        <v>4020</v>
      </c>
      <c r="AH26" s="1252">
        <v>3405</v>
      </c>
      <c r="AI26" s="1252">
        <v>8753</v>
      </c>
      <c r="AJ26" s="1252">
        <v>9885</v>
      </c>
      <c r="AK26" s="1252">
        <v>10397</v>
      </c>
      <c r="AL26" s="1253">
        <v>10292</v>
      </c>
      <c r="AM26" s="1251">
        <v>7376</v>
      </c>
      <c r="AN26" s="1251">
        <v>8470</v>
      </c>
      <c r="AO26" s="1251">
        <v>8715</v>
      </c>
      <c r="AP26" s="1254"/>
      <c r="AQ26" s="1198">
        <v>9825</v>
      </c>
      <c r="AR26" s="1198">
        <v>6905</v>
      </c>
      <c r="AS26" s="1255">
        <v>3439</v>
      </c>
      <c r="AT26" s="1000">
        <v>0.41210305572198924</v>
      </c>
      <c r="AU26" s="1256"/>
      <c r="AV26" s="752">
        <v>11784</v>
      </c>
      <c r="AW26" s="752">
        <v>8345</v>
      </c>
      <c r="AX26" s="752">
        <v>12198</v>
      </c>
      <c r="AY26" s="752">
        <v>15897</v>
      </c>
      <c r="AZ26" s="752">
        <v>15959</v>
      </c>
      <c r="BA26" s="752">
        <v>6369</v>
      </c>
      <c r="BB26" s="1257">
        <v>9497</v>
      </c>
      <c r="BC26" s="1011">
        <v>14790</v>
      </c>
      <c r="BD26" s="1011">
        <v>12437</v>
      </c>
      <c r="BE26" s="1025">
        <v>11037</v>
      </c>
      <c r="BF26" s="1025">
        <v>6277</v>
      </c>
      <c r="BG26" s="1025">
        <v>7632</v>
      </c>
      <c r="BH26" s="943"/>
      <c r="BJ26" s="943"/>
      <c r="BK26" s="943"/>
      <c r="BL26" s="943"/>
      <c r="BM26" s="943"/>
    </row>
    <row r="27" spans="1:65" ht="12.75" customHeight="1" x14ac:dyDescent="0.2">
      <c r="A27" s="988"/>
      <c r="B27" s="990" t="s">
        <v>74</v>
      </c>
      <c r="C27" s="999">
        <v>-24</v>
      </c>
      <c r="D27" s="1041">
        <v>-1.8154311649016642E-2</v>
      </c>
      <c r="E27" s="1417"/>
      <c r="F27" s="1005">
        <v>1298</v>
      </c>
      <c r="G27" s="251">
        <v>1331</v>
      </c>
      <c r="H27" s="1198">
        <v>1345</v>
      </c>
      <c r="I27" s="1251">
        <v>1341</v>
      </c>
      <c r="J27" s="1005">
        <v>1322</v>
      </c>
      <c r="K27" s="251">
        <v>1345</v>
      </c>
      <c r="L27" s="1198">
        <v>1328</v>
      </c>
      <c r="M27" s="1251">
        <v>1322</v>
      </c>
      <c r="N27" s="1198">
        <v>1485</v>
      </c>
      <c r="O27" s="1198">
        <v>1403</v>
      </c>
      <c r="P27" s="1198">
        <v>1401</v>
      </c>
      <c r="Q27" s="1251">
        <v>1400</v>
      </c>
      <c r="R27" s="1198">
        <v>1522</v>
      </c>
      <c r="S27" s="1198">
        <v>1400</v>
      </c>
      <c r="T27" s="1198">
        <v>1417</v>
      </c>
      <c r="U27" s="1251">
        <v>1219</v>
      </c>
      <c r="V27" s="1198">
        <v>1199</v>
      </c>
      <c r="W27" s="1198">
        <v>1232</v>
      </c>
      <c r="X27" s="1198">
        <v>2158</v>
      </c>
      <c r="Y27" s="1251">
        <v>1735</v>
      </c>
      <c r="Z27" s="1198">
        <v>186</v>
      </c>
      <c r="AA27" s="1198">
        <v>183</v>
      </c>
      <c r="AB27" s="1198">
        <v>182</v>
      </c>
      <c r="AC27" s="1251">
        <v>189</v>
      </c>
      <c r="AD27" s="1198">
        <v>228</v>
      </c>
      <c r="AE27" s="1198">
        <v>732</v>
      </c>
      <c r="AF27" s="1198">
        <v>193</v>
      </c>
      <c r="AG27" s="1251">
        <v>191</v>
      </c>
      <c r="AH27" s="1252">
        <v>220</v>
      </c>
      <c r="AI27" s="1252">
        <v>984</v>
      </c>
      <c r="AJ27" s="1252">
        <v>985</v>
      </c>
      <c r="AK27" s="1252">
        <v>911</v>
      </c>
      <c r="AL27" s="1253">
        <v>895</v>
      </c>
      <c r="AM27" s="1251">
        <v>785</v>
      </c>
      <c r="AN27" s="1251">
        <v>1291</v>
      </c>
      <c r="AO27" s="1251">
        <v>950</v>
      </c>
      <c r="AP27" s="1254"/>
      <c r="AQ27" s="1198">
        <v>4017</v>
      </c>
      <c r="AR27" s="1198">
        <v>3995</v>
      </c>
      <c r="AS27" s="1255">
        <v>-2</v>
      </c>
      <c r="AT27" s="1000">
        <v>-3.761519653940192E-4</v>
      </c>
      <c r="AU27" s="1256"/>
      <c r="AV27" s="752">
        <v>5315</v>
      </c>
      <c r="AW27" s="752">
        <v>5317</v>
      </c>
      <c r="AX27" s="752">
        <v>5689</v>
      </c>
      <c r="AY27" s="752">
        <v>5558</v>
      </c>
      <c r="AZ27" s="752">
        <v>6461</v>
      </c>
      <c r="BA27" s="752">
        <v>907</v>
      </c>
      <c r="BB27" s="1257">
        <v>1492</v>
      </c>
      <c r="BC27" s="1011">
        <v>804</v>
      </c>
      <c r="BD27" s="1011">
        <v>1063</v>
      </c>
      <c r="BE27" s="1025">
        <v>893</v>
      </c>
      <c r="BF27" s="1025">
        <v>470</v>
      </c>
      <c r="BG27" s="1025">
        <v>1291</v>
      </c>
      <c r="BH27" s="943"/>
      <c r="BJ27" s="943"/>
      <c r="BK27" s="943"/>
      <c r="BL27" s="943"/>
      <c r="BM27" s="943"/>
    </row>
    <row r="28" spans="1:65" ht="12.75" customHeight="1" x14ac:dyDescent="0.2">
      <c r="A28" s="952"/>
      <c r="B28" s="990" t="s">
        <v>75</v>
      </c>
      <c r="C28" s="999">
        <v>-39</v>
      </c>
      <c r="D28" s="1000">
        <v>-0.42391304347826086</v>
      </c>
      <c r="E28" s="1001"/>
      <c r="F28" s="1005">
        <v>53</v>
      </c>
      <c r="G28" s="251">
        <v>71</v>
      </c>
      <c r="H28" s="1198">
        <v>88</v>
      </c>
      <c r="I28" s="1251">
        <v>118</v>
      </c>
      <c r="J28" s="1005">
        <v>92</v>
      </c>
      <c r="K28" s="251">
        <v>125</v>
      </c>
      <c r="L28" s="1198">
        <v>195</v>
      </c>
      <c r="M28" s="1251">
        <v>142</v>
      </c>
      <c r="N28" s="1198">
        <v>177</v>
      </c>
      <c r="O28" s="1198">
        <v>206</v>
      </c>
      <c r="P28" s="1198">
        <v>1037</v>
      </c>
      <c r="Q28" s="1251">
        <v>121</v>
      </c>
      <c r="R28" s="1198">
        <v>34</v>
      </c>
      <c r="S28" s="1198">
        <v>-103</v>
      </c>
      <c r="T28" s="1198">
        <v>275</v>
      </c>
      <c r="U28" s="1251">
        <v>690</v>
      </c>
      <c r="V28" s="1198">
        <v>472</v>
      </c>
      <c r="W28" s="1198">
        <v>550</v>
      </c>
      <c r="X28" s="1198">
        <v>709</v>
      </c>
      <c r="Y28" s="1251">
        <v>1042</v>
      </c>
      <c r="Z28" s="1198">
        <v>608</v>
      </c>
      <c r="AA28" s="1198">
        <v>1167</v>
      </c>
      <c r="AB28" s="1198">
        <v>272</v>
      </c>
      <c r="AC28" s="1251">
        <v>657</v>
      </c>
      <c r="AD28" s="1198">
        <v>605</v>
      </c>
      <c r="AE28" s="1198">
        <v>643</v>
      </c>
      <c r="AF28" s="1198">
        <v>602</v>
      </c>
      <c r="AG28" s="1251">
        <v>517</v>
      </c>
      <c r="AH28" s="1252">
        <v>692</v>
      </c>
      <c r="AI28" s="1252">
        <v>3936</v>
      </c>
      <c r="AJ28" s="1252">
        <v>5582</v>
      </c>
      <c r="AK28" s="1252">
        <v>4292</v>
      </c>
      <c r="AL28" s="1253">
        <v>3663</v>
      </c>
      <c r="AM28" s="1251">
        <v>2463</v>
      </c>
      <c r="AN28" s="1251">
        <v>3310</v>
      </c>
      <c r="AO28" s="1251">
        <v>1287</v>
      </c>
      <c r="AP28" s="1254"/>
      <c r="AQ28" s="1198">
        <v>277</v>
      </c>
      <c r="AR28" s="1198">
        <v>462</v>
      </c>
      <c r="AS28" s="1255">
        <v>-224</v>
      </c>
      <c r="AT28" s="1000">
        <v>-0.40433212996389889</v>
      </c>
      <c r="AU28" s="1256"/>
      <c r="AV28" s="752">
        <v>330</v>
      </c>
      <c r="AW28" s="752">
        <v>554</v>
      </c>
      <c r="AX28" s="752">
        <v>1541</v>
      </c>
      <c r="AY28" s="752">
        <v>896</v>
      </c>
      <c r="AZ28" s="752">
        <v>3004</v>
      </c>
      <c r="BA28" s="752">
        <v>3213</v>
      </c>
      <c r="BB28" s="1257">
        <v>2422</v>
      </c>
      <c r="BC28" s="1011">
        <v>2174</v>
      </c>
      <c r="BD28" s="1011">
        <v>1510</v>
      </c>
      <c r="BE28" s="1025">
        <v>538</v>
      </c>
      <c r="BF28" s="1025">
        <v>590</v>
      </c>
      <c r="BG28" s="1025">
        <v>836</v>
      </c>
      <c r="BH28" s="943"/>
      <c r="BJ28" s="943"/>
      <c r="BK28" s="943"/>
      <c r="BL28" s="943"/>
      <c r="BM28" s="943"/>
    </row>
    <row r="29" spans="1:65" ht="12.75" customHeight="1" x14ac:dyDescent="0.2">
      <c r="A29" s="952"/>
      <c r="B29" s="952" t="s">
        <v>169</v>
      </c>
      <c r="C29" s="999">
        <v>4006</v>
      </c>
      <c r="D29" s="1000">
        <v>0</v>
      </c>
      <c r="E29" s="1001"/>
      <c r="F29" s="251">
        <v>4006</v>
      </c>
      <c r="G29" s="251">
        <v>0</v>
      </c>
      <c r="H29" s="828">
        <v>0</v>
      </c>
      <c r="I29" s="1258">
        <v>0</v>
      </c>
      <c r="J29" s="251">
        <v>0</v>
      </c>
      <c r="K29" s="251">
        <v>0</v>
      </c>
      <c r="L29" s="828">
        <v>4179</v>
      </c>
      <c r="M29" s="1258">
        <v>0</v>
      </c>
      <c r="N29" s="828">
        <v>0</v>
      </c>
      <c r="O29" s="828">
        <v>0</v>
      </c>
      <c r="P29" s="828">
        <v>575</v>
      </c>
      <c r="Q29" s="1258">
        <v>0</v>
      </c>
      <c r="R29" s="828">
        <v>6979</v>
      </c>
      <c r="S29" s="828">
        <v>884</v>
      </c>
      <c r="T29" s="1223">
        <v>0</v>
      </c>
      <c r="U29" s="1258">
        <v>-343</v>
      </c>
      <c r="V29" s="828">
        <v>0</v>
      </c>
      <c r="W29" s="828">
        <v>0</v>
      </c>
      <c r="X29" s="1223">
        <v>0</v>
      </c>
      <c r="Y29" s="1258">
        <v>0</v>
      </c>
      <c r="Z29" s="1198">
        <v>0</v>
      </c>
      <c r="AA29" s="1223">
        <v>0</v>
      </c>
      <c r="AB29" s="1223">
        <v>0</v>
      </c>
      <c r="AC29" s="1258">
        <v>0</v>
      </c>
      <c r="AD29" s="1223">
        <v>22</v>
      </c>
      <c r="AE29" s="1223">
        <v>5010</v>
      </c>
      <c r="AF29" s="1223">
        <v>0</v>
      </c>
      <c r="AG29" s="1251">
        <v>0</v>
      </c>
      <c r="AH29" s="1262">
        <v>0</v>
      </c>
      <c r="AI29" s="1262">
        <v>0</v>
      </c>
      <c r="AJ29" s="1262">
        <v>0</v>
      </c>
      <c r="AK29" s="1262">
        <v>0</v>
      </c>
      <c r="AL29" s="1263">
        <v>0</v>
      </c>
      <c r="AM29" s="1264">
        <v>0</v>
      </c>
      <c r="AN29" s="1264"/>
      <c r="AO29" s="1264"/>
      <c r="AP29" s="1265"/>
      <c r="AQ29" s="1198">
        <v>0</v>
      </c>
      <c r="AR29" s="1223">
        <v>4179</v>
      </c>
      <c r="AS29" s="1255">
        <v>-173</v>
      </c>
      <c r="AT29" s="1000">
        <v>-4.139746350801627E-2</v>
      </c>
      <c r="AU29" s="1266"/>
      <c r="AV29" s="834">
        <v>4006</v>
      </c>
      <c r="AW29" s="834">
        <v>4179</v>
      </c>
      <c r="AX29" s="834">
        <v>575</v>
      </c>
      <c r="AY29" s="834">
        <v>7863</v>
      </c>
      <c r="AZ29" s="1274">
        <v>0</v>
      </c>
      <c r="BA29" s="1274">
        <v>0</v>
      </c>
      <c r="BB29" s="1267">
        <v>4697</v>
      </c>
      <c r="BC29" s="1052">
        <v>0</v>
      </c>
      <c r="BD29" s="1052">
        <v>0</v>
      </c>
      <c r="BE29" s="1053">
        <v>0</v>
      </c>
      <c r="BF29" s="1025">
        <v>0</v>
      </c>
      <c r="BG29" s="1025">
        <v>0</v>
      </c>
      <c r="BH29" s="943"/>
      <c r="BJ29" s="943"/>
      <c r="BK29" s="943"/>
      <c r="BL29" s="943"/>
      <c r="BM29" s="943"/>
    </row>
    <row r="30" spans="1:65" ht="12.75" customHeight="1" x14ac:dyDescent="0.2">
      <c r="A30" s="952"/>
      <c r="B30" s="952" t="s">
        <v>190</v>
      </c>
      <c r="C30" s="999">
        <v>0</v>
      </c>
      <c r="D30" s="1000">
        <v>0</v>
      </c>
      <c r="E30" s="1001"/>
      <c r="F30" s="251">
        <v>0</v>
      </c>
      <c r="G30" s="251">
        <v>0</v>
      </c>
      <c r="H30" s="828">
        <v>0</v>
      </c>
      <c r="I30" s="1258">
        <v>0</v>
      </c>
      <c r="J30" s="251">
        <v>0</v>
      </c>
      <c r="K30" s="251">
        <v>0</v>
      </c>
      <c r="L30" s="828">
        <v>0</v>
      </c>
      <c r="M30" s="1258">
        <v>0</v>
      </c>
      <c r="N30" s="828">
        <v>0</v>
      </c>
      <c r="O30" s="828">
        <v>0</v>
      </c>
      <c r="P30" s="828">
        <v>388</v>
      </c>
      <c r="Q30" s="1258">
        <v>0</v>
      </c>
      <c r="R30" s="828">
        <v>0</v>
      </c>
      <c r="S30" s="828">
        <v>2290</v>
      </c>
      <c r="T30" s="1223">
        <v>1443</v>
      </c>
      <c r="U30" s="1258">
        <v>-23244</v>
      </c>
      <c r="V30" s="828">
        <v>0</v>
      </c>
      <c r="W30" s="828">
        <v>1750</v>
      </c>
      <c r="X30" s="1223">
        <v>0</v>
      </c>
      <c r="Y30" s="1258">
        <v>10990</v>
      </c>
      <c r="Z30" s="1198">
        <v>5000</v>
      </c>
      <c r="AA30" s="1223">
        <v>0</v>
      </c>
      <c r="AB30" s="1223">
        <v>0</v>
      </c>
      <c r="AC30" s="1258">
        <v>0</v>
      </c>
      <c r="AD30" s="1223">
        <v>0</v>
      </c>
      <c r="AE30" s="1223">
        <v>0</v>
      </c>
      <c r="AF30" s="1223">
        <v>0</v>
      </c>
      <c r="AG30" s="1251">
        <v>0</v>
      </c>
      <c r="AH30" s="1262"/>
      <c r="AI30" s="1262">
        <v>0</v>
      </c>
      <c r="AJ30" s="1262">
        <v>0</v>
      </c>
      <c r="AK30" s="1262">
        <v>0</v>
      </c>
      <c r="AL30" s="1263">
        <v>0</v>
      </c>
      <c r="AM30" s="1264">
        <v>0</v>
      </c>
      <c r="AN30" s="1264">
        <v>0</v>
      </c>
      <c r="AO30" s="1264">
        <v>0</v>
      </c>
      <c r="AP30" s="1265"/>
      <c r="AQ30" s="1198">
        <v>0</v>
      </c>
      <c r="AR30" s="1223">
        <v>0</v>
      </c>
      <c r="AS30" s="1255">
        <v>0</v>
      </c>
      <c r="AT30" s="1000">
        <v>0</v>
      </c>
      <c r="AU30" s="1266"/>
      <c r="AV30" s="1274">
        <v>0</v>
      </c>
      <c r="AW30" s="1274">
        <v>0</v>
      </c>
      <c r="AX30" s="834">
        <v>388</v>
      </c>
      <c r="AY30" s="834">
        <v>3733</v>
      </c>
      <c r="AZ30" s="834">
        <v>12740</v>
      </c>
      <c r="BA30" s="834">
        <v>5000</v>
      </c>
      <c r="BB30" s="1267">
        <v>0</v>
      </c>
      <c r="BC30" s="1052">
        <v>0</v>
      </c>
      <c r="BD30" s="1052">
        <v>0</v>
      </c>
      <c r="BE30" s="1053">
        <v>0</v>
      </c>
      <c r="BF30" s="1025"/>
      <c r="BG30" s="1025">
        <v>0</v>
      </c>
      <c r="BH30" s="943"/>
      <c r="BJ30" s="943"/>
      <c r="BK30" s="943"/>
      <c r="BL30" s="943"/>
      <c r="BM30" s="943"/>
    </row>
    <row r="31" spans="1:65" ht="12.75" hidden="1" customHeight="1" x14ac:dyDescent="0.2">
      <c r="A31" s="952"/>
      <c r="B31" s="1058" t="s">
        <v>168</v>
      </c>
      <c r="C31" s="999">
        <v>0</v>
      </c>
      <c r="D31" s="1000">
        <v>0</v>
      </c>
      <c r="E31" s="1001"/>
      <c r="F31" s="1054"/>
      <c r="G31" s="1054"/>
      <c r="H31" s="1260"/>
      <c r="I31" s="1268"/>
      <c r="J31" s="1054"/>
      <c r="K31" s="1054"/>
      <c r="L31" s="1260"/>
      <c r="M31" s="1268"/>
      <c r="N31" s="1260"/>
      <c r="O31" s="1260"/>
      <c r="P31" s="1260"/>
      <c r="Q31" s="1268"/>
      <c r="R31" s="1260"/>
      <c r="S31" s="1260"/>
      <c r="T31" s="1260"/>
      <c r="U31" s="1268"/>
      <c r="V31" s="1260"/>
      <c r="W31" s="1260"/>
      <c r="X31" s="1260"/>
      <c r="Y31" s="1268"/>
      <c r="Z31" s="1260"/>
      <c r="AA31" s="1260"/>
      <c r="AB31" s="1260"/>
      <c r="AC31" s="1268"/>
      <c r="AD31" s="1260"/>
      <c r="AE31" s="1260"/>
      <c r="AF31" s="1260"/>
      <c r="AG31" s="1268"/>
      <c r="AH31" s="1270"/>
      <c r="AI31" s="1260">
        <v>0</v>
      </c>
      <c r="AJ31" s="1260">
        <v>0</v>
      </c>
      <c r="AK31" s="1260">
        <v>0</v>
      </c>
      <c r="AL31" s="1270">
        <v>0</v>
      </c>
      <c r="AM31" s="1268">
        <v>0</v>
      </c>
      <c r="AN31" s="1268">
        <v>0</v>
      </c>
      <c r="AO31" s="1268">
        <v>0</v>
      </c>
      <c r="AP31" s="1254"/>
      <c r="AQ31" s="1198">
        <v>0</v>
      </c>
      <c r="AR31" s="1260">
        <v>0</v>
      </c>
      <c r="AS31" s="1273">
        <v>0</v>
      </c>
      <c r="AT31" s="1000" t="e">
        <v>#DIV/0!</v>
      </c>
      <c r="AU31" s="1256"/>
      <c r="AV31" s="1259"/>
      <c r="AW31" s="1259">
        <v>0</v>
      </c>
      <c r="AX31" s="1259"/>
      <c r="AY31" s="1259"/>
      <c r="AZ31" s="1259"/>
      <c r="BA31" s="1259"/>
      <c r="BB31" s="1259"/>
      <c r="BC31" s="1057"/>
      <c r="BD31" s="1057"/>
      <c r="BE31" s="1025"/>
      <c r="BF31" s="1025"/>
      <c r="BG31" s="1025">
        <v>0</v>
      </c>
      <c r="BH31" s="943"/>
      <c r="BJ31" s="943"/>
      <c r="BK31" s="943"/>
      <c r="BL31" s="943"/>
      <c r="BM31" s="943"/>
    </row>
    <row r="32" spans="1:65" ht="12.75" hidden="1" customHeight="1" x14ac:dyDescent="0.2">
      <c r="A32" s="952"/>
      <c r="B32" s="952" t="s">
        <v>167</v>
      </c>
      <c r="C32" s="999"/>
      <c r="D32" s="1000"/>
      <c r="E32" s="1001"/>
      <c r="F32" s="1054"/>
      <c r="G32" s="1054"/>
      <c r="H32" s="1260"/>
      <c r="I32" s="1268"/>
      <c r="J32" s="1054"/>
      <c r="K32" s="1054"/>
      <c r="L32" s="1260"/>
      <c r="M32" s="1268"/>
      <c r="N32" s="1260"/>
      <c r="O32" s="1260"/>
      <c r="P32" s="1260"/>
      <c r="Q32" s="1268"/>
      <c r="R32" s="1260"/>
      <c r="S32" s="1260">
        <v>0</v>
      </c>
      <c r="T32" s="1260">
        <v>0</v>
      </c>
      <c r="U32" s="1268">
        <v>0</v>
      </c>
      <c r="V32" s="1260"/>
      <c r="W32" s="1260"/>
      <c r="X32" s="1260"/>
      <c r="Y32" s="1268"/>
      <c r="Z32" s="1260"/>
      <c r="AA32" s="1260">
        <v>0</v>
      </c>
      <c r="AB32" s="1260">
        <v>0</v>
      </c>
      <c r="AC32" s="1268">
        <v>0</v>
      </c>
      <c r="AD32" s="1260">
        <v>0</v>
      </c>
      <c r="AE32" s="1260">
        <v>0</v>
      </c>
      <c r="AF32" s="1260">
        <v>0</v>
      </c>
      <c r="AG32" s="1268">
        <v>0</v>
      </c>
      <c r="AH32" s="1270">
        <v>0</v>
      </c>
      <c r="AI32" s="1260">
        <v>0</v>
      </c>
      <c r="AJ32" s="1260">
        <v>0</v>
      </c>
      <c r="AK32" s="1260">
        <v>0</v>
      </c>
      <c r="AL32" s="1270">
        <v>0</v>
      </c>
      <c r="AM32" s="1268">
        <v>0</v>
      </c>
      <c r="AN32" s="1268"/>
      <c r="AO32" s="1268"/>
      <c r="AP32" s="1254"/>
      <c r="AQ32" s="1198">
        <v>0</v>
      </c>
      <c r="AR32" s="1260">
        <v>0</v>
      </c>
      <c r="AS32" s="1273"/>
      <c r="AT32" s="1000"/>
      <c r="AU32" s="1256"/>
      <c r="AV32" s="1274"/>
      <c r="AW32" s="1274"/>
      <c r="AX32" s="1274"/>
      <c r="AY32" s="1274"/>
      <c r="AZ32" s="1274"/>
      <c r="BA32" s="1274"/>
      <c r="BB32" s="1259">
        <v>3958</v>
      </c>
      <c r="BC32" s="1057">
        <v>0</v>
      </c>
      <c r="BD32" s="1057">
        <v>0</v>
      </c>
      <c r="BE32" s="1057">
        <v>0</v>
      </c>
      <c r="BF32" s="1057">
        <v>0</v>
      </c>
      <c r="BG32" s="1057">
        <v>0</v>
      </c>
      <c r="BH32" s="943"/>
      <c r="BJ32" s="943"/>
      <c r="BK32" s="943"/>
      <c r="BL32" s="943"/>
      <c r="BM32" s="943"/>
    </row>
    <row r="33" spans="1:65" ht="12.75" hidden="1" customHeight="1" x14ac:dyDescent="0.2">
      <c r="A33" s="988"/>
      <c r="B33" s="952"/>
      <c r="C33" s="999"/>
      <c r="D33" s="1000"/>
      <c r="E33" s="1001"/>
      <c r="F33" s="1039"/>
      <c r="G33" s="251"/>
      <c r="H33" s="899"/>
      <c r="I33" s="896"/>
      <c r="J33" s="1039"/>
      <c r="K33" s="251"/>
      <c r="L33" s="899"/>
      <c r="M33" s="896"/>
      <c r="N33" s="1223"/>
      <c r="O33" s="828"/>
      <c r="P33" s="899"/>
      <c r="Q33" s="896"/>
      <c r="R33" s="1223"/>
      <c r="S33" s="899"/>
      <c r="T33" s="899"/>
      <c r="U33" s="896"/>
      <c r="V33" s="1223"/>
      <c r="W33" s="899"/>
      <c r="X33" s="899"/>
      <c r="Y33" s="896"/>
      <c r="Z33" s="1223"/>
      <c r="AA33" s="1275"/>
      <c r="AB33" s="1275"/>
      <c r="AC33" s="1276"/>
      <c r="AD33" s="1198"/>
      <c r="AE33" s="1198"/>
      <c r="AF33" s="1275"/>
      <c r="AG33" s="1276"/>
      <c r="AH33" s="1277"/>
      <c r="AI33" s="1260"/>
      <c r="AJ33" s="1260"/>
      <c r="AK33" s="1260"/>
      <c r="AL33" s="1270"/>
      <c r="AM33" s="1268"/>
      <c r="AN33" s="1251"/>
      <c r="AO33" s="1251"/>
      <c r="AP33" s="1254"/>
      <c r="AQ33" s="1198"/>
      <c r="AR33" s="899"/>
      <c r="AS33" s="1255"/>
      <c r="AT33" s="1000"/>
      <c r="AU33" s="1256"/>
      <c r="AV33" s="1274"/>
      <c r="AW33" s="1274"/>
      <c r="AX33" s="1274"/>
      <c r="AY33" s="1274"/>
      <c r="AZ33" s="897"/>
      <c r="BA33" s="1274"/>
      <c r="BB33" s="1274"/>
      <c r="BC33" s="1062"/>
      <c r="BD33" s="1062"/>
      <c r="BE33" s="1062"/>
      <c r="BF33" s="1025"/>
      <c r="BG33" s="1025"/>
      <c r="BH33" s="943"/>
      <c r="BJ33" s="943"/>
      <c r="BK33" s="943"/>
      <c r="BL33" s="943"/>
      <c r="BM33" s="943"/>
    </row>
    <row r="34" spans="1:65" ht="12.75" customHeight="1" x14ac:dyDescent="0.2">
      <c r="A34" s="988"/>
      <c r="B34" s="952"/>
      <c r="C34" s="1012">
        <v>7529</v>
      </c>
      <c r="D34" s="1063">
        <v>0.22498132377110414</v>
      </c>
      <c r="E34" s="1001"/>
      <c r="F34" s="1287">
        <v>40994</v>
      </c>
      <c r="G34" s="1287">
        <v>27845</v>
      </c>
      <c r="H34" s="1287">
        <v>46253</v>
      </c>
      <c r="I34" s="1290">
        <v>42850</v>
      </c>
      <c r="J34" s="1287">
        <v>33465</v>
      </c>
      <c r="K34" s="1287">
        <v>33465</v>
      </c>
      <c r="L34" s="1287">
        <v>33106</v>
      </c>
      <c r="M34" s="1290">
        <v>26171</v>
      </c>
      <c r="N34" s="1287">
        <v>40427</v>
      </c>
      <c r="O34" s="1287">
        <v>49904</v>
      </c>
      <c r="P34" s="1287">
        <v>35842</v>
      </c>
      <c r="Q34" s="1290">
        <v>31620</v>
      </c>
      <c r="R34" s="1287">
        <v>58961</v>
      </c>
      <c r="S34" s="1287">
        <v>43143</v>
      </c>
      <c r="T34" s="1287">
        <v>37095</v>
      </c>
      <c r="U34" s="1290">
        <v>18022</v>
      </c>
      <c r="V34" s="1293">
        <v>50271</v>
      </c>
      <c r="W34" s="1293">
        <v>61943</v>
      </c>
      <c r="X34" s="1287">
        <v>34417</v>
      </c>
      <c r="Y34" s="1290">
        <v>44140</v>
      </c>
      <c r="Z34" s="1287">
        <v>27693</v>
      </c>
      <c r="AA34" s="1293">
        <v>37922</v>
      </c>
      <c r="AB34" s="1287">
        <v>19480</v>
      </c>
      <c r="AC34" s="1290">
        <v>22187</v>
      </c>
      <c r="AD34" s="1293">
        <v>15783</v>
      </c>
      <c r="AE34" s="1293">
        <v>21597</v>
      </c>
      <c r="AF34" s="1293">
        <v>20639</v>
      </c>
      <c r="AG34" s="1290">
        <v>27571</v>
      </c>
      <c r="AH34" s="1293">
        <v>24147</v>
      </c>
      <c r="AI34" s="1293">
        <v>87449</v>
      </c>
      <c r="AJ34" s="1286">
        <v>74128</v>
      </c>
      <c r="AK34" s="1293">
        <v>106349</v>
      </c>
      <c r="AL34" s="1294">
        <v>100905</v>
      </c>
      <c r="AM34" s="1290">
        <v>75317</v>
      </c>
      <c r="AN34" s="1290">
        <v>70703</v>
      </c>
      <c r="AO34" s="1293">
        <v>91522</v>
      </c>
      <c r="AP34" s="1254"/>
      <c r="AQ34" s="1287">
        <v>116948</v>
      </c>
      <c r="AR34" s="1287">
        <v>92742</v>
      </c>
      <c r="AS34" s="1336">
        <v>31735</v>
      </c>
      <c r="AT34" s="1067">
        <v>0.25145197968416966</v>
      </c>
      <c r="AU34" s="992"/>
      <c r="AV34" s="1068">
        <v>157942</v>
      </c>
      <c r="AW34" s="1068">
        <v>126207</v>
      </c>
      <c r="AX34" s="1068">
        <v>157791</v>
      </c>
      <c r="AY34" s="1068">
        <v>180808</v>
      </c>
      <c r="AZ34" s="1068">
        <v>219154</v>
      </c>
      <c r="BA34" s="1068">
        <v>129651</v>
      </c>
      <c r="BB34" s="1068">
        <v>111254</v>
      </c>
      <c r="BC34" s="1068">
        <v>120138</v>
      </c>
      <c r="BD34" s="1068">
        <v>125171</v>
      </c>
      <c r="BE34" s="1069">
        <v>105485</v>
      </c>
      <c r="BF34" s="1069">
        <v>67435</v>
      </c>
      <c r="BG34" s="1019">
        <v>154490</v>
      </c>
      <c r="BH34" s="943"/>
      <c r="BJ34" s="943"/>
      <c r="BK34" s="943"/>
      <c r="BL34" s="943"/>
      <c r="BM34" s="943"/>
    </row>
    <row r="35" spans="1:65" s="1074" customFormat="1" ht="24.95" customHeight="1" thickBot="1" x14ac:dyDescent="0.25">
      <c r="A35" s="1491" t="s">
        <v>188</v>
      </c>
      <c r="B35" s="1492"/>
      <c r="C35" s="1012">
        <v>-2294</v>
      </c>
      <c r="D35" s="1013">
        <v>-0.23915763135946622</v>
      </c>
      <c r="E35" s="1001"/>
      <c r="F35" s="1296">
        <v>7298</v>
      </c>
      <c r="G35" s="1296">
        <v>1347</v>
      </c>
      <c r="H35" s="1296">
        <v>22660</v>
      </c>
      <c r="I35" s="1295">
        <v>15338</v>
      </c>
      <c r="J35" s="1296">
        <v>9592</v>
      </c>
      <c r="K35" s="1296">
        <v>7818</v>
      </c>
      <c r="L35" s="1296">
        <v>-1842</v>
      </c>
      <c r="M35" s="1295">
        <v>6739</v>
      </c>
      <c r="N35" s="1296">
        <v>16387</v>
      </c>
      <c r="O35" s="1296">
        <v>26551</v>
      </c>
      <c r="P35" s="1296">
        <v>-396</v>
      </c>
      <c r="Q35" s="1295">
        <v>4004</v>
      </c>
      <c r="R35" s="1296">
        <v>12045</v>
      </c>
      <c r="S35" s="1296">
        <v>13799</v>
      </c>
      <c r="T35" s="1296">
        <v>5396</v>
      </c>
      <c r="U35" s="1295">
        <v>43845</v>
      </c>
      <c r="V35" s="1296">
        <v>38361</v>
      </c>
      <c r="W35" s="1296">
        <v>47461</v>
      </c>
      <c r="X35" s="1223">
        <v>15492</v>
      </c>
      <c r="Y35" s="1295">
        <v>8917</v>
      </c>
      <c r="Z35" s="1223">
        <v>5113</v>
      </c>
      <c r="AA35" s="1296">
        <v>20118</v>
      </c>
      <c r="AB35" s="1223">
        <v>7834</v>
      </c>
      <c r="AC35" s="1295">
        <v>7867</v>
      </c>
      <c r="AD35" s="1296">
        <v>9250</v>
      </c>
      <c r="AE35" s="1296">
        <v>-8958</v>
      </c>
      <c r="AF35" s="1296">
        <v>2822</v>
      </c>
      <c r="AG35" s="1295">
        <v>6781</v>
      </c>
      <c r="AH35" s="1296">
        <v>7797</v>
      </c>
      <c r="AI35" s="1287">
        <v>22134</v>
      </c>
      <c r="AJ35" s="1286">
        <v>14943</v>
      </c>
      <c r="AK35" s="1287">
        <v>48674</v>
      </c>
      <c r="AL35" s="1287">
        <v>29246</v>
      </c>
      <c r="AM35" s="1287">
        <v>26110</v>
      </c>
      <c r="AN35" s="1287">
        <v>22330</v>
      </c>
      <c r="AO35" s="1287">
        <v>33584</v>
      </c>
      <c r="AP35" s="1254"/>
      <c r="AQ35" s="1361">
        <v>39345</v>
      </c>
      <c r="AR35" s="1296">
        <v>12715</v>
      </c>
      <c r="AS35" s="1327">
        <v>24336</v>
      </c>
      <c r="AT35" s="1013">
        <v>1.0909579952481283</v>
      </c>
      <c r="AU35" s="992"/>
      <c r="AV35" s="1018">
        <v>46643</v>
      </c>
      <c r="AW35" s="1018">
        <v>22307</v>
      </c>
      <c r="AX35" s="1018">
        <v>46546</v>
      </c>
      <c r="AY35" s="1018">
        <v>51498</v>
      </c>
      <c r="AZ35" s="1018">
        <v>119366</v>
      </c>
      <c r="BA35" s="1018">
        <v>47930</v>
      </c>
      <c r="BB35" s="1018">
        <v>11596</v>
      </c>
      <c r="BC35" s="1071">
        <v>56517</v>
      </c>
      <c r="BD35" s="1071">
        <v>62391</v>
      </c>
      <c r="BE35" s="1019">
        <v>44985</v>
      </c>
      <c r="BF35" s="1019">
        <v>28124</v>
      </c>
      <c r="BG35" s="1072">
        <v>57268</v>
      </c>
      <c r="BH35" s="1073"/>
      <c r="BJ35" s="1073"/>
      <c r="BK35" s="1073"/>
      <c r="BL35" s="1073"/>
      <c r="BM35" s="1073"/>
    </row>
    <row r="36" spans="1:65" s="1074" customFormat="1" ht="12.75" customHeight="1" thickTop="1" x14ac:dyDescent="0.2">
      <c r="A36" s="1075"/>
      <c r="B36" s="1076" t="s">
        <v>384</v>
      </c>
      <c r="C36" s="1029">
        <v>-516</v>
      </c>
      <c r="D36" s="1041">
        <v>-0.17029702970297031</v>
      </c>
      <c r="E36" s="1001"/>
      <c r="F36" s="1275">
        <v>2514</v>
      </c>
      <c r="G36" s="1275">
        <v>1983</v>
      </c>
      <c r="H36" s="1275">
        <v>2845</v>
      </c>
      <c r="I36" s="1258">
        <v>2166</v>
      </c>
      <c r="J36" s="1275">
        <v>3030</v>
      </c>
      <c r="K36" s="1275">
        <v>2756</v>
      </c>
      <c r="L36" s="1275">
        <v>1772</v>
      </c>
      <c r="M36" s="1258">
        <v>2361</v>
      </c>
      <c r="N36" s="1275">
        <v>2279</v>
      </c>
      <c r="O36" s="1275">
        <v>2591</v>
      </c>
      <c r="P36" s="1275">
        <v>2518</v>
      </c>
      <c r="Q36" s="1258">
        <v>2914</v>
      </c>
      <c r="R36" s="1223">
        <v>3107</v>
      </c>
      <c r="S36" s="1223">
        <v>2615</v>
      </c>
      <c r="T36" s="1275">
        <v>3104</v>
      </c>
      <c r="U36" s="1258">
        <v>3041</v>
      </c>
      <c r="V36" s="1296">
        <v>1560</v>
      </c>
      <c r="W36" s="1223">
        <v>1796</v>
      </c>
      <c r="X36" s="1296">
        <v>1873</v>
      </c>
      <c r="Y36" s="1258">
        <v>1741</v>
      </c>
      <c r="Z36" s="1296">
        <v>1757</v>
      </c>
      <c r="AA36" s="1223">
        <v>1483</v>
      </c>
      <c r="AB36" s="1296">
        <v>1374</v>
      </c>
      <c r="AC36" s="1258">
        <v>1459</v>
      </c>
      <c r="AD36" s="1223">
        <v>2224</v>
      </c>
      <c r="AE36" s="1223">
        <v>671</v>
      </c>
      <c r="AF36" s="1223">
        <v>2365</v>
      </c>
      <c r="AG36" s="1258">
        <v>1384</v>
      </c>
      <c r="AH36" s="1223">
        <v>889</v>
      </c>
      <c r="AI36" s="1297" t="s">
        <v>186</v>
      </c>
      <c r="AJ36" s="1298" t="s">
        <v>186</v>
      </c>
      <c r="AK36" s="1297"/>
      <c r="AL36" s="1297"/>
      <c r="AM36" s="1297"/>
      <c r="AN36" s="1297"/>
      <c r="AO36" s="1297"/>
      <c r="AP36" s="1299"/>
      <c r="AQ36" s="1296">
        <v>6994</v>
      </c>
      <c r="AR36" s="1296">
        <v>6889</v>
      </c>
      <c r="AS36" s="750">
        <v>-411</v>
      </c>
      <c r="AT36" s="1041">
        <v>-4.1435628591591896E-2</v>
      </c>
      <c r="AU36" s="1077"/>
      <c r="AV36" s="1449">
        <v>9508</v>
      </c>
      <c r="AW36" s="1028">
        <v>9919</v>
      </c>
      <c r="AX36" s="1011">
        <v>10302</v>
      </c>
      <c r="AY36" s="1011">
        <v>11867</v>
      </c>
      <c r="AZ36" s="1011">
        <v>10903</v>
      </c>
      <c r="BA36" s="1011">
        <v>9573</v>
      </c>
      <c r="BB36" s="1280" t="s">
        <v>186</v>
      </c>
      <c r="BC36" s="1028">
        <v>2661</v>
      </c>
      <c r="BD36" s="1028">
        <v>2823</v>
      </c>
      <c r="BE36" s="1078">
        <v>2501</v>
      </c>
      <c r="BF36" s="1025">
        <v>3033</v>
      </c>
      <c r="BG36" s="1036"/>
      <c r="BH36" s="1073"/>
      <c r="BJ36" s="1073"/>
      <c r="BK36" s="1073"/>
      <c r="BL36" s="1073"/>
      <c r="BM36" s="1073"/>
    </row>
    <row r="37" spans="1:65" s="1074" customFormat="1" ht="13.5" thickBot="1" x14ac:dyDescent="0.25">
      <c r="A37" s="1491" t="s">
        <v>77</v>
      </c>
      <c r="B37" s="1493"/>
      <c r="C37" s="1079">
        <v>-1778</v>
      </c>
      <c r="D37" s="1227">
        <v>-0.27095397744590066</v>
      </c>
      <c r="E37" s="1001"/>
      <c r="F37" s="1300">
        <v>4784</v>
      </c>
      <c r="G37" s="1300">
        <v>-636</v>
      </c>
      <c r="H37" s="1300">
        <v>19815</v>
      </c>
      <c r="I37" s="1301">
        <v>13172</v>
      </c>
      <c r="J37" s="1300">
        <v>6562</v>
      </c>
      <c r="K37" s="1300">
        <v>5062</v>
      </c>
      <c r="L37" s="1300">
        <v>-3614</v>
      </c>
      <c r="M37" s="1301">
        <v>4378</v>
      </c>
      <c r="N37" s="1300">
        <v>14108</v>
      </c>
      <c r="O37" s="1300">
        <v>23960</v>
      </c>
      <c r="P37" s="1300">
        <v>-2914</v>
      </c>
      <c r="Q37" s="1301">
        <v>1090</v>
      </c>
      <c r="R37" s="1300">
        <v>8938</v>
      </c>
      <c r="S37" s="1300">
        <v>11184</v>
      </c>
      <c r="T37" s="1300">
        <v>2292</v>
      </c>
      <c r="U37" s="1301">
        <v>40804</v>
      </c>
      <c r="V37" s="1300">
        <v>36801</v>
      </c>
      <c r="W37" s="1300">
        <v>45665</v>
      </c>
      <c r="X37" s="1300">
        <v>13619</v>
      </c>
      <c r="Y37" s="1301">
        <v>7176</v>
      </c>
      <c r="Z37" s="1300">
        <v>3356</v>
      </c>
      <c r="AA37" s="1300">
        <v>18635</v>
      </c>
      <c r="AB37" s="1300">
        <v>6460</v>
      </c>
      <c r="AC37" s="1301">
        <v>6408</v>
      </c>
      <c r="AD37" s="1300">
        <v>7026</v>
      </c>
      <c r="AE37" s="1300">
        <v>-9629</v>
      </c>
      <c r="AF37" s="1300">
        <v>457</v>
      </c>
      <c r="AG37" s="1301">
        <v>5397</v>
      </c>
      <c r="AH37" s="1300">
        <v>6908</v>
      </c>
      <c r="AI37" s="1302" t="s">
        <v>186</v>
      </c>
      <c r="AJ37" s="1303" t="s">
        <v>186</v>
      </c>
      <c r="AK37" s="1302"/>
      <c r="AL37" s="1302"/>
      <c r="AM37" s="1302"/>
      <c r="AN37" s="1302"/>
      <c r="AO37" s="1302"/>
      <c r="AP37" s="1299"/>
      <c r="AQ37" s="1300">
        <v>32351</v>
      </c>
      <c r="AR37" s="1300">
        <v>5826</v>
      </c>
      <c r="AS37" s="653">
        <v>24747</v>
      </c>
      <c r="AT37" s="1227">
        <v>1.9976590248627704</v>
      </c>
      <c r="AU37" s="1077"/>
      <c r="AV37" s="1082">
        <v>37135</v>
      </c>
      <c r="AW37" s="1082">
        <v>12388</v>
      </c>
      <c r="AX37" s="1082">
        <v>36244</v>
      </c>
      <c r="AY37" s="1082">
        <v>39631</v>
      </c>
      <c r="AZ37" s="1082">
        <v>108463</v>
      </c>
      <c r="BA37" s="1082">
        <v>38357</v>
      </c>
      <c r="BB37" s="1082">
        <v>11596</v>
      </c>
      <c r="BC37" s="1081">
        <v>53856</v>
      </c>
      <c r="BD37" s="1081">
        <v>59568</v>
      </c>
      <c r="BE37" s="1083">
        <v>42484</v>
      </c>
      <c r="BF37" s="1019">
        <v>25091</v>
      </c>
      <c r="BG37" s="1036"/>
      <c r="BH37" s="1073"/>
      <c r="BJ37" s="1073"/>
      <c r="BK37" s="1073"/>
      <c r="BL37" s="1073"/>
      <c r="BM37" s="1073"/>
    </row>
    <row r="38" spans="1:65" ht="12.75" customHeight="1" thickTop="1" x14ac:dyDescent="0.2">
      <c r="A38" s="1058"/>
      <c r="B38" s="1058"/>
      <c r="C38" s="1036"/>
      <c r="D38" s="1084"/>
      <c r="E38" s="1084"/>
      <c r="F38" s="1084"/>
      <c r="G38" s="1085"/>
      <c r="H38" s="1085"/>
      <c r="I38" s="992"/>
      <c r="J38" s="1084"/>
      <c r="K38" s="1085"/>
      <c r="L38" s="1085"/>
      <c r="M38" s="992"/>
      <c r="N38" s="1084"/>
      <c r="O38" s="1085"/>
      <c r="P38" s="1085"/>
      <c r="Q38" s="992"/>
      <c r="R38" s="1084"/>
      <c r="S38" s="1084"/>
      <c r="T38" s="1085"/>
      <c r="U38" s="992"/>
      <c r="V38" s="1084"/>
      <c r="W38" s="1084"/>
      <c r="X38" s="1084"/>
      <c r="Y38" s="992"/>
      <c r="Z38" s="1084"/>
      <c r="AA38" s="1084"/>
      <c r="AB38" s="1084"/>
      <c r="AC38" s="992"/>
      <c r="AD38" s="1084"/>
      <c r="AE38" s="1084"/>
      <c r="AF38" s="1084"/>
      <c r="AG38" s="992"/>
      <c r="AH38" s="996"/>
      <c r="AI38" s="996"/>
      <c r="AJ38" s="996"/>
      <c r="AK38" s="996"/>
      <c r="AL38" s="1086"/>
      <c r="AM38" s="1086"/>
      <c r="AN38" s="1086"/>
      <c r="AO38" s="1086"/>
      <c r="AP38" s="992"/>
      <c r="AQ38" s="992"/>
      <c r="AR38" s="992"/>
      <c r="AS38" s="1010"/>
      <c r="AT38" s="1084"/>
      <c r="AU38" s="992"/>
      <c r="AV38" s="992"/>
      <c r="AW38" s="992"/>
      <c r="AX38" s="992"/>
      <c r="AY38" s="992"/>
      <c r="AZ38" s="992"/>
      <c r="BA38" s="992"/>
      <c r="BB38" s="992"/>
      <c r="BC38" s="1036"/>
      <c r="BD38" s="1036"/>
      <c r="BE38" s="1036"/>
      <c r="BF38" s="1036"/>
      <c r="BG38" s="1036"/>
      <c r="BH38" s="943"/>
      <c r="BJ38" s="943"/>
      <c r="BK38" s="943"/>
      <c r="BL38" s="943"/>
      <c r="BM38" s="943"/>
    </row>
    <row r="39" spans="1:65" ht="12.75" customHeight="1" x14ac:dyDescent="0.2">
      <c r="A39" s="1058" t="s">
        <v>335</v>
      </c>
      <c r="B39" s="1058"/>
      <c r="C39" s="1087">
        <v>0.2321847222600204</v>
      </c>
      <c r="D39" s="1084"/>
      <c r="E39" s="1084"/>
      <c r="F39" s="1088">
        <v>0.41184875341671501</v>
      </c>
      <c r="G39" s="1088">
        <v>0.33906549739654701</v>
      </c>
      <c r="H39" s="1088">
        <v>0.42790184725668595</v>
      </c>
      <c r="I39" s="1088">
        <v>0.43716917577507391</v>
      </c>
      <c r="J39" s="1088">
        <v>0.4095269061941148</v>
      </c>
      <c r="K39" s="1088">
        <v>0.39023326793110968</v>
      </c>
      <c r="L39" s="1088">
        <v>0.35014713408393039</v>
      </c>
      <c r="M39" s="1088">
        <v>0.27371619568520206</v>
      </c>
      <c r="N39" s="1088">
        <v>0.43452318090611469</v>
      </c>
      <c r="O39" s="1088">
        <v>0.42332644465953384</v>
      </c>
      <c r="P39" s="1088">
        <v>0.39509098603470166</v>
      </c>
      <c r="Q39" s="1088">
        <v>0.38086683134965194</v>
      </c>
      <c r="R39" s="1088">
        <v>0.42531617046446779</v>
      </c>
      <c r="S39" s="1088">
        <v>0.41185767974430121</v>
      </c>
      <c r="T39" s="1088">
        <v>0.40003765503283051</v>
      </c>
      <c r="U39" s="1088">
        <v>0.47189939709376566</v>
      </c>
      <c r="V39" s="1088">
        <v>0.48563724162830579</v>
      </c>
      <c r="W39" s="1088">
        <v>0.43493839347738655</v>
      </c>
      <c r="X39" s="1088">
        <v>0.41539602075777915</v>
      </c>
      <c r="Y39" s="1088"/>
      <c r="Z39" s="1088"/>
      <c r="AA39" s="1088"/>
      <c r="AB39" s="1088"/>
      <c r="AC39" s="1088"/>
      <c r="AD39" s="1088"/>
      <c r="AE39" s="1088"/>
      <c r="AF39" s="1088"/>
      <c r="AG39" s="1088"/>
      <c r="AH39" s="1088"/>
      <c r="AI39" s="1088"/>
      <c r="AJ39" s="1088"/>
      <c r="AK39" s="1088"/>
      <c r="AL39" s="1088"/>
      <c r="AM39" s="1088"/>
      <c r="AN39" s="1088"/>
      <c r="AO39" s="1088"/>
      <c r="AP39" s="1088"/>
      <c r="AQ39" s="1088">
        <v>0.41475945819710414</v>
      </c>
      <c r="AR39" s="1088">
        <v>0.34198772959594909</v>
      </c>
      <c r="AS39" s="1087">
        <v>5.2503784122281409</v>
      </c>
      <c r="AT39" s="1084"/>
      <c r="AU39" s="992"/>
      <c r="AV39" s="1088">
        <v>0.41407239044895766</v>
      </c>
      <c r="AW39" s="1088">
        <v>0.36156860632667626</v>
      </c>
      <c r="AX39" s="1088">
        <v>0.41409534249793234</v>
      </c>
      <c r="AY39" s="1088">
        <v>0.42979948860554612</v>
      </c>
      <c r="AZ39" s="1088">
        <v>0.43447949899562804</v>
      </c>
      <c r="BA39" s="1088">
        <v>0.48791255821287188</v>
      </c>
      <c r="BB39" s="1088">
        <v>0.51352055352055348</v>
      </c>
      <c r="BC39" s="1088">
        <v>0.49947071976451274</v>
      </c>
      <c r="BD39" s="1036"/>
      <c r="BE39" s="1036"/>
      <c r="BF39" s="1036"/>
      <c r="BG39" s="1036"/>
      <c r="BH39" s="943"/>
      <c r="BJ39" s="943"/>
      <c r="BK39" s="943"/>
      <c r="BL39" s="943"/>
      <c r="BM39" s="943"/>
    </row>
    <row r="40" spans="1:65" ht="12.75" customHeight="1" x14ac:dyDescent="0.2">
      <c r="A40" s="1058" t="s">
        <v>385</v>
      </c>
      <c r="B40" s="1058"/>
      <c r="C40" s="1087">
        <v>-0.55156770655929588</v>
      </c>
      <c r="D40" s="1084"/>
      <c r="E40" s="1084"/>
      <c r="F40" s="1088">
        <v>9.3121013832518848E-2</v>
      </c>
      <c r="G40" s="1088">
        <v>0.1267470539873938</v>
      </c>
      <c r="H40" s="1088">
        <v>4.6870692031982353E-2</v>
      </c>
      <c r="I40" s="1088">
        <v>5.544098439540799E-2</v>
      </c>
      <c r="J40" s="1088">
        <v>9.8636690898111806E-2</v>
      </c>
      <c r="K40" s="1088">
        <v>9.7352421093428287E-2</v>
      </c>
      <c r="L40" s="1088">
        <v>0.15893679631525076</v>
      </c>
      <c r="M40" s="1088">
        <v>0.15524156791248861</v>
      </c>
      <c r="N40" s="1088">
        <v>6.6145668321188442E-2</v>
      </c>
      <c r="O40" s="1088">
        <v>4.8669788369477072E-2</v>
      </c>
      <c r="P40" s="1088">
        <v>0.15426717449569757</v>
      </c>
      <c r="Q40" s="1088">
        <v>9.8529081518077696E-2</v>
      </c>
      <c r="R40" s="1088">
        <v>8.8429146832662023E-2</v>
      </c>
      <c r="S40" s="1088">
        <v>5.7145867725053562E-2</v>
      </c>
      <c r="T40" s="1088">
        <v>7.4556965004353867E-2</v>
      </c>
      <c r="U40" s="1088">
        <v>-5.4407034444857519E-2</v>
      </c>
      <c r="V40" s="1088">
        <v>-4.2196949183139272E-2</v>
      </c>
      <c r="W40" s="1088">
        <v>5.4659793060582796E-3</v>
      </c>
      <c r="X40" s="1088">
        <v>3.5664910136448333E-2</v>
      </c>
      <c r="Y40" s="1088"/>
      <c r="Z40" s="1088"/>
      <c r="AA40" s="1088"/>
      <c r="AB40" s="1088"/>
      <c r="AC40" s="1088"/>
      <c r="AD40" s="1088"/>
      <c r="AE40" s="1088"/>
      <c r="AF40" s="1088"/>
      <c r="AG40" s="1088"/>
      <c r="AH40" s="1088"/>
      <c r="AI40" s="1088"/>
      <c r="AJ40" s="1088"/>
      <c r="AK40" s="1088"/>
      <c r="AL40" s="1088"/>
      <c r="AM40" s="1088"/>
      <c r="AN40" s="1088"/>
      <c r="AO40" s="1088"/>
      <c r="AP40" s="1088"/>
      <c r="AQ40" s="1088">
        <v>6.4980517361622081E-2</v>
      </c>
      <c r="AR40" s="1088">
        <v>0.13367533686715913</v>
      </c>
      <c r="AS40" s="1087">
        <v>-5.1893933063175188</v>
      </c>
      <c r="AT40" s="1084"/>
      <c r="AU40" s="992"/>
      <c r="AV40" s="1088">
        <v>7.1623041767480508E-2</v>
      </c>
      <c r="AW40" s="1088">
        <v>0.1235169748306557</v>
      </c>
      <c r="AX40" s="1088">
        <v>8.0577673157577925E-2</v>
      </c>
      <c r="AY40" s="1088">
        <v>4.0184067566055116E-2</v>
      </c>
      <c r="AZ40" s="1088">
        <v>-3.3232896136121941E-3</v>
      </c>
      <c r="BA40" s="1088">
        <v>3.654107139840411E-2</v>
      </c>
      <c r="BB40" s="1088">
        <v>3.2047212047212045E-2</v>
      </c>
      <c r="BC40" s="1088">
        <v>-1.4321700489654976E-3</v>
      </c>
      <c r="BD40" s="1036"/>
      <c r="BE40" s="1036"/>
      <c r="BF40" s="1036"/>
      <c r="BG40" s="1036"/>
      <c r="BH40" s="943"/>
      <c r="BJ40" s="943"/>
      <c r="BK40" s="943"/>
      <c r="BL40" s="943"/>
      <c r="BM40" s="943"/>
    </row>
    <row r="41" spans="1:65" ht="12.75" customHeight="1" x14ac:dyDescent="0.2">
      <c r="A41" s="1089" t="s">
        <v>79</v>
      </c>
      <c r="B41" s="1090"/>
      <c r="C41" s="1087">
        <v>-0.31938298429927681</v>
      </c>
      <c r="D41" s="1084"/>
      <c r="E41" s="1084"/>
      <c r="F41" s="1088">
        <v>0.50496976724923381</v>
      </c>
      <c r="G41" s="1088">
        <v>0.46581255138394079</v>
      </c>
      <c r="H41" s="1088">
        <v>0.4747725392886683</v>
      </c>
      <c r="I41" s="1088">
        <v>0.49261016017048187</v>
      </c>
      <c r="J41" s="1088">
        <v>0.50816359709222658</v>
      </c>
      <c r="K41" s="1088">
        <v>0.48758568902453797</v>
      </c>
      <c r="L41" s="1088">
        <v>0.50908393039918121</v>
      </c>
      <c r="M41" s="1088">
        <v>0.42895776359769067</v>
      </c>
      <c r="N41" s="1088">
        <v>0.50066884922730315</v>
      </c>
      <c r="O41" s="1088">
        <v>0.47199623302901089</v>
      </c>
      <c r="P41" s="1088">
        <v>0.54935816053039921</v>
      </c>
      <c r="Q41" s="1088">
        <v>0.47939591286772965</v>
      </c>
      <c r="R41" s="1088">
        <v>0.5137453172971298</v>
      </c>
      <c r="S41" s="1088">
        <v>0.4690035474693548</v>
      </c>
      <c r="T41" s="1088">
        <v>0.47459462003718433</v>
      </c>
      <c r="U41" s="1088">
        <v>0.41749236264890816</v>
      </c>
      <c r="V41" s="1088">
        <v>0.44344029244516653</v>
      </c>
      <c r="W41" s="1088">
        <v>0.44040437278344485</v>
      </c>
      <c r="X41" s="1088">
        <v>0.4510609308942275</v>
      </c>
      <c r="Y41" s="1088">
        <v>0.42422300544697211</v>
      </c>
      <c r="Z41" s="1088">
        <v>0.51723611026220895</v>
      </c>
      <c r="AA41" s="1088">
        <v>0.53841046875272991</v>
      </c>
      <c r="AB41" s="1088">
        <v>0.56449056603773584</v>
      </c>
      <c r="AC41" s="1088">
        <v>0.57280228921275034</v>
      </c>
      <c r="AD41" s="1088">
        <v>0.49418767227260019</v>
      </c>
      <c r="AE41" s="1088">
        <v>0.81422580900387687</v>
      </c>
      <c r="AF41" s="1088">
        <v>0.56382933378798861</v>
      </c>
      <c r="AG41" s="1088">
        <v>0.55557172799254773</v>
      </c>
      <c r="AH41" s="1088">
        <v>0.51684197345354366</v>
      </c>
      <c r="AI41" s="1091">
        <v>0.52900000000000003</v>
      </c>
      <c r="AJ41" s="1091">
        <v>0.47399999999999998</v>
      </c>
      <c r="AK41" s="1091">
        <v>0.49199999999999999</v>
      </c>
      <c r="AL41" s="1091">
        <v>0.54400000000000004</v>
      </c>
      <c r="AM41" s="1091">
        <v>0.50800000000000001</v>
      </c>
      <c r="AN41" s="1091">
        <v>0.48699999999999999</v>
      </c>
      <c r="AO41" s="1091">
        <v>0.52700000000000002</v>
      </c>
      <c r="AP41" s="992"/>
      <c r="AQ41" s="1088">
        <v>0.47973997555872622</v>
      </c>
      <c r="AR41" s="1088">
        <v>0.47566306646310819</v>
      </c>
      <c r="AS41" s="1087">
        <v>6.09851059106159E-2</v>
      </c>
      <c r="AT41" s="1084"/>
      <c r="AU41" s="992"/>
      <c r="AV41" s="1088">
        <v>0.48569543221643813</v>
      </c>
      <c r="AW41" s="1088">
        <v>0.48508558115733197</v>
      </c>
      <c r="AX41" s="1088">
        <v>0.49467301565551025</v>
      </c>
      <c r="AY41" s="1088">
        <v>0.46998355617160126</v>
      </c>
      <c r="AZ41" s="1088">
        <v>0.43115620938201582</v>
      </c>
      <c r="BA41" s="1088">
        <v>0.52445362961127595</v>
      </c>
      <c r="BB41" s="1091">
        <v>0.54556776556776554</v>
      </c>
      <c r="BC41" s="1091">
        <v>0.49803854971554723</v>
      </c>
      <c r="BD41" s="1091">
        <v>0.52591676352352823</v>
      </c>
      <c r="BE41" s="1092">
        <v>0.54668040140891871</v>
      </c>
      <c r="BF41" s="1092">
        <v>0.49978547284923452</v>
      </c>
      <c r="BG41" s="1092">
        <v>0.56799999999999995</v>
      </c>
      <c r="BH41" s="943"/>
      <c r="BJ41" s="943"/>
      <c r="BK41" s="943"/>
      <c r="BL41" s="943"/>
      <c r="BM41" s="943"/>
    </row>
    <row r="42" spans="1:65" ht="12.75" customHeight="1" x14ac:dyDescent="0.2">
      <c r="A42" s="727" t="s">
        <v>217</v>
      </c>
      <c r="B42" s="1090"/>
      <c r="C42" s="1087">
        <v>-0.15993541938067457</v>
      </c>
      <c r="D42" s="1084"/>
      <c r="E42" s="1084"/>
      <c r="F42" s="1088">
        <v>0.53120599685248071</v>
      </c>
      <c r="G42" s="1088">
        <v>0.50301452452726769</v>
      </c>
      <c r="H42" s="1088">
        <v>0.4906331171186859</v>
      </c>
      <c r="I42" s="1088">
        <v>0.52320065992988241</v>
      </c>
      <c r="J42" s="1088">
        <v>0.53280535104628746</v>
      </c>
      <c r="K42" s="1088">
        <v>0.52144950706101789</v>
      </c>
      <c r="L42" s="1088">
        <v>0.54234902763561921</v>
      </c>
      <c r="M42" s="1088">
        <v>0.46906715284108175</v>
      </c>
      <c r="N42" s="1088">
        <v>0.52481782659203713</v>
      </c>
      <c r="O42" s="1088">
        <v>0.49151123551416537</v>
      </c>
      <c r="P42" s="1088">
        <v>0.61201862039779942</v>
      </c>
      <c r="Q42" s="1088">
        <v>0.52815517628565012</v>
      </c>
      <c r="R42" s="1088">
        <v>0.5337577106160043</v>
      </c>
      <c r="S42" s="1088">
        <v>0.4920094130870008</v>
      </c>
      <c r="T42" s="1088">
        <v>0.49499894095220165</v>
      </c>
      <c r="U42" s="1088">
        <v>0.44765383807199316</v>
      </c>
      <c r="V42" s="1088">
        <v>0.45171044318079251</v>
      </c>
      <c r="W42" s="1088">
        <v>0.44890497605206392</v>
      </c>
      <c r="X42" s="1088">
        <v>0.47221943937967098</v>
      </c>
      <c r="Y42" s="1088">
        <v>0.44572817912810753</v>
      </c>
      <c r="Z42" s="1088">
        <v>0.53972862294480772</v>
      </c>
      <c r="AA42" s="1088">
        <v>0.55773363383825147</v>
      </c>
      <c r="AB42" s="1088">
        <v>0.58128301886792455</v>
      </c>
      <c r="AC42" s="1088">
        <v>0.58840753310707394</v>
      </c>
      <c r="AD42" s="1088">
        <v>0.51472056884911921</v>
      </c>
      <c r="AE42" s="1088">
        <v>0.85655510720784878</v>
      </c>
      <c r="AF42" s="1088">
        <v>0.59400707557222621</v>
      </c>
      <c r="AG42" s="1088">
        <v>0.58284816022356778</v>
      </c>
      <c r="AH42" s="1088">
        <v>0.53471700475832706</v>
      </c>
      <c r="AI42" s="1091">
        <v>0.55900000000000005</v>
      </c>
      <c r="AJ42" s="1091">
        <v>0.51</v>
      </c>
      <c r="AK42" s="1091">
        <v>0.51700000000000002</v>
      </c>
      <c r="AL42" s="1091">
        <v>0.56399999999999995</v>
      </c>
      <c r="AM42" s="1091">
        <v>0.53900000000000003</v>
      </c>
      <c r="AN42" s="1091">
        <v>0.51100000000000001</v>
      </c>
      <c r="AO42" s="1091">
        <v>0.55300000000000005</v>
      </c>
      <c r="AP42" s="992"/>
      <c r="AQ42" s="1088">
        <v>0.50507060456962249</v>
      </c>
      <c r="AR42" s="1088">
        <v>0.51129844391552959</v>
      </c>
      <c r="AS42" s="1087">
        <v>-0.62938735597632967</v>
      </c>
      <c r="AT42" s="1084"/>
      <c r="AU42" s="992"/>
      <c r="AV42" s="1088">
        <v>0.51123982696678638</v>
      </c>
      <c r="AW42" s="1088">
        <v>0.51753370052654968</v>
      </c>
      <c r="AX42" s="1088">
        <v>0.52805903972359391</v>
      </c>
      <c r="AY42" s="1088">
        <v>0.49350425731578179</v>
      </c>
      <c r="AZ42" s="1088">
        <v>0.44817145220371024</v>
      </c>
      <c r="BA42" s="1088">
        <v>0.54969281623597122</v>
      </c>
      <c r="BB42" s="1091">
        <v>0.58048026048026047</v>
      </c>
      <c r="BC42" s="1091">
        <v>0.51592086269848014</v>
      </c>
      <c r="BD42" s="1091">
        <v>0.53576417397980403</v>
      </c>
      <c r="BE42" s="1092">
        <v>0.56272346647172189</v>
      </c>
      <c r="BF42" s="1092">
        <v>0.56988875982377385</v>
      </c>
      <c r="BG42" s="1092">
        <v>0.627</v>
      </c>
      <c r="BH42" s="943"/>
      <c r="BJ42" s="943"/>
      <c r="BK42" s="943"/>
      <c r="BL42" s="943"/>
      <c r="BM42" s="943"/>
    </row>
    <row r="43" spans="1:65" ht="12.75" customHeight="1" x14ac:dyDescent="0.2">
      <c r="A43" s="1089" t="s">
        <v>80</v>
      </c>
      <c r="B43" s="1090"/>
      <c r="C43" s="1087">
        <v>7.325147685001399</v>
      </c>
      <c r="D43" s="1084"/>
      <c r="E43" s="1084"/>
      <c r="F43" s="1088">
        <v>0.31767166404373393</v>
      </c>
      <c r="G43" s="1088">
        <v>0.4508426966292135</v>
      </c>
      <c r="H43" s="1088">
        <v>0.18054648614920263</v>
      </c>
      <c r="I43" s="1088">
        <v>0.21320547191860864</v>
      </c>
      <c r="J43" s="1088">
        <v>0.24442018719371994</v>
      </c>
      <c r="K43" s="1088">
        <v>0.2891747208293971</v>
      </c>
      <c r="L43" s="1088">
        <v>0.5165685772773797</v>
      </c>
      <c r="M43" s="1088">
        <v>0.32616226071103011</v>
      </c>
      <c r="N43" s="1088">
        <v>0.18674974478121589</v>
      </c>
      <c r="O43" s="1088">
        <v>0.16122112642896383</v>
      </c>
      <c r="P43" s="1088">
        <v>0.39915361828184509</v>
      </c>
      <c r="Q43" s="1088">
        <v>0.35944868627891308</v>
      </c>
      <c r="R43" s="1088">
        <v>0.29660873728980647</v>
      </c>
      <c r="S43" s="1088">
        <v>0.26565628183063467</v>
      </c>
      <c r="T43" s="1088">
        <v>0.37800946082699866</v>
      </c>
      <c r="U43" s="1088">
        <v>-0.15635152827840368</v>
      </c>
      <c r="V43" s="1088">
        <v>0.11547747991696002</v>
      </c>
      <c r="W43" s="1088">
        <v>0.11728090380607656</v>
      </c>
      <c r="X43" s="1088">
        <v>0.21737562363501572</v>
      </c>
      <c r="Y43" s="1088">
        <v>0.38620728650319469</v>
      </c>
      <c r="Z43" s="1088">
        <v>0.30658272721716279</v>
      </c>
      <c r="AA43" s="1088">
        <v>0.10480982581197477</v>
      </c>
      <c r="AB43" s="1088">
        <v>0.15381132075471698</v>
      </c>
      <c r="AC43" s="1088">
        <v>0.14983030545018966</v>
      </c>
      <c r="AD43" s="1088">
        <v>0.11576718731274717</v>
      </c>
      <c r="AE43" s="1088">
        <v>0.8522034971121133</v>
      </c>
      <c r="AF43" s="1088">
        <v>0.28570819658156088</v>
      </c>
      <c r="AG43" s="1088">
        <v>0.21975430833721471</v>
      </c>
      <c r="AH43" s="1088">
        <v>0.22119959929877286</v>
      </c>
      <c r="AI43" s="1091">
        <v>0.23899999999999999</v>
      </c>
      <c r="AJ43" s="1091">
        <v>0.32199999999999995</v>
      </c>
      <c r="AK43" s="1091">
        <v>0.16900000000000004</v>
      </c>
      <c r="AL43" s="1091">
        <v>0.21100000000000008</v>
      </c>
      <c r="AM43" s="1091">
        <v>0.20399999999999996</v>
      </c>
      <c r="AN43" s="1091">
        <v>0.249</v>
      </c>
      <c r="AO43" s="1091">
        <v>0.17899999999999994</v>
      </c>
      <c r="AP43" s="992"/>
      <c r="AQ43" s="1088">
        <v>0.24319067392653543</v>
      </c>
      <c r="AR43" s="1088">
        <v>0.36813108660401872</v>
      </c>
      <c r="AS43" s="1087">
        <v>-7.1493165312840894</v>
      </c>
      <c r="AT43" s="1084"/>
      <c r="AU43" s="992"/>
      <c r="AV43" s="1088">
        <v>0.26077180633966324</v>
      </c>
      <c r="AW43" s="1088">
        <v>0.33226497165250413</v>
      </c>
      <c r="AX43" s="1088">
        <v>0.24415059436127573</v>
      </c>
      <c r="AY43" s="1088">
        <v>0.28481399533374085</v>
      </c>
      <c r="AZ43" s="1088">
        <v>0.19921718066879357</v>
      </c>
      <c r="BA43" s="1088">
        <v>0.18040218266593835</v>
      </c>
      <c r="BB43" s="1091">
        <v>0.32512820512820512</v>
      </c>
      <c r="BC43" s="1091">
        <v>0.1641504627664091</v>
      </c>
      <c r="BD43" s="1091">
        <v>0.13159381964363784</v>
      </c>
      <c r="BE43" s="1092">
        <v>0.13831328504020735</v>
      </c>
      <c r="BF43" s="1092">
        <v>0.13580091880408962</v>
      </c>
      <c r="BG43" s="1092">
        <v>0.10299999999999998</v>
      </c>
      <c r="BH43" s="943"/>
      <c r="BJ43" s="943"/>
      <c r="BK43" s="943"/>
      <c r="BL43" s="943"/>
      <c r="BM43" s="943"/>
    </row>
    <row r="44" spans="1:65" ht="12.75" customHeight="1" x14ac:dyDescent="0.2">
      <c r="A44" s="1089" t="s">
        <v>81</v>
      </c>
      <c r="B44" s="1089"/>
      <c r="C44" s="1087">
        <v>7.1652122656207347</v>
      </c>
      <c r="D44" s="1084"/>
      <c r="E44" s="1084"/>
      <c r="F44" s="1088">
        <v>0.84887766089621475</v>
      </c>
      <c r="G44" s="1088">
        <v>0.95385722115648119</v>
      </c>
      <c r="H44" s="1088">
        <v>0.6711796032678885</v>
      </c>
      <c r="I44" s="1088">
        <v>0.73640613184849113</v>
      </c>
      <c r="J44" s="1088">
        <v>0.7772255382400074</v>
      </c>
      <c r="K44" s="1088">
        <v>0.81062422789041499</v>
      </c>
      <c r="L44" s="1088">
        <v>1.0589176049129989</v>
      </c>
      <c r="M44" s="1088">
        <v>0.79522941355211185</v>
      </c>
      <c r="N44" s="1088">
        <v>0.7115675713732531</v>
      </c>
      <c r="O44" s="1088">
        <v>0.65273236194312922</v>
      </c>
      <c r="P44" s="1088">
        <v>1.0111722386796445</v>
      </c>
      <c r="Q44" s="1088">
        <v>0.88760386256456325</v>
      </c>
      <c r="R44" s="1088">
        <v>0.83036644790581082</v>
      </c>
      <c r="S44" s="1088">
        <v>0.75766569491763547</v>
      </c>
      <c r="T44" s="1088">
        <v>0.87300840177920025</v>
      </c>
      <c r="U44" s="1088">
        <v>0.29130230979358945</v>
      </c>
      <c r="V44" s="1088">
        <v>0.56718792309775246</v>
      </c>
      <c r="W44" s="1088">
        <v>0.56618587985814051</v>
      </c>
      <c r="X44" s="1088">
        <v>0.68959506301468676</v>
      </c>
      <c r="Y44" s="1088">
        <v>0.83193546563130216</v>
      </c>
      <c r="Z44" s="1088">
        <v>0.84631135016197057</v>
      </c>
      <c r="AA44" s="1088">
        <v>0.66254345965022621</v>
      </c>
      <c r="AB44" s="1088">
        <v>0.73509433962264148</v>
      </c>
      <c r="AC44" s="1088">
        <v>0.73823783855726355</v>
      </c>
      <c r="AD44" s="1088">
        <v>0.63048775616186636</v>
      </c>
      <c r="AE44" s="1088">
        <v>1.7087586043199621</v>
      </c>
      <c r="AF44" s="1088">
        <v>0.87971527215378709</v>
      </c>
      <c r="AG44" s="1088">
        <v>0.80260246856078243</v>
      </c>
      <c r="AH44" s="1088">
        <v>0.75591660405709993</v>
      </c>
      <c r="AI44" s="1091">
        <v>0.79800000000000004</v>
      </c>
      <c r="AJ44" s="1091">
        <v>0.83199999999999996</v>
      </c>
      <c r="AK44" s="1091">
        <v>0.68600000000000005</v>
      </c>
      <c r="AL44" s="1091">
        <v>0.77500000000000002</v>
      </c>
      <c r="AM44" s="1091">
        <v>0.74299999999999999</v>
      </c>
      <c r="AN44" s="1091">
        <v>0.76</v>
      </c>
      <c r="AO44" s="1091">
        <v>0.73199999999999998</v>
      </c>
      <c r="AP44" s="992"/>
      <c r="AQ44" s="1088">
        <v>0.74826127849615787</v>
      </c>
      <c r="AR44" s="1088">
        <v>0.8794295305195482</v>
      </c>
      <c r="AS44" s="1087">
        <v>-7.7787038872604182</v>
      </c>
      <c r="AT44" s="1084"/>
      <c r="AU44" s="992"/>
      <c r="AV44" s="1088">
        <v>0.77201163330644962</v>
      </c>
      <c r="AW44" s="1088">
        <v>0.8497986721790538</v>
      </c>
      <c r="AX44" s="1088">
        <v>0.77220963408486964</v>
      </c>
      <c r="AY44" s="1088">
        <v>0.77831825264952259</v>
      </c>
      <c r="AZ44" s="1088">
        <v>0.64738863287250381</v>
      </c>
      <c r="BA44" s="1088">
        <v>0.73009499890190954</v>
      </c>
      <c r="BB44" s="1091">
        <v>0.90560846560846564</v>
      </c>
      <c r="BC44" s="1091">
        <v>0.68007132546488924</v>
      </c>
      <c r="BD44" s="1091">
        <v>0.66735799362344184</v>
      </c>
      <c r="BE44" s="1092">
        <v>0.70103675151192923</v>
      </c>
      <c r="BF44" s="1092">
        <v>0.70568967862786336</v>
      </c>
      <c r="BG44" s="1092">
        <v>0.73</v>
      </c>
      <c r="BH44" s="943"/>
      <c r="BJ44" s="943"/>
      <c r="BK44" s="943"/>
      <c r="BL44" s="943"/>
      <c r="BM44" s="943"/>
    </row>
    <row r="45" spans="1:65" ht="12.75" customHeight="1" x14ac:dyDescent="0.2">
      <c r="A45" s="1089" t="s">
        <v>187</v>
      </c>
      <c r="B45" s="1089"/>
      <c r="C45" s="1087">
        <v>-7.1652122656207267</v>
      </c>
      <c r="D45" s="1084"/>
      <c r="E45" s="1084"/>
      <c r="F45" s="1088">
        <v>0.15112233910378531</v>
      </c>
      <c r="G45" s="1088">
        <v>4.6142778843518771E-2</v>
      </c>
      <c r="H45" s="1088">
        <v>0.3288203967321115</v>
      </c>
      <c r="I45" s="1088">
        <v>0.26359386815150893</v>
      </c>
      <c r="J45" s="1088">
        <v>0.22277446175999258</v>
      </c>
      <c r="K45" s="1088">
        <v>0.18937577210958506</v>
      </c>
      <c r="L45" s="1088">
        <v>-5.8917604912998973E-2</v>
      </c>
      <c r="M45" s="1088">
        <v>0.20477058644788818</v>
      </c>
      <c r="N45" s="1088">
        <v>0.28843242862674695</v>
      </c>
      <c r="O45" s="1088">
        <v>0.34728071781724956</v>
      </c>
      <c r="P45" s="1088">
        <v>-1.117223867964452E-2</v>
      </c>
      <c r="Q45" s="1088">
        <v>0.11239613743543679</v>
      </c>
      <c r="R45" s="1088">
        <v>0.16963355209418923</v>
      </c>
      <c r="S45" s="1088">
        <v>0.2423343050823645</v>
      </c>
      <c r="T45" s="1088">
        <v>0.1269915982207997</v>
      </c>
      <c r="U45" s="1088">
        <v>0.70869769020641049</v>
      </c>
      <c r="V45" s="1088">
        <v>0.43281207690224749</v>
      </c>
      <c r="W45" s="1088">
        <v>0.43381412014185955</v>
      </c>
      <c r="X45" s="1088">
        <v>0.3104049369853133</v>
      </c>
      <c r="Y45" s="1088">
        <v>0.16806453436869781</v>
      </c>
      <c r="Z45" s="1088">
        <v>0.15368864983802946</v>
      </c>
      <c r="AA45" s="1088">
        <v>0.33745654034977374</v>
      </c>
      <c r="AB45" s="1088">
        <v>0.26490566037735847</v>
      </c>
      <c r="AC45" s="1088">
        <v>0.2617621614427364</v>
      </c>
      <c r="AD45" s="1088">
        <v>0.36951224383813364</v>
      </c>
      <c r="AE45" s="1088">
        <v>-0.70875860431996207</v>
      </c>
      <c r="AF45" s="1088">
        <v>0.12028472784621286</v>
      </c>
      <c r="AG45" s="1088">
        <v>0.19739753143921751</v>
      </c>
      <c r="AH45" s="1088">
        <v>0.24408339594290007</v>
      </c>
      <c r="AI45" s="1091">
        <v>0.20199999999999996</v>
      </c>
      <c r="AJ45" s="1091">
        <v>0.16800000000000004</v>
      </c>
      <c r="AK45" s="1091">
        <v>0.31399999999999995</v>
      </c>
      <c r="AL45" s="1091">
        <v>0.22500000000000001</v>
      </c>
      <c r="AM45" s="1091">
        <v>0.25700000000000001</v>
      </c>
      <c r="AN45" s="1091">
        <v>0.24</v>
      </c>
      <c r="AO45" s="1091">
        <v>0.26800000000000002</v>
      </c>
      <c r="AP45" s="992"/>
      <c r="AQ45" s="1088">
        <v>0.25173872150384213</v>
      </c>
      <c r="AR45" s="1088">
        <v>0.12057046948045175</v>
      </c>
      <c r="AS45" s="1087">
        <v>7.7787038872604182</v>
      </c>
      <c r="AT45" s="1084"/>
      <c r="AU45" s="992"/>
      <c r="AV45" s="1088">
        <v>0.22798836669355035</v>
      </c>
      <c r="AW45" s="1088">
        <v>0.15020132782094617</v>
      </c>
      <c r="AX45" s="1088">
        <v>0.22779036591513041</v>
      </c>
      <c r="AY45" s="1088">
        <v>0.22168174735047738</v>
      </c>
      <c r="AZ45" s="1088">
        <v>0.35261136712749613</v>
      </c>
      <c r="BA45" s="1088">
        <v>0.26990500109809046</v>
      </c>
      <c r="BB45" s="1091">
        <v>9.4391534391534387E-2</v>
      </c>
      <c r="BC45" s="1091">
        <v>0.31992867453511081</v>
      </c>
      <c r="BD45" s="1091">
        <v>0.33264200637655816</v>
      </c>
      <c r="BE45" s="1092">
        <v>0.29896324848807071</v>
      </c>
      <c r="BF45" s="1092">
        <v>0.29431032137213659</v>
      </c>
      <c r="BG45" s="1092">
        <v>0.27</v>
      </c>
      <c r="BH45" s="943"/>
      <c r="BJ45" s="943"/>
      <c r="BK45" s="943"/>
      <c r="BL45" s="943"/>
      <c r="BM45" s="943"/>
    </row>
    <row r="46" spans="1:65" ht="12.75" customHeight="1" x14ac:dyDescent="0.2">
      <c r="A46" s="1089" t="s">
        <v>82</v>
      </c>
      <c r="B46" s="1089"/>
      <c r="C46" s="1087">
        <v>-5.3338601905028193</v>
      </c>
      <c r="D46" s="1084"/>
      <c r="E46" s="1084"/>
      <c r="F46" s="1088">
        <v>9.9064027168060967E-2</v>
      </c>
      <c r="G46" s="1088">
        <v>-2.1786790901616882E-2</v>
      </c>
      <c r="H46" s="1088">
        <v>0.2875364590135388</v>
      </c>
      <c r="I46" s="1088">
        <v>0.22636969821956418</v>
      </c>
      <c r="J46" s="1088">
        <v>0.15240262907308916</v>
      </c>
      <c r="K46" s="1088">
        <v>0.12261705786885643</v>
      </c>
      <c r="L46" s="1088">
        <v>-0.11559621289662231</v>
      </c>
      <c r="M46" s="1088">
        <v>0.13302947432391371</v>
      </c>
      <c r="N46" s="1088">
        <v>0.24831907628401451</v>
      </c>
      <c r="O46" s="1088">
        <v>0.31339105867580508</v>
      </c>
      <c r="P46" s="1088">
        <v>-8.2211877556778112E-2</v>
      </c>
      <c r="Q46" s="1088">
        <v>3.0597350101055468E-2</v>
      </c>
      <c r="R46" s="1088">
        <v>0.1258766864771991</v>
      </c>
      <c r="S46" s="1088">
        <v>0.19641038249446804</v>
      </c>
      <c r="T46" s="1088">
        <v>5.3940834529665103E-2</v>
      </c>
      <c r="U46" s="1088">
        <v>0.65954386021627043</v>
      </c>
      <c r="V46" s="1088">
        <v>0.41521121039805037</v>
      </c>
      <c r="W46" s="1088">
        <v>0.41739790135644034</v>
      </c>
      <c r="X46" s="1088">
        <v>0.27287663547656738</v>
      </c>
      <c r="Y46" s="1088">
        <v>0.13525076804191719</v>
      </c>
      <c r="Z46" s="1088">
        <v>9.9993887904162332E-2</v>
      </c>
      <c r="AA46" s="1088">
        <v>0.31154672676765027</v>
      </c>
      <c r="AB46" s="1088">
        <v>0.2130566037735849</v>
      </c>
      <c r="AC46" s="1088">
        <v>0.21321621082052306</v>
      </c>
      <c r="AD46" s="1088">
        <v>0.28066951623856512</v>
      </c>
      <c r="AE46" s="1088">
        <v>-0.76184824748793423</v>
      </c>
      <c r="AF46" s="1088">
        <v>1.9479135586718384E-2</v>
      </c>
      <c r="AG46" s="1088">
        <v>0.15710875640428504</v>
      </c>
      <c r="AH46" s="1088">
        <v>0.21625344352617079</v>
      </c>
      <c r="AI46" s="1093" t="s">
        <v>186</v>
      </c>
      <c r="AJ46" s="1093" t="s">
        <v>186</v>
      </c>
      <c r="AK46" s="1084"/>
      <c r="AL46" s="1084"/>
      <c r="AM46" s="1084"/>
      <c r="AN46" s="1084"/>
      <c r="AO46" s="1084"/>
      <c r="AP46" s="1040"/>
      <c r="AQ46" s="1088">
        <v>0.20698943650707324</v>
      </c>
      <c r="AR46" s="1088">
        <v>5.5245265842950204E-2</v>
      </c>
      <c r="AS46" s="1087">
        <v>9.8100784653686386</v>
      </c>
      <c r="AT46" s="1084"/>
      <c r="AU46" s="1040"/>
      <c r="AV46" s="1088">
        <v>0.18151379622161937</v>
      </c>
      <c r="AW46" s="1088">
        <v>8.3413011567932988E-2</v>
      </c>
      <c r="AX46" s="1088">
        <v>0.17737365234881591</v>
      </c>
      <c r="AY46" s="1088">
        <v>0.17059826263635033</v>
      </c>
      <c r="AZ46" s="1088">
        <v>0.32040352120997284</v>
      </c>
      <c r="BA46" s="1088">
        <v>0.21599720690839674</v>
      </c>
      <c r="BB46" s="1091">
        <v>9.4391534391534387E-2</v>
      </c>
      <c r="BC46" s="1091">
        <v>0.3048654156406555</v>
      </c>
      <c r="BD46" s="1091">
        <v>0.31759098324820595</v>
      </c>
      <c r="BE46" s="1092">
        <v>0.28234199508207614</v>
      </c>
      <c r="BF46" s="1092">
        <v>0.26257076779790495</v>
      </c>
      <c r="BG46" s="1092"/>
      <c r="BH46" s="943"/>
      <c r="BJ46" s="943"/>
      <c r="BK46" s="943"/>
      <c r="BL46" s="943"/>
      <c r="BM46" s="943"/>
    </row>
    <row r="47" spans="1:65" ht="12.75" customHeight="1" x14ac:dyDescent="0.2">
      <c r="A47" s="1090"/>
      <c r="B47" s="1090"/>
      <c r="C47" s="1087"/>
      <c r="D47" s="1084"/>
      <c r="E47" s="1084"/>
      <c r="F47" s="750"/>
      <c r="G47" s="1084"/>
      <c r="H47" s="1084"/>
      <c r="I47" s="1084"/>
      <c r="J47" s="750"/>
      <c r="K47" s="1084"/>
      <c r="L47" s="1084"/>
      <c r="M47" s="1084"/>
      <c r="N47" s="1084"/>
      <c r="O47" s="1084"/>
      <c r="P47" s="1084"/>
      <c r="Q47" s="1084"/>
      <c r="R47" s="1084"/>
      <c r="S47" s="1084"/>
      <c r="T47" s="1084"/>
      <c r="U47" s="1084"/>
      <c r="V47" s="1084"/>
      <c r="W47" s="1084"/>
      <c r="X47" s="1084"/>
      <c r="Y47" s="1084"/>
      <c r="Z47" s="1084"/>
      <c r="AA47" s="1084"/>
      <c r="AB47" s="1084"/>
      <c r="AC47" s="1084"/>
      <c r="AD47" s="1084"/>
      <c r="AE47" s="1084"/>
      <c r="AF47" s="1084"/>
      <c r="AG47" s="1088"/>
      <c r="AH47" s="1088"/>
      <c r="AI47" s="996"/>
      <c r="AJ47" s="996"/>
      <c r="AK47" s="996"/>
      <c r="AL47" s="1088"/>
      <c r="AM47" s="1088"/>
      <c r="AN47" s="1088"/>
      <c r="AO47" s="1088"/>
      <c r="AP47" s="992"/>
      <c r="AQ47" s="992"/>
      <c r="AR47" s="992"/>
      <c r="AS47" s="1010"/>
      <c r="AT47" s="1084"/>
      <c r="AU47" s="992"/>
      <c r="AV47" s="1091"/>
      <c r="AW47" s="1091"/>
      <c r="AX47" s="1091"/>
      <c r="AY47" s="1091"/>
      <c r="AZ47" s="1091"/>
      <c r="BA47" s="1091"/>
      <c r="BB47" s="1091"/>
      <c r="BC47" s="1091"/>
      <c r="BD47" s="1094"/>
      <c r="BE47" s="1095"/>
      <c r="BF47" s="1095"/>
      <c r="BG47" s="1095"/>
      <c r="BH47" s="943"/>
      <c r="BJ47" s="943"/>
      <c r="BK47" s="943"/>
      <c r="BL47" s="943"/>
      <c r="BM47" s="943"/>
    </row>
    <row r="48" spans="1:65" ht="12.75" customHeight="1" x14ac:dyDescent="0.2">
      <c r="A48" s="1090" t="s">
        <v>94</v>
      </c>
      <c r="B48" s="1090"/>
      <c r="C48" s="1218">
        <v>-14</v>
      </c>
      <c r="D48" s="1084">
        <v>-6.5116279069767441E-2</v>
      </c>
      <c r="E48" s="1084"/>
      <c r="F48" s="750">
        <v>201</v>
      </c>
      <c r="G48" s="750">
        <v>206</v>
      </c>
      <c r="H48" s="750">
        <v>208</v>
      </c>
      <c r="I48" s="750">
        <v>215</v>
      </c>
      <c r="J48" s="750">
        <v>215</v>
      </c>
      <c r="K48" s="750">
        <v>214</v>
      </c>
      <c r="L48" s="750">
        <v>215</v>
      </c>
      <c r="M48" s="750">
        <v>221</v>
      </c>
      <c r="N48" s="750">
        <v>222</v>
      </c>
      <c r="O48" s="750">
        <v>224</v>
      </c>
      <c r="P48" s="750">
        <v>225</v>
      </c>
      <c r="Q48" s="750">
        <v>239</v>
      </c>
      <c r="R48" s="750">
        <v>247</v>
      </c>
      <c r="S48" s="750">
        <v>262</v>
      </c>
      <c r="T48" s="750">
        <v>266</v>
      </c>
      <c r="U48" s="750"/>
      <c r="V48" s="750"/>
      <c r="W48" s="750"/>
      <c r="X48" s="750"/>
      <c r="Y48" s="750"/>
      <c r="Z48" s="750"/>
      <c r="AA48" s="750"/>
      <c r="AB48" s="750"/>
      <c r="AC48" s="750"/>
      <c r="AD48" s="750"/>
      <c r="AE48" s="750"/>
      <c r="AF48" s="750"/>
      <c r="AG48" s="536"/>
      <c r="AH48" s="536"/>
      <c r="AI48" s="678"/>
      <c r="AJ48" s="678"/>
      <c r="AK48" s="678"/>
      <c r="AL48" s="536"/>
      <c r="AM48" s="536"/>
      <c r="AN48" s="536"/>
      <c r="AO48" s="536"/>
      <c r="AP48" s="536"/>
      <c r="AQ48" s="536">
        <v>206</v>
      </c>
      <c r="AR48" s="536">
        <v>214</v>
      </c>
      <c r="AS48" s="1010">
        <v>-14</v>
      </c>
      <c r="AT48" s="1084">
        <v>-6.5116279069767441E-2</v>
      </c>
      <c r="AU48" s="992"/>
      <c r="AV48" s="421">
        <v>201</v>
      </c>
      <c r="AW48" s="421">
        <v>215</v>
      </c>
      <c r="AX48" s="421">
        <v>222</v>
      </c>
      <c r="AY48" s="421">
        <v>247</v>
      </c>
      <c r="AZ48" s="421">
        <v>268</v>
      </c>
      <c r="BA48" s="421">
        <v>203</v>
      </c>
      <c r="BB48" s="421">
        <v>209</v>
      </c>
      <c r="BC48" s="1091"/>
      <c r="BD48" s="1094"/>
      <c r="BE48" s="1095"/>
      <c r="BF48" s="1095"/>
      <c r="BG48" s="1095"/>
      <c r="BH48" s="943"/>
      <c r="BJ48" s="943"/>
      <c r="BK48" s="943"/>
      <c r="BL48" s="943"/>
      <c r="BM48" s="943"/>
    </row>
    <row r="49" spans="1:65" ht="12.75" customHeight="1" x14ac:dyDescent="0.2">
      <c r="A49" s="952"/>
      <c r="B49" s="952"/>
      <c r="C49" s="992"/>
      <c r="D49" s="992"/>
      <c r="E49" s="992"/>
      <c r="F49" s="992"/>
      <c r="G49" s="992"/>
      <c r="H49" s="992"/>
      <c r="I49" s="992"/>
      <c r="J49" s="992"/>
      <c r="K49" s="992"/>
      <c r="L49" s="992"/>
      <c r="M49" s="992"/>
      <c r="N49" s="992"/>
      <c r="O49" s="992"/>
      <c r="P49" s="992"/>
      <c r="Q49" s="992"/>
      <c r="R49" s="992"/>
      <c r="S49" s="992"/>
      <c r="T49" s="992"/>
      <c r="U49" s="992"/>
      <c r="V49" s="992"/>
      <c r="W49" s="992"/>
      <c r="X49" s="992"/>
      <c r="Y49" s="992"/>
      <c r="Z49" s="992"/>
      <c r="AA49" s="992"/>
      <c r="AB49" s="992"/>
      <c r="AC49" s="992"/>
      <c r="AD49" s="992"/>
      <c r="AE49" s="992"/>
      <c r="AF49" s="992"/>
      <c r="AG49" s="992"/>
      <c r="AH49" s="992"/>
      <c r="AI49" s="992"/>
      <c r="AJ49" s="992"/>
      <c r="AK49" s="992"/>
      <c r="AL49" s="992"/>
      <c r="AM49" s="992"/>
      <c r="AN49" s="992"/>
      <c r="AO49" s="992"/>
      <c r="AP49" s="992"/>
      <c r="AQ49" s="992"/>
      <c r="AR49" s="992"/>
      <c r="AS49" s="1096"/>
      <c r="AT49" s="1096"/>
      <c r="AU49" s="992"/>
      <c r="AV49" s="992"/>
      <c r="AW49" s="992"/>
      <c r="AX49" s="992"/>
      <c r="AY49" s="992"/>
      <c r="AZ49" s="1269"/>
      <c r="BA49" s="992"/>
      <c r="BB49" s="992"/>
      <c r="BC49" s="992"/>
      <c r="BD49" s="992"/>
      <c r="BE49" s="1097"/>
      <c r="BF49" s="1097"/>
      <c r="BG49" s="1097"/>
      <c r="BH49" s="943"/>
      <c r="BJ49" s="943"/>
      <c r="BK49" s="943"/>
      <c r="BL49" s="943"/>
      <c r="BM49" s="943"/>
    </row>
    <row r="50" spans="1:65" ht="18" customHeight="1" x14ac:dyDescent="0.2">
      <c r="A50" s="1098" t="s">
        <v>267</v>
      </c>
      <c r="B50" s="952"/>
      <c r="C50" s="996"/>
      <c r="D50" s="996"/>
      <c r="E50" s="992"/>
      <c r="F50" s="992"/>
      <c r="G50" s="992"/>
      <c r="H50" s="992"/>
      <c r="I50" s="992"/>
      <c r="J50" s="992"/>
      <c r="K50" s="992"/>
      <c r="L50" s="992"/>
      <c r="M50" s="992"/>
      <c r="N50" s="992"/>
      <c r="O50" s="992"/>
      <c r="P50" s="992"/>
      <c r="Q50" s="992"/>
      <c r="R50" s="992"/>
      <c r="S50" s="992"/>
      <c r="T50" s="992"/>
      <c r="U50" s="992"/>
      <c r="V50" s="992"/>
      <c r="W50" s="992"/>
      <c r="X50" s="992"/>
      <c r="Y50" s="992"/>
      <c r="Z50" s="992"/>
      <c r="AA50" s="992"/>
      <c r="AB50" s="992"/>
      <c r="AC50" s="992"/>
      <c r="AD50" s="992"/>
      <c r="AE50" s="992"/>
      <c r="AF50" s="992"/>
      <c r="AG50" s="992"/>
      <c r="AH50" s="992"/>
      <c r="AI50" s="992"/>
      <c r="AJ50" s="996"/>
      <c r="AK50" s="996"/>
      <c r="AL50" s="996"/>
      <c r="AM50" s="996"/>
      <c r="AN50" s="996"/>
      <c r="AO50" s="996"/>
      <c r="AP50" s="996"/>
      <c r="AQ50" s="996"/>
      <c r="AR50" s="996"/>
      <c r="AS50" s="1096"/>
      <c r="AT50" s="1096"/>
      <c r="AU50" s="996"/>
      <c r="AV50" s="996"/>
      <c r="AW50" s="996"/>
      <c r="AX50" s="996"/>
      <c r="AY50" s="996"/>
      <c r="AZ50" s="996"/>
      <c r="BA50" s="996"/>
      <c r="BB50" s="1256"/>
      <c r="BC50" s="996"/>
      <c r="BD50" s="996"/>
      <c r="BE50" s="1099"/>
      <c r="BF50" s="1099"/>
      <c r="BG50" s="1099"/>
      <c r="BH50" s="943"/>
      <c r="BJ50" s="943"/>
      <c r="BK50" s="943"/>
      <c r="BL50" s="943"/>
      <c r="BM50" s="943"/>
    </row>
    <row r="51" spans="1:65" ht="12.75" customHeight="1" x14ac:dyDescent="0.2">
      <c r="A51" s="1100"/>
      <c r="B51" s="952"/>
      <c r="C51" s="996"/>
      <c r="D51" s="996"/>
      <c r="E51" s="992"/>
      <c r="F51" s="992"/>
      <c r="G51" s="1101"/>
      <c r="H51" s="1101"/>
      <c r="I51" s="992"/>
      <c r="J51" s="992"/>
      <c r="K51" s="1101"/>
      <c r="L51" s="1101"/>
      <c r="M51" s="992"/>
      <c r="N51" s="992"/>
      <c r="O51" s="1101"/>
      <c r="P51" s="1101"/>
      <c r="Q51" s="992"/>
      <c r="R51" s="992"/>
      <c r="S51" s="992"/>
      <c r="T51" s="1101"/>
      <c r="U51" s="992"/>
      <c r="V51" s="1101"/>
      <c r="W51" s="992"/>
      <c r="X51" s="1101"/>
      <c r="Y51" s="992"/>
      <c r="Z51" s="1101"/>
      <c r="AA51" s="992"/>
      <c r="AB51" s="1101"/>
      <c r="AC51" s="992"/>
      <c r="AD51" s="1101"/>
      <c r="AE51" s="992"/>
      <c r="AF51" s="992"/>
      <c r="AG51" s="992"/>
      <c r="AH51" s="992"/>
      <c r="AI51" s="992"/>
      <c r="AJ51" s="996"/>
      <c r="AK51" s="996"/>
      <c r="AL51" s="996"/>
      <c r="AM51" s="996"/>
      <c r="AN51" s="996"/>
      <c r="AO51" s="996"/>
      <c r="AP51" s="996"/>
      <c r="AQ51" s="996"/>
      <c r="AR51" s="996"/>
      <c r="AS51" s="1096"/>
      <c r="AT51" s="1096"/>
      <c r="AU51" s="996"/>
      <c r="AV51" s="996"/>
      <c r="AW51" s="996"/>
      <c r="AX51" s="996"/>
      <c r="AY51" s="996"/>
      <c r="AZ51" s="996"/>
      <c r="BA51" s="996"/>
      <c r="BB51" s="996"/>
      <c r="BC51" s="996"/>
      <c r="BD51" s="996"/>
      <c r="BE51" s="1099"/>
      <c r="BF51" s="1099"/>
      <c r="BG51" s="1099"/>
      <c r="BH51" s="943"/>
      <c r="BJ51" s="943"/>
      <c r="BK51" s="943"/>
      <c r="BL51" s="943"/>
      <c r="BM51" s="943"/>
    </row>
    <row r="52" spans="1:65" ht="12.75" customHeight="1" x14ac:dyDescent="0.2">
      <c r="A52" s="951"/>
      <c r="B52" s="952"/>
      <c r="C52" s="1489" t="s">
        <v>447</v>
      </c>
      <c r="D52" s="1490"/>
      <c r="E52" s="953"/>
      <c r="F52" s="954"/>
      <c r="G52" s="954"/>
      <c r="I52" s="955"/>
      <c r="J52" s="954"/>
      <c r="K52" s="954"/>
      <c r="M52" s="955"/>
      <c r="N52" s="954"/>
      <c r="O52" s="954"/>
      <c r="Q52" s="955"/>
      <c r="R52" s="954"/>
      <c r="S52" s="954"/>
      <c r="U52" s="955"/>
      <c r="V52" s="954"/>
      <c r="W52" s="954"/>
      <c r="Y52" s="955"/>
      <c r="Z52" s="954"/>
      <c r="AA52" s="954"/>
      <c r="AC52" s="955"/>
      <c r="AE52" s="954"/>
      <c r="AF52" s="954"/>
      <c r="AG52" s="955"/>
      <c r="AH52" s="954"/>
      <c r="AI52" s="954"/>
      <c r="AJ52" s="954"/>
      <c r="AK52" s="954"/>
      <c r="AL52" s="956"/>
      <c r="AM52" s="955"/>
      <c r="AN52" s="955"/>
      <c r="AO52" s="955"/>
      <c r="AP52" s="957"/>
      <c r="AQ52" s="661" t="s">
        <v>340</v>
      </c>
      <c r="AR52" s="647"/>
      <c r="AS52" s="647" t="s">
        <v>432</v>
      </c>
      <c r="AT52" s="648"/>
      <c r="AU52" s="958"/>
      <c r="AV52" s="959"/>
      <c r="AW52" s="959"/>
      <c r="AX52" s="959"/>
      <c r="AY52" s="959"/>
      <c r="AZ52" s="959"/>
      <c r="BA52" s="959"/>
      <c r="BB52" s="959"/>
      <c r="BC52" s="1102"/>
      <c r="BD52" s="1103"/>
      <c r="BE52" s="959"/>
      <c r="BF52" s="959"/>
      <c r="BG52" s="959"/>
      <c r="BH52" s="962"/>
      <c r="BJ52" s="943"/>
      <c r="BK52" s="943"/>
      <c r="BL52" s="943"/>
      <c r="BM52" s="943"/>
    </row>
    <row r="53" spans="1:65" ht="12.75" customHeight="1" x14ac:dyDescent="0.2">
      <c r="A53" s="951" t="s">
        <v>101</v>
      </c>
      <c r="B53" s="952"/>
      <c r="C53" s="1487" t="s">
        <v>39</v>
      </c>
      <c r="D53" s="1488"/>
      <c r="E53" s="963"/>
      <c r="F53" s="21" t="s">
        <v>425</v>
      </c>
      <c r="G53" s="21" t="s">
        <v>426</v>
      </c>
      <c r="H53" s="21" t="s">
        <v>427</v>
      </c>
      <c r="I53" s="14" t="s">
        <v>428</v>
      </c>
      <c r="J53" s="964" t="s">
        <v>363</v>
      </c>
      <c r="K53" s="964" t="s">
        <v>362</v>
      </c>
      <c r="L53" s="964" t="s">
        <v>361</v>
      </c>
      <c r="M53" s="965" t="s">
        <v>359</v>
      </c>
      <c r="N53" s="964" t="s">
        <v>302</v>
      </c>
      <c r="O53" s="964" t="s">
        <v>303</v>
      </c>
      <c r="P53" s="964" t="s">
        <v>304</v>
      </c>
      <c r="Q53" s="965" t="s">
        <v>305</v>
      </c>
      <c r="R53" s="964" t="s">
        <v>231</v>
      </c>
      <c r="S53" s="964" t="s">
        <v>232</v>
      </c>
      <c r="T53" s="964" t="s">
        <v>233</v>
      </c>
      <c r="U53" s="965" t="s">
        <v>230</v>
      </c>
      <c r="V53" s="964" t="s">
        <v>194</v>
      </c>
      <c r="W53" s="964" t="s">
        <v>195</v>
      </c>
      <c r="X53" s="964" t="s">
        <v>196</v>
      </c>
      <c r="Y53" s="965" t="s">
        <v>197</v>
      </c>
      <c r="Z53" s="964" t="s">
        <v>126</v>
      </c>
      <c r="AA53" s="964" t="s">
        <v>125</v>
      </c>
      <c r="AB53" s="964" t="s">
        <v>124</v>
      </c>
      <c r="AC53" s="965" t="s">
        <v>123</v>
      </c>
      <c r="AD53" s="964" t="s">
        <v>86</v>
      </c>
      <c r="AE53" s="964" t="s">
        <v>87</v>
      </c>
      <c r="AF53" s="964" t="s">
        <v>88</v>
      </c>
      <c r="AG53" s="965" t="s">
        <v>30</v>
      </c>
      <c r="AH53" s="964" t="s">
        <v>31</v>
      </c>
      <c r="AI53" s="964" t="s">
        <v>32</v>
      </c>
      <c r="AJ53" s="964" t="s">
        <v>33</v>
      </c>
      <c r="AK53" s="964" t="s">
        <v>34</v>
      </c>
      <c r="AL53" s="966" t="s">
        <v>35</v>
      </c>
      <c r="AM53" s="965" t="s">
        <v>36</v>
      </c>
      <c r="AN53" s="965" t="s">
        <v>37</v>
      </c>
      <c r="AO53" s="965" t="s">
        <v>38</v>
      </c>
      <c r="AP53" s="953"/>
      <c r="AQ53" s="21" t="s">
        <v>426</v>
      </c>
      <c r="AR53" s="21" t="s">
        <v>362</v>
      </c>
      <c r="AS53" s="1477" t="s">
        <v>39</v>
      </c>
      <c r="AT53" s="1478"/>
      <c r="AU53" s="1104"/>
      <c r="AV53" s="20" t="s">
        <v>446</v>
      </c>
      <c r="AW53" s="20" t="s">
        <v>365</v>
      </c>
      <c r="AX53" s="966" t="s">
        <v>307</v>
      </c>
      <c r="AY53" s="966" t="s">
        <v>235</v>
      </c>
      <c r="AZ53" s="966" t="s">
        <v>128</v>
      </c>
      <c r="BA53" s="966" t="s">
        <v>127</v>
      </c>
      <c r="BB53" s="966" t="s">
        <v>43</v>
      </c>
      <c r="BC53" s="966" t="s">
        <v>40</v>
      </c>
      <c r="BD53" s="968" t="s">
        <v>41</v>
      </c>
      <c r="BE53" s="968" t="s">
        <v>146</v>
      </c>
      <c r="BF53" s="968" t="s">
        <v>147</v>
      </c>
      <c r="BG53" s="968" t="s">
        <v>148</v>
      </c>
      <c r="BH53" s="962"/>
      <c r="BJ53" s="943"/>
      <c r="BK53" s="943"/>
      <c r="BL53" s="943"/>
      <c r="BM53" s="943"/>
    </row>
    <row r="54" spans="1:65" ht="12.75" customHeight="1" x14ac:dyDescent="0.2">
      <c r="A54" s="1105"/>
      <c r="B54" s="992" t="s">
        <v>4</v>
      </c>
      <c r="C54" s="1106">
        <v>5235</v>
      </c>
      <c r="D54" s="1107">
        <v>0.12158301786004598</v>
      </c>
      <c r="E54" s="991"/>
      <c r="F54" s="1108">
        <v>48292</v>
      </c>
      <c r="G54" s="1108">
        <v>29192</v>
      </c>
      <c r="H54" s="1108">
        <v>68913</v>
      </c>
      <c r="I54" s="1109">
        <v>58188</v>
      </c>
      <c r="J54" s="1108">
        <v>43057</v>
      </c>
      <c r="K54" s="1108">
        <v>41283</v>
      </c>
      <c r="L54" s="1108">
        <v>31264</v>
      </c>
      <c r="M54" s="1109">
        <v>32910</v>
      </c>
      <c r="N54" s="1108">
        <v>56814</v>
      </c>
      <c r="O54" s="1108">
        <v>76454</v>
      </c>
      <c r="P54" s="1108">
        <v>35445</v>
      </c>
      <c r="Q54" s="1109">
        <v>35624</v>
      </c>
      <c r="R54" s="1108">
        <v>71006</v>
      </c>
      <c r="S54" s="1108">
        <v>56942</v>
      </c>
      <c r="T54" s="1108">
        <v>42491</v>
      </c>
      <c r="U54" s="1108">
        <v>61867</v>
      </c>
      <c r="V54" s="1108">
        <v>88632</v>
      </c>
      <c r="W54" s="1110">
        <v>109404</v>
      </c>
      <c r="X54" s="1108">
        <v>49909</v>
      </c>
      <c r="Y54" s="1109">
        <v>53057</v>
      </c>
      <c r="Z54" s="1108">
        <v>32806</v>
      </c>
      <c r="AA54" s="1110">
        <v>58040</v>
      </c>
      <c r="AB54" s="1108">
        <v>27314</v>
      </c>
      <c r="AC54" s="1109">
        <v>30054</v>
      </c>
      <c r="AD54" s="1110">
        <v>25033</v>
      </c>
      <c r="AE54" s="1110">
        <v>12639</v>
      </c>
      <c r="AF54" s="1108">
        <v>23461</v>
      </c>
      <c r="AG54" s="1109">
        <v>34352</v>
      </c>
      <c r="AH54" s="1022">
        <v>31944</v>
      </c>
      <c r="AI54" s="1022">
        <v>42952</v>
      </c>
      <c r="AJ54" s="1022">
        <v>39210</v>
      </c>
      <c r="AK54" s="1022">
        <v>62549</v>
      </c>
      <c r="AL54" s="1065">
        <v>57382</v>
      </c>
      <c r="AM54" s="1003">
        <v>48897</v>
      </c>
      <c r="AN54" s="1003">
        <v>38533</v>
      </c>
      <c r="AO54" s="1021">
        <v>42750</v>
      </c>
      <c r="AP54" s="991"/>
      <c r="AQ54" s="1005">
        <v>156293</v>
      </c>
      <c r="AR54" s="1005">
        <v>105457</v>
      </c>
      <c r="AS54" s="1336">
        <v>56071</v>
      </c>
      <c r="AT54" s="1111">
        <v>0.37754689793554819</v>
      </c>
      <c r="AU54" s="996"/>
      <c r="AV54" s="1112">
        <v>204585</v>
      </c>
      <c r="AW54" s="1112">
        <v>148514</v>
      </c>
      <c r="AX54" s="1112">
        <v>204337</v>
      </c>
      <c r="AY54" s="1112">
        <v>232306</v>
      </c>
      <c r="AZ54" s="1112">
        <v>338520</v>
      </c>
      <c r="BA54" s="1112">
        <v>177581</v>
      </c>
      <c r="BB54" s="1112">
        <v>122850</v>
      </c>
      <c r="BC54" s="1065">
        <v>176655</v>
      </c>
      <c r="BD54" s="1113">
        <v>187562</v>
      </c>
      <c r="BE54" s="1069">
        <v>150470</v>
      </c>
      <c r="BF54" s="1069">
        <v>95559</v>
      </c>
      <c r="BG54" s="1069">
        <v>211758</v>
      </c>
      <c r="BH54" s="962"/>
      <c r="BJ54" s="943"/>
      <c r="BK54" s="943"/>
      <c r="BL54" s="943"/>
      <c r="BM54" s="943"/>
    </row>
    <row r="55" spans="1:65" ht="12.75" customHeight="1" x14ac:dyDescent="0.2">
      <c r="A55" s="996"/>
      <c r="B55" s="992" t="s">
        <v>85</v>
      </c>
      <c r="C55" s="1106">
        <v>3524</v>
      </c>
      <c r="D55" s="1107">
        <v>0.10831745251121903</v>
      </c>
      <c r="E55" s="1114"/>
      <c r="F55" s="1108">
        <v>36058</v>
      </c>
      <c r="G55" s="1108">
        <v>26915</v>
      </c>
      <c r="H55" s="1108">
        <v>45323</v>
      </c>
      <c r="I55" s="1109">
        <v>41920</v>
      </c>
      <c r="J55" s="1108">
        <v>32534</v>
      </c>
      <c r="K55" s="1108">
        <v>32534</v>
      </c>
      <c r="L55" s="1108">
        <v>27997</v>
      </c>
      <c r="M55" s="1109">
        <v>25241</v>
      </c>
      <c r="N55" s="1108">
        <v>39497</v>
      </c>
      <c r="O55" s="1108">
        <v>48973</v>
      </c>
      <c r="P55" s="1108">
        <v>33948</v>
      </c>
      <c r="Q55" s="1109">
        <v>30690</v>
      </c>
      <c r="R55" s="1108">
        <v>51052</v>
      </c>
      <c r="S55" s="1108">
        <v>39039</v>
      </c>
      <c r="T55" s="1108">
        <v>34722</v>
      </c>
      <c r="U55" s="1109">
        <v>17435</v>
      </c>
      <c r="V55" s="1108">
        <v>49341</v>
      </c>
      <c r="W55" s="1108">
        <v>61013</v>
      </c>
      <c r="X55" s="1108">
        <v>32590</v>
      </c>
      <c r="Y55" s="1109">
        <v>31711</v>
      </c>
      <c r="Z55" s="1108">
        <v>22693</v>
      </c>
      <c r="AA55" s="1108">
        <v>37922</v>
      </c>
      <c r="AB55" s="1108">
        <v>19480</v>
      </c>
      <c r="AC55" s="1109">
        <v>22187</v>
      </c>
      <c r="AD55" s="1108">
        <v>15783</v>
      </c>
      <c r="AE55" s="1108">
        <v>21597</v>
      </c>
      <c r="AF55" s="1108">
        <v>20639</v>
      </c>
      <c r="AG55" s="1109">
        <v>27571</v>
      </c>
      <c r="AH55" s="1022">
        <v>24147</v>
      </c>
      <c r="AI55" s="1022">
        <v>86348</v>
      </c>
      <c r="AJ55" s="1022">
        <v>72982</v>
      </c>
      <c r="AK55" s="1022">
        <v>106349</v>
      </c>
      <c r="AL55" s="1023">
        <v>100905</v>
      </c>
      <c r="AM55" s="1003">
        <v>75317</v>
      </c>
      <c r="AN55" s="1003">
        <v>70703</v>
      </c>
      <c r="AO55" s="1003">
        <v>91522</v>
      </c>
      <c r="AP55" s="991"/>
      <c r="AQ55" s="1050">
        <v>114158</v>
      </c>
      <c r="AR55" s="1005">
        <v>85772</v>
      </c>
      <c r="AS55" s="587">
        <v>31910</v>
      </c>
      <c r="AT55" s="1116">
        <v>0.26972427433942486</v>
      </c>
      <c r="AU55" s="996"/>
      <c r="AV55" s="1112">
        <v>150216</v>
      </c>
      <c r="AW55" s="1112">
        <v>118306</v>
      </c>
      <c r="AX55" s="1112">
        <v>153108</v>
      </c>
      <c r="AY55" s="1112">
        <v>165492</v>
      </c>
      <c r="AZ55" s="1112">
        <v>201288</v>
      </c>
      <c r="BA55" s="1112">
        <v>102282</v>
      </c>
      <c r="BB55" s="1112">
        <v>102599</v>
      </c>
      <c r="BC55" s="1023">
        <v>120138</v>
      </c>
      <c r="BD55" s="1117">
        <v>125171</v>
      </c>
      <c r="BE55" s="1025">
        <v>105485</v>
      </c>
      <c r="BF55" s="1025">
        <v>67435</v>
      </c>
      <c r="BG55" s="1025">
        <v>154490</v>
      </c>
      <c r="BH55" s="962"/>
      <c r="BJ55" s="943"/>
      <c r="BK55" s="943"/>
      <c r="BL55" s="943"/>
      <c r="BM55" s="943"/>
    </row>
    <row r="56" spans="1:65" ht="24.75" customHeight="1" x14ac:dyDescent="0.2">
      <c r="A56" s="996"/>
      <c r="B56" s="1076" t="s">
        <v>188</v>
      </c>
      <c r="C56" s="1106">
        <v>1711</v>
      </c>
      <c r="D56" s="1207">
        <v>0.16259621780860972</v>
      </c>
      <c r="E56" s="1114"/>
      <c r="F56" s="1108">
        <v>12234</v>
      </c>
      <c r="G56" s="1108">
        <v>2277</v>
      </c>
      <c r="H56" s="1108">
        <v>23590</v>
      </c>
      <c r="I56" s="1109">
        <v>16268</v>
      </c>
      <c r="J56" s="1108">
        <v>10523</v>
      </c>
      <c r="K56" s="1108">
        <v>8749</v>
      </c>
      <c r="L56" s="1108">
        <v>3267</v>
      </c>
      <c r="M56" s="1109">
        <v>7669</v>
      </c>
      <c r="N56" s="1108">
        <v>17317</v>
      </c>
      <c r="O56" s="1108">
        <v>27481</v>
      </c>
      <c r="P56" s="1108">
        <v>1497</v>
      </c>
      <c r="Q56" s="1109">
        <v>4934</v>
      </c>
      <c r="R56" s="1108">
        <v>19954</v>
      </c>
      <c r="S56" s="1108">
        <v>17903</v>
      </c>
      <c r="T56" s="1108">
        <v>7769</v>
      </c>
      <c r="U56" s="1109">
        <v>44432</v>
      </c>
      <c r="V56" s="1108">
        <v>39291</v>
      </c>
      <c r="W56" s="1108">
        <v>48391</v>
      </c>
      <c r="X56" s="1108">
        <v>17319</v>
      </c>
      <c r="Y56" s="1109">
        <v>21346</v>
      </c>
      <c r="Z56" s="1108">
        <v>10113</v>
      </c>
      <c r="AA56" s="1108">
        <v>20118</v>
      </c>
      <c r="AB56" s="1108">
        <v>7834</v>
      </c>
      <c r="AC56" s="1109">
        <v>7867</v>
      </c>
      <c r="AD56" s="1108">
        <v>9250</v>
      </c>
      <c r="AE56" s="1108">
        <v>-8958</v>
      </c>
      <c r="AF56" s="1108">
        <v>2822</v>
      </c>
      <c r="AG56" s="1109">
        <v>6781</v>
      </c>
      <c r="AH56" s="1022">
        <v>7797</v>
      </c>
      <c r="AI56" s="1022">
        <v>23235</v>
      </c>
      <c r="AJ56" s="1022">
        <v>16089</v>
      </c>
      <c r="AK56" s="1022">
        <v>48674</v>
      </c>
      <c r="AL56" s="1023">
        <v>29246</v>
      </c>
      <c r="AM56" s="1003">
        <v>26110</v>
      </c>
      <c r="AN56" s="1003">
        <v>22330</v>
      </c>
      <c r="AO56" s="1003">
        <v>33584</v>
      </c>
      <c r="AP56" s="991"/>
      <c r="AQ56" s="1050">
        <v>42135</v>
      </c>
      <c r="AR56" s="1005">
        <v>19685</v>
      </c>
      <c r="AS56" s="587">
        <v>24161</v>
      </c>
      <c r="AT56" s="1116">
        <v>0.79982123940677963</v>
      </c>
      <c r="AU56" s="996"/>
      <c r="AV56" s="1112">
        <v>54369</v>
      </c>
      <c r="AW56" s="1112">
        <v>30208</v>
      </c>
      <c r="AX56" s="1112">
        <v>51229</v>
      </c>
      <c r="AY56" s="1112">
        <v>66814</v>
      </c>
      <c r="AZ56" s="1112">
        <v>137232</v>
      </c>
      <c r="BA56" s="1112">
        <v>75299</v>
      </c>
      <c r="BB56" s="1112">
        <v>20251</v>
      </c>
      <c r="BC56" s="1118">
        <v>56517</v>
      </c>
      <c r="BD56" s="1119">
        <v>62391</v>
      </c>
      <c r="BE56" s="1120">
        <v>44985</v>
      </c>
      <c r="BF56" s="1120">
        <v>28124</v>
      </c>
      <c r="BG56" s="1120">
        <v>57268</v>
      </c>
      <c r="BH56" s="962"/>
      <c r="BJ56" s="943"/>
      <c r="BK56" s="943"/>
      <c r="BL56" s="943"/>
      <c r="BM56" s="943"/>
    </row>
    <row r="57" spans="1:65" ht="24.75" customHeight="1" x14ac:dyDescent="0.2">
      <c r="A57" s="996"/>
      <c r="B57" s="1076" t="s">
        <v>386</v>
      </c>
      <c r="C57" s="1121">
        <v>2227</v>
      </c>
      <c r="D57" s="1122">
        <v>0.29721073001468035</v>
      </c>
      <c r="E57" s="1114"/>
      <c r="F57" s="1004">
        <v>9720</v>
      </c>
      <c r="G57" s="1004">
        <v>294</v>
      </c>
      <c r="H57" s="1004">
        <v>20745</v>
      </c>
      <c r="I57" s="1123">
        <v>14102</v>
      </c>
      <c r="J57" s="1004">
        <v>7493</v>
      </c>
      <c r="K57" s="1004">
        <v>5993</v>
      </c>
      <c r="L57" s="1004">
        <v>1495</v>
      </c>
      <c r="M57" s="1123">
        <v>5308</v>
      </c>
      <c r="N57" s="1004">
        <v>15038</v>
      </c>
      <c r="O57" s="1004">
        <v>24890</v>
      </c>
      <c r="P57" s="1322">
        <v>-1021</v>
      </c>
      <c r="Q57" s="1123">
        <v>2020</v>
      </c>
      <c r="R57" s="1004">
        <v>16847</v>
      </c>
      <c r="S57" s="1004">
        <v>15288</v>
      </c>
      <c r="T57" s="1004">
        <v>4665</v>
      </c>
      <c r="U57" s="1123">
        <v>41391</v>
      </c>
      <c r="V57" s="1004">
        <v>37731</v>
      </c>
      <c r="W57" s="1004">
        <v>46595</v>
      </c>
      <c r="X57" s="1004"/>
      <c r="Y57" s="1123"/>
      <c r="Z57" s="1004"/>
      <c r="AA57" s="1004"/>
      <c r="AB57" s="1004"/>
      <c r="AC57" s="1123"/>
      <c r="AD57" s="1004"/>
      <c r="AE57" s="1004"/>
      <c r="AF57" s="1004"/>
      <c r="AG57" s="1123"/>
      <c r="AH57" s="1002"/>
      <c r="AI57" s="1002"/>
      <c r="AJ57" s="1002"/>
      <c r="AK57" s="1002"/>
      <c r="AL57" s="1118"/>
      <c r="AM57" s="1032"/>
      <c r="AN57" s="1032"/>
      <c r="AO57" s="1032"/>
      <c r="AP57" s="991"/>
      <c r="AQ57" s="1004">
        <v>35141</v>
      </c>
      <c r="AR57" s="1004">
        <v>12796</v>
      </c>
      <c r="AS57" s="1339">
        <v>24572</v>
      </c>
      <c r="AT57" s="1122">
        <v>1.2110996106264478</v>
      </c>
      <c r="AU57" s="996"/>
      <c r="AV57" s="1124">
        <v>44861</v>
      </c>
      <c r="AW57" s="1124">
        <v>20289</v>
      </c>
      <c r="AX57" s="1124">
        <v>40927</v>
      </c>
      <c r="AY57" s="1124">
        <v>54947</v>
      </c>
      <c r="AZ57" s="1124">
        <v>126329</v>
      </c>
      <c r="BA57" s="1124">
        <v>65726</v>
      </c>
      <c r="BB57" s="1124">
        <v>20251</v>
      </c>
      <c r="BC57" s="1022"/>
      <c r="BD57" s="1022"/>
      <c r="BE57" s="1036"/>
      <c r="BF57" s="1036"/>
      <c r="BG57" s="1036"/>
      <c r="BH57" s="943"/>
      <c r="BJ57" s="943"/>
      <c r="BK57" s="943"/>
      <c r="BL57" s="943"/>
      <c r="BM57" s="943"/>
    </row>
    <row r="58" spans="1:65" ht="12.75" customHeight="1" x14ac:dyDescent="0.2">
      <c r="A58" s="996"/>
      <c r="B58" s="992"/>
      <c r="C58" s="1125"/>
      <c r="D58" s="1094"/>
      <c r="E58" s="1094"/>
      <c r="F58" s="1094"/>
      <c r="G58" s="952"/>
      <c r="H58" s="952"/>
      <c r="I58" s="992"/>
      <c r="J58" s="1094"/>
      <c r="K58" s="952"/>
      <c r="L58" s="952"/>
      <c r="M58" s="992"/>
      <c r="N58" s="1094"/>
      <c r="O58" s="952"/>
      <c r="P58" s="952"/>
      <c r="Q58" s="992"/>
      <c r="R58" s="1094"/>
      <c r="S58" s="1094"/>
      <c r="T58" s="952"/>
      <c r="U58" s="992"/>
      <c r="V58" s="1094"/>
      <c r="W58" s="1094"/>
      <c r="X58" s="1094"/>
      <c r="Y58" s="992"/>
      <c r="Z58" s="1094"/>
      <c r="AA58" s="1094"/>
      <c r="AB58" s="1094"/>
      <c r="AC58" s="992"/>
      <c r="AD58" s="1094"/>
      <c r="AE58" s="1094"/>
      <c r="AF58" s="1094"/>
      <c r="AG58" s="992"/>
      <c r="AH58" s="996"/>
      <c r="AI58" s="996"/>
      <c r="AJ58" s="996"/>
      <c r="AK58" s="996"/>
      <c r="AL58" s="996"/>
      <c r="AM58" s="996"/>
      <c r="AN58" s="996"/>
      <c r="AO58" s="996"/>
      <c r="AP58" s="992"/>
      <c r="AQ58" s="1094"/>
      <c r="AR58" s="1094"/>
      <c r="AS58" s="1126"/>
      <c r="AT58" s="1127"/>
      <c r="AU58" s="992"/>
      <c r="AV58" s="992"/>
      <c r="AW58" s="992"/>
      <c r="AX58" s="992"/>
      <c r="AY58" s="992"/>
      <c r="AZ58" s="992"/>
      <c r="BA58" s="992"/>
      <c r="BB58" s="992"/>
      <c r="BC58" s="996"/>
      <c r="BD58" s="996"/>
      <c r="BE58" s="1036"/>
      <c r="BF58" s="1036"/>
      <c r="BG58" s="1036"/>
      <c r="BH58" s="943"/>
      <c r="BJ58" s="943"/>
      <c r="BK58" s="943"/>
      <c r="BL58" s="943"/>
      <c r="BM58" s="943"/>
    </row>
    <row r="59" spans="1:65" ht="12.75" customHeight="1" x14ac:dyDescent="0.2">
      <c r="A59" s="996"/>
      <c r="B59" s="1089" t="s">
        <v>80</v>
      </c>
      <c r="C59" s="1128">
        <v>-0.73375691694570755</v>
      </c>
      <c r="D59" s="1094"/>
      <c r="E59" s="1094"/>
      <c r="F59" s="1094">
        <v>0.21546011761782491</v>
      </c>
      <c r="G59" s="1094">
        <v>0.41898465332967938</v>
      </c>
      <c r="H59" s="1094">
        <v>0.16705120949603122</v>
      </c>
      <c r="I59" s="1094">
        <v>0.19722279507802296</v>
      </c>
      <c r="J59" s="1094">
        <v>0.22279768678728198</v>
      </c>
      <c r="K59" s="1094">
        <v>0.26662306518421625</v>
      </c>
      <c r="L59" s="1094">
        <v>0.35315378710337769</v>
      </c>
      <c r="M59" s="1094">
        <v>0.29790337283500457</v>
      </c>
      <c r="N59" s="1094">
        <v>0.17038054000774458</v>
      </c>
      <c r="O59" s="1094">
        <v>0.14904386951631046</v>
      </c>
      <c r="P59" s="1094">
        <v>0.3457469318662717</v>
      </c>
      <c r="Q59" s="1094">
        <v>0.33334269032113184</v>
      </c>
      <c r="R59" s="1094">
        <v>0.18522378390558544</v>
      </c>
      <c r="S59" s="1094">
        <v>0.19358294404832987</v>
      </c>
      <c r="T59" s="1094">
        <v>0.32216234026029039</v>
      </c>
      <c r="U59" s="1094">
        <v>-0.16583962370892399</v>
      </c>
      <c r="V59" s="1094">
        <v>0.1049846556548425</v>
      </c>
      <c r="W59" s="1094">
        <v>0.10878030053745749</v>
      </c>
      <c r="X59" s="1094">
        <v>0.1807689995792342</v>
      </c>
      <c r="Y59" s="1094">
        <v>0.15194978984865334</v>
      </c>
      <c r="Z59" s="1094">
        <v>0.1537803312755944</v>
      </c>
      <c r="AA59" s="1094">
        <v>0.10480982581197477</v>
      </c>
      <c r="AB59" s="1094">
        <v>0.15381132075471698</v>
      </c>
      <c r="AC59" s="1094">
        <v>0.14983030545018966</v>
      </c>
      <c r="AD59" s="1094">
        <v>0.11488834738145648</v>
      </c>
      <c r="AE59" s="1094">
        <v>0.45581137748239575</v>
      </c>
      <c r="AF59" s="1094">
        <v>0.28570819658156088</v>
      </c>
      <c r="AG59" s="1094">
        <v>0.21975430833721471</v>
      </c>
      <c r="AH59" s="1094">
        <v>0.22119959929877286</v>
      </c>
      <c r="AI59" s="1091">
        <v>0.22941514650995137</v>
      </c>
      <c r="AJ59" s="1091">
        <v>0.30967430476810637</v>
      </c>
      <c r="AK59" s="1091">
        <v>0.16900000000000004</v>
      </c>
      <c r="AL59" s="1091">
        <v>0.21100000000000008</v>
      </c>
      <c r="AM59" s="1091">
        <v>0.20399999999999996</v>
      </c>
      <c r="AN59" s="1091">
        <v>0.249</v>
      </c>
      <c r="AO59" s="1091">
        <v>0.17899999999999994</v>
      </c>
      <c r="AP59" s="992"/>
      <c r="AQ59" s="1094">
        <v>0.22533958654578259</v>
      </c>
      <c r="AR59" s="1094">
        <v>0.3020377973960951</v>
      </c>
      <c r="AS59" s="1087">
        <v>-5.6057048097068654</v>
      </c>
      <c r="AT59" s="1127"/>
      <c r="AU59" s="992"/>
      <c r="AV59" s="1094">
        <v>0.22300755187330448</v>
      </c>
      <c r="AW59" s="1094">
        <v>0.27906459997037314</v>
      </c>
      <c r="AX59" s="1094">
        <v>0.22123257168305299</v>
      </c>
      <c r="AY59" s="1094">
        <v>0.21888371372241786</v>
      </c>
      <c r="AZ59" s="1094">
        <v>0.14644038756941982</v>
      </c>
      <c r="BA59" s="1094">
        <v>2.628096474284974E-2</v>
      </c>
      <c r="BB59" s="1091">
        <v>0.25467643467643469</v>
      </c>
      <c r="BC59" s="1091">
        <v>0.1641504627664091</v>
      </c>
      <c r="BD59" s="1091">
        <v>0.13159381964363784</v>
      </c>
      <c r="BE59" s="1089">
        <v>0.13831328504020735</v>
      </c>
      <c r="BF59" s="1089">
        <v>0.13580091880408962</v>
      </c>
      <c r="BG59" s="1089">
        <v>0.10299999999999998</v>
      </c>
      <c r="BH59" s="943"/>
      <c r="BJ59" s="943"/>
      <c r="BK59" s="943"/>
      <c r="BL59" s="943"/>
      <c r="BM59" s="943"/>
    </row>
    <row r="60" spans="1:65" ht="12.75" customHeight="1" x14ac:dyDescent="0.2">
      <c r="A60" s="996"/>
      <c r="B60" s="1089" t="s">
        <v>81</v>
      </c>
      <c r="C60" s="1128">
        <v>-0.89369233632637934</v>
      </c>
      <c r="D60" s="1094"/>
      <c r="E60" s="1094"/>
      <c r="F60" s="1094">
        <v>0.74666611447030562</v>
      </c>
      <c r="G60" s="1094">
        <v>0.92199917785694707</v>
      </c>
      <c r="H60" s="1094">
        <v>0.6576843266147171</v>
      </c>
      <c r="I60" s="1094">
        <v>0.72042345500790539</v>
      </c>
      <c r="J60" s="1094">
        <v>0.75560303783356941</v>
      </c>
      <c r="K60" s="1094">
        <v>0.78807257224523408</v>
      </c>
      <c r="L60" s="1094">
        <v>0.89550281473899696</v>
      </c>
      <c r="M60" s="1094">
        <v>0.76697052567608626</v>
      </c>
      <c r="N60" s="1094">
        <v>0.69519836659978174</v>
      </c>
      <c r="O60" s="1094">
        <v>0.64055510503047586</v>
      </c>
      <c r="P60" s="1094">
        <v>0.95776555226407112</v>
      </c>
      <c r="Q60" s="1094">
        <v>0.86149786660678196</v>
      </c>
      <c r="R60" s="1094">
        <v>0.71898149452158977</v>
      </c>
      <c r="S60" s="1094">
        <v>0.68559235713533073</v>
      </c>
      <c r="T60" s="1094">
        <v>0.8171612812124921</v>
      </c>
      <c r="U60" s="1094">
        <v>0.28181421436306914</v>
      </c>
      <c r="V60" s="1094">
        <v>0.55669509883563495</v>
      </c>
      <c r="W60" s="1094">
        <v>0.55768527658952138</v>
      </c>
      <c r="X60" s="1094">
        <v>0.65298843895890524</v>
      </c>
      <c r="Y60" s="1094">
        <v>0.59767796897676084</v>
      </c>
      <c r="Z60" s="1094">
        <v>0.69350895422040215</v>
      </c>
      <c r="AA60" s="1094">
        <v>0.66254345965022621</v>
      </c>
      <c r="AB60" s="1094">
        <v>0.73509433962264148</v>
      </c>
      <c r="AC60" s="1094">
        <v>0.73823783855726355</v>
      </c>
      <c r="AD60" s="1094">
        <v>0.63048775616186636</v>
      </c>
      <c r="AE60" s="1094">
        <v>1.7087586043199621</v>
      </c>
      <c r="AF60" s="1094">
        <v>0.87971527215378709</v>
      </c>
      <c r="AG60" s="1094">
        <v>0.80260246856078243</v>
      </c>
      <c r="AH60" s="1094">
        <v>0.75591660405709993</v>
      </c>
      <c r="AI60" s="1091">
        <v>0.78796893678764046</v>
      </c>
      <c r="AJ60" s="1091">
        <v>0.81936881813384832</v>
      </c>
      <c r="AK60" s="1091">
        <v>0.68600000000000005</v>
      </c>
      <c r="AL60" s="1091">
        <v>0.77500000000000002</v>
      </c>
      <c r="AM60" s="1091">
        <v>0.74299999999999999</v>
      </c>
      <c r="AN60" s="1091">
        <v>0.76</v>
      </c>
      <c r="AO60" s="1091">
        <v>0.73199999999999998</v>
      </c>
      <c r="AP60" s="992"/>
      <c r="AQ60" s="1094">
        <v>0.73041019111540506</v>
      </c>
      <c r="AR60" s="1094">
        <v>0.81333624131162463</v>
      </c>
      <c r="AS60" s="1087">
        <v>-6.235092165683187</v>
      </c>
      <c r="AT60" s="1127"/>
      <c r="AU60" s="992"/>
      <c r="AV60" s="1094">
        <v>0.73424737884009095</v>
      </c>
      <c r="AW60" s="1094">
        <v>0.79659830049692282</v>
      </c>
      <c r="AX60" s="1094">
        <v>0.74929161140664691</v>
      </c>
      <c r="AY60" s="1094">
        <v>0.71238797103819962</v>
      </c>
      <c r="AZ60" s="1094">
        <v>0.59461183977313015</v>
      </c>
      <c r="BA60" s="1094">
        <v>0.5759737809788209</v>
      </c>
      <c r="BB60" s="1091">
        <v>0.83515669515669511</v>
      </c>
      <c r="BC60" s="1091">
        <v>0.68007132546488924</v>
      </c>
      <c r="BD60" s="1091">
        <v>0.66735799362344184</v>
      </c>
      <c r="BE60" s="1089">
        <v>0.70103675151192923</v>
      </c>
      <c r="BF60" s="1089">
        <v>0.70568967862786336</v>
      </c>
      <c r="BG60" s="1089">
        <v>0.73</v>
      </c>
      <c r="BH60" s="943"/>
      <c r="BJ60" s="943"/>
      <c r="BK60" s="943"/>
      <c r="BL60" s="943"/>
      <c r="BM60" s="943"/>
    </row>
    <row r="61" spans="1:65" ht="12.75" customHeight="1" x14ac:dyDescent="0.2">
      <c r="A61" s="996"/>
      <c r="B61" s="1089" t="s">
        <v>187</v>
      </c>
      <c r="C61" s="1128">
        <v>0.89369233632638212</v>
      </c>
      <c r="D61" s="1094"/>
      <c r="E61" s="1094"/>
      <c r="F61" s="1094">
        <v>0.25333388552969438</v>
      </c>
      <c r="G61" s="1094">
        <v>7.8000822143052886E-2</v>
      </c>
      <c r="H61" s="1094">
        <v>0.3423156733852829</v>
      </c>
      <c r="I61" s="1094">
        <v>0.27957654499209461</v>
      </c>
      <c r="J61" s="1094">
        <v>0.24439696216643056</v>
      </c>
      <c r="K61" s="1094">
        <v>0.21192742775476589</v>
      </c>
      <c r="L61" s="1094">
        <v>0.10449718526100307</v>
      </c>
      <c r="M61" s="1094">
        <v>0.23302947432391372</v>
      </c>
      <c r="N61" s="1094">
        <v>0.30480163340021826</v>
      </c>
      <c r="O61" s="1094">
        <v>0.35944489496952414</v>
      </c>
      <c r="P61" s="1094">
        <v>4.2234447735928903E-2</v>
      </c>
      <c r="Q61" s="1094">
        <v>0.13850213339321807</v>
      </c>
      <c r="R61" s="1094">
        <v>0.28101850547841029</v>
      </c>
      <c r="S61" s="1094">
        <v>0.31440764286466932</v>
      </c>
      <c r="T61" s="1094">
        <v>0.18283871878750793</v>
      </c>
      <c r="U61" s="1094">
        <v>0.71818578563693081</v>
      </c>
      <c r="V61" s="1094">
        <v>0.443304901164365</v>
      </c>
      <c r="W61" s="1094">
        <v>0.44231472341047862</v>
      </c>
      <c r="X61" s="1094">
        <v>0.34701156104109482</v>
      </c>
      <c r="Y61" s="1094">
        <v>0.40232203102323916</v>
      </c>
      <c r="Z61" s="1094">
        <v>0.30649104577959785</v>
      </c>
      <c r="AA61" s="1094">
        <v>0.33745654034977374</v>
      </c>
      <c r="AB61" s="1094">
        <v>0.26490566037735847</v>
      </c>
      <c r="AC61" s="1094">
        <v>0.2617621614427364</v>
      </c>
      <c r="AD61" s="1094">
        <v>0.36951224383813364</v>
      </c>
      <c r="AE61" s="1094">
        <v>-0.70875860431996207</v>
      </c>
      <c r="AF61" s="1094">
        <v>0.12028472784621286</v>
      </c>
      <c r="AG61" s="1094">
        <v>0.19739753143921751</v>
      </c>
      <c r="AH61" s="1094">
        <v>0.24408339594290007</v>
      </c>
      <c r="AI61" s="1091">
        <v>0.21203106321235959</v>
      </c>
      <c r="AJ61" s="1091">
        <v>0.18063118186615174</v>
      </c>
      <c r="AK61" s="1091">
        <v>0.31399999999999995</v>
      </c>
      <c r="AL61" s="1091">
        <v>0.22500000000000001</v>
      </c>
      <c r="AM61" s="1091">
        <v>0.25700000000000001</v>
      </c>
      <c r="AN61" s="1091">
        <v>0.24</v>
      </c>
      <c r="AO61" s="1091">
        <v>0.26800000000000002</v>
      </c>
      <c r="AP61" s="992"/>
      <c r="AQ61" s="1094">
        <v>0.26958980888459494</v>
      </c>
      <c r="AR61" s="1094">
        <v>0.18666375868837537</v>
      </c>
      <c r="AS61" s="1087">
        <v>6.235092165683195</v>
      </c>
      <c r="AT61" s="1127"/>
      <c r="AU61" s="992"/>
      <c r="AV61" s="1094">
        <v>0.26575262115990911</v>
      </c>
      <c r="AW61" s="1094">
        <v>0.20340169950307715</v>
      </c>
      <c r="AX61" s="1094">
        <v>0.25070838859335315</v>
      </c>
      <c r="AY61" s="1094">
        <v>0.28761202896180038</v>
      </c>
      <c r="AZ61" s="1094">
        <v>0.40538816022686991</v>
      </c>
      <c r="BA61" s="1094">
        <v>0.42402621902117904</v>
      </c>
      <c r="BB61" s="1091">
        <v>0.16484330484330484</v>
      </c>
      <c r="BC61" s="1091">
        <v>0.31992867453511081</v>
      </c>
      <c r="BD61" s="1091">
        <v>0.33264200637655816</v>
      </c>
      <c r="BE61" s="1089">
        <v>0.29896324848807071</v>
      </c>
      <c r="BF61" s="1089">
        <v>0.29431032137213659</v>
      </c>
      <c r="BG61" s="1089">
        <v>0.27</v>
      </c>
    </row>
    <row r="62" spans="1:65" ht="12.75" customHeight="1" x14ac:dyDescent="0.2">
      <c r="A62" s="996"/>
      <c r="B62" s="1089"/>
      <c r="C62" s="1128"/>
      <c r="D62" s="1094"/>
      <c r="E62" s="1094"/>
      <c r="F62" s="1094"/>
      <c r="G62" s="1094"/>
      <c r="H62" s="1094"/>
      <c r="I62" s="1094"/>
      <c r="J62" s="1094"/>
      <c r="K62" s="1094"/>
      <c r="L62" s="1094"/>
      <c r="M62" s="1094"/>
      <c r="N62" s="1094"/>
      <c r="O62" s="1094"/>
      <c r="P62" s="1094"/>
      <c r="Q62" s="1094"/>
      <c r="R62" s="1094"/>
      <c r="S62" s="1094"/>
      <c r="T62" s="1094"/>
      <c r="U62" s="1094"/>
      <c r="V62" s="1094"/>
      <c r="W62" s="1094"/>
      <c r="X62" s="1094"/>
      <c r="Y62" s="1094"/>
      <c r="Z62" s="1094"/>
      <c r="AA62" s="1094"/>
      <c r="AB62" s="1094"/>
      <c r="AC62" s="1094"/>
      <c r="AD62" s="1094"/>
      <c r="AE62" s="1094"/>
      <c r="AF62" s="1094"/>
      <c r="AG62" s="1094"/>
      <c r="AH62" s="1094"/>
      <c r="AI62" s="1091"/>
      <c r="AJ62" s="1091"/>
      <c r="AK62" s="1091"/>
      <c r="AL62" s="1091"/>
      <c r="AM62" s="1091"/>
      <c r="AN62" s="1091"/>
      <c r="AO62" s="1091"/>
      <c r="AP62" s="992"/>
      <c r="AQ62" s="1094"/>
      <c r="AR62" s="1094"/>
      <c r="AS62" s="1087"/>
      <c r="AT62" s="1127"/>
      <c r="AU62" s="992"/>
      <c r="AV62" s="1091"/>
      <c r="AW62" s="1091"/>
      <c r="AX62" s="1091"/>
      <c r="AY62" s="1091"/>
      <c r="AZ62" s="1091"/>
      <c r="BA62" s="1091"/>
      <c r="BB62" s="1091"/>
      <c r="BC62" s="1091"/>
      <c r="BD62" s="1091"/>
      <c r="BE62" s="1089"/>
      <c r="BF62" s="1089"/>
      <c r="BG62" s="1089"/>
    </row>
    <row r="63" spans="1:65" ht="12.75" customHeight="1" x14ac:dyDescent="0.2">
      <c r="A63" s="1129" t="s">
        <v>199</v>
      </c>
      <c r="B63" s="1089"/>
      <c r="C63" s="992"/>
      <c r="D63" s="992"/>
      <c r="E63" s="992"/>
      <c r="F63" s="992"/>
      <c r="G63" s="992"/>
      <c r="H63" s="992"/>
      <c r="I63" s="992"/>
      <c r="J63" s="992"/>
      <c r="K63" s="992"/>
      <c r="L63" s="992"/>
      <c r="M63" s="992"/>
      <c r="N63" s="992"/>
      <c r="O63" s="992"/>
      <c r="P63" s="992"/>
      <c r="Q63" s="992"/>
      <c r="R63" s="992"/>
      <c r="S63" s="992"/>
      <c r="T63" s="992"/>
      <c r="U63" s="992"/>
      <c r="V63" s="992"/>
      <c r="W63" s="992"/>
      <c r="X63" s="992"/>
      <c r="Y63" s="992"/>
      <c r="Z63" s="992"/>
      <c r="AA63" s="992"/>
      <c r="AB63" s="992"/>
      <c r="AC63" s="992"/>
      <c r="AD63" s="992"/>
      <c r="AE63" s="992"/>
      <c r="AF63" s="992"/>
      <c r="AG63" s="992"/>
      <c r="AH63" s="992"/>
      <c r="AI63" s="992"/>
      <c r="AJ63" s="992"/>
      <c r="AK63" s="952"/>
      <c r="AL63" s="992"/>
      <c r="AM63" s="952"/>
      <c r="AN63" s="952"/>
      <c r="AO63" s="992"/>
      <c r="AP63" s="992"/>
      <c r="AQ63" s="992"/>
      <c r="AR63" s="992"/>
      <c r="AS63" s="1096"/>
      <c r="AT63" s="1096"/>
      <c r="AU63" s="992"/>
      <c r="AV63" s="992"/>
      <c r="AW63" s="992"/>
      <c r="AX63" s="992"/>
      <c r="AY63" s="992"/>
      <c r="AZ63" s="992"/>
      <c r="BA63" s="992"/>
      <c r="BB63" s="992"/>
      <c r="BC63" s="992"/>
      <c r="BD63" s="992"/>
      <c r="BE63" s="1036"/>
      <c r="BF63" s="1089"/>
      <c r="BG63" s="1089"/>
    </row>
    <row r="64" spans="1:65" ht="12.75" customHeight="1" x14ac:dyDescent="0.2">
      <c r="C64" s="1489" t="s">
        <v>447</v>
      </c>
      <c r="D64" s="1490"/>
      <c r="E64" s="953"/>
      <c r="F64" s="956"/>
      <c r="G64" s="954"/>
      <c r="H64" s="954"/>
      <c r="I64" s="955"/>
      <c r="J64" s="956"/>
      <c r="K64" s="954"/>
      <c r="L64" s="954"/>
      <c r="M64" s="955"/>
      <c r="N64" s="956"/>
      <c r="O64" s="954"/>
      <c r="P64" s="954"/>
      <c r="Q64" s="955"/>
      <c r="R64" s="954"/>
      <c r="S64" s="954"/>
      <c r="T64" s="954"/>
      <c r="U64" s="955"/>
      <c r="V64" s="954"/>
      <c r="W64" s="955"/>
      <c r="Y64" s="955"/>
      <c r="Z64" s="954"/>
      <c r="AA64" s="954"/>
      <c r="AC64" s="955"/>
      <c r="AE64" s="954"/>
      <c r="AF64" s="954"/>
      <c r="AG64" s="955"/>
      <c r="AH64" s="954"/>
      <c r="AI64" s="954"/>
      <c r="AJ64" s="954"/>
      <c r="AK64" s="954"/>
      <c r="AL64" s="956"/>
      <c r="AM64" s="955"/>
      <c r="AN64" s="955"/>
      <c r="AO64" s="955"/>
      <c r="AP64" s="957"/>
      <c r="AQ64" s="661" t="s">
        <v>340</v>
      </c>
      <c r="AR64" s="647"/>
      <c r="AS64" s="647" t="s">
        <v>432</v>
      </c>
      <c r="AT64" s="648"/>
      <c r="AU64" s="992"/>
      <c r="AV64" s="959"/>
      <c r="AW64" s="959"/>
      <c r="AX64" s="959"/>
      <c r="AY64" s="959"/>
      <c r="AZ64" s="959"/>
      <c r="BA64" s="959"/>
      <c r="BB64" s="959"/>
      <c r="BC64" s="1102"/>
      <c r="BD64" s="1103"/>
      <c r="BE64" s="959"/>
      <c r="BF64" s="1089"/>
      <c r="BG64" s="1089"/>
      <c r="BH64" s="962"/>
    </row>
    <row r="65" spans="1:60" ht="12.75" customHeight="1" x14ac:dyDescent="0.2">
      <c r="C65" s="1487" t="s">
        <v>39</v>
      </c>
      <c r="D65" s="1488"/>
      <c r="E65" s="963"/>
      <c r="F65" s="21" t="s">
        <v>425</v>
      </c>
      <c r="G65" s="21" t="s">
        <v>426</v>
      </c>
      <c r="H65" s="21" t="s">
        <v>427</v>
      </c>
      <c r="I65" s="14" t="s">
        <v>428</v>
      </c>
      <c r="J65" s="966" t="s">
        <v>363</v>
      </c>
      <c r="K65" s="964" t="s">
        <v>362</v>
      </c>
      <c r="L65" s="964" t="s">
        <v>361</v>
      </c>
      <c r="M65" s="965" t="s">
        <v>359</v>
      </c>
      <c r="N65" s="966" t="s">
        <v>302</v>
      </c>
      <c r="O65" s="964" t="s">
        <v>303</v>
      </c>
      <c r="P65" s="964" t="s">
        <v>304</v>
      </c>
      <c r="Q65" s="965" t="s">
        <v>305</v>
      </c>
      <c r="R65" s="964" t="s">
        <v>231</v>
      </c>
      <c r="S65" s="964" t="s">
        <v>232</v>
      </c>
      <c r="T65" s="964" t="s">
        <v>233</v>
      </c>
      <c r="U65" s="965" t="s">
        <v>230</v>
      </c>
      <c r="V65" s="964" t="s">
        <v>194</v>
      </c>
      <c r="W65" s="965" t="s">
        <v>195</v>
      </c>
      <c r="X65" s="964" t="s">
        <v>196</v>
      </c>
      <c r="Y65" s="965" t="s">
        <v>197</v>
      </c>
      <c r="Z65" s="964" t="s">
        <v>126</v>
      </c>
      <c r="AA65" s="964" t="s">
        <v>125</v>
      </c>
      <c r="AB65" s="964" t="s">
        <v>124</v>
      </c>
      <c r="AC65" s="965" t="s">
        <v>123</v>
      </c>
      <c r="AD65" s="964" t="s">
        <v>86</v>
      </c>
      <c r="AE65" s="964" t="s">
        <v>87</v>
      </c>
      <c r="AF65" s="964" t="s">
        <v>88</v>
      </c>
      <c r="AG65" s="965" t="s">
        <v>30</v>
      </c>
      <c r="AH65" s="964" t="s">
        <v>31</v>
      </c>
      <c r="AI65" s="964" t="s">
        <v>32</v>
      </c>
      <c r="AJ65" s="964" t="s">
        <v>33</v>
      </c>
      <c r="AK65" s="964" t="s">
        <v>34</v>
      </c>
      <c r="AL65" s="966" t="s">
        <v>35</v>
      </c>
      <c r="AM65" s="965" t="s">
        <v>36</v>
      </c>
      <c r="AN65" s="965" t="s">
        <v>37</v>
      </c>
      <c r="AO65" s="965" t="s">
        <v>38</v>
      </c>
      <c r="AP65" s="953"/>
      <c r="AQ65" s="21" t="s">
        <v>426</v>
      </c>
      <c r="AR65" s="21" t="s">
        <v>362</v>
      </c>
      <c r="AS65" s="1477" t="s">
        <v>39</v>
      </c>
      <c r="AT65" s="1478"/>
      <c r="AU65" s="992"/>
      <c r="AV65" s="20" t="s">
        <v>446</v>
      </c>
      <c r="AW65" s="20" t="s">
        <v>365</v>
      </c>
      <c r="AX65" s="966" t="s">
        <v>307</v>
      </c>
      <c r="AY65" s="966" t="s">
        <v>235</v>
      </c>
      <c r="AZ65" s="966" t="s">
        <v>128</v>
      </c>
      <c r="BA65" s="966" t="s">
        <v>127</v>
      </c>
      <c r="BB65" s="966" t="s">
        <v>43</v>
      </c>
      <c r="BC65" s="966" t="s">
        <v>40</v>
      </c>
      <c r="BD65" s="968" t="s">
        <v>41</v>
      </c>
      <c r="BE65" s="968" t="s">
        <v>146</v>
      </c>
      <c r="BF65" s="1089"/>
      <c r="BG65" s="1089"/>
      <c r="BH65" s="962"/>
    </row>
    <row r="66" spans="1:60" ht="12.75" customHeight="1" x14ac:dyDescent="0.2">
      <c r="A66" s="996"/>
      <c r="B66" s="7" t="s">
        <v>399</v>
      </c>
      <c r="C66" s="1106">
        <v>-793</v>
      </c>
      <c r="D66" s="1107">
        <v>-6.0483563420028981E-2</v>
      </c>
      <c r="E66" s="991"/>
      <c r="F66" s="1108">
        <v>12318</v>
      </c>
      <c r="G66" s="1108">
        <v>10622</v>
      </c>
      <c r="H66" s="1108">
        <v>10865</v>
      </c>
      <c r="I66" s="1130">
        <v>13609</v>
      </c>
      <c r="J66" s="1108">
        <v>13111</v>
      </c>
      <c r="K66" s="1108">
        <v>11821</v>
      </c>
      <c r="L66" s="1108">
        <v>11011</v>
      </c>
      <c r="M66" s="1130">
        <v>14900</v>
      </c>
      <c r="N66" s="1108">
        <v>11823</v>
      </c>
      <c r="O66" s="1108">
        <v>14531</v>
      </c>
      <c r="P66" s="1108">
        <v>14052</v>
      </c>
      <c r="Q66" s="1130">
        <v>13723</v>
      </c>
      <c r="R66" s="1108">
        <v>19975</v>
      </c>
      <c r="S66" s="1108">
        <v>11861</v>
      </c>
      <c r="T66" s="1108">
        <v>11610</v>
      </c>
      <c r="U66" s="1108">
        <v>7890</v>
      </c>
      <c r="V66" s="1131">
        <v>9533</v>
      </c>
      <c r="W66" s="1108">
        <v>17508</v>
      </c>
      <c r="X66" s="1108">
        <v>8721</v>
      </c>
      <c r="Y66" s="1108">
        <v>6975</v>
      </c>
      <c r="Z66" s="1131">
        <v>8215</v>
      </c>
      <c r="AA66" s="1108">
        <v>9418</v>
      </c>
      <c r="AB66" s="1108">
        <v>9547</v>
      </c>
      <c r="AC66" s="1108">
        <v>8802</v>
      </c>
      <c r="AD66" s="1132">
        <v>7648</v>
      </c>
      <c r="AE66" s="1110">
        <v>7035</v>
      </c>
      <c r="AF66" s="1133">
        <v>8214</v>
      </c>
      <c r="AG66" s="1130">
        <v>8390</v>
      </c>
      <c r="AH66" s="1109">
        <v>29584</v>
      </c>
      <c r="AI66" s="992"/>
      <c r="AJ66" s="992"/>
      <c r="AK66" s="952"/>
      <c r="AL66" s="992"/>
      <c r="AM66" s="952"/>
      <c r="AN66" s="952"/>
      <c r="AO66" s="992"/>
      <c r="AP66" s="991"/>
      <c r="AQ66" s="1050">
        <v>35096</v>
      </c>
      <c r="AR66" s="1005">
        <v>37732</v>
      </c>
      <c r="AS66" s="1134">
        <v>-3429</v>
      </c>
      <c r="AT66" s="1063">
        <v>-6.7442912495328758E-2</v>
      </c>
      <c r="AU66" s="992"/>
      <c r="AV66" s="1112">
        <v>47414</v>
      </c>
      <c r="AW66" s="1112">
        <v>50843</v>
      </c>
      <c r="AX66" s="1112">
        <v>54129</v>
      </c>
      <c r="AY66" s="1112">
        <v>51336</v>
      </c>
      <c r="AZ66" s="1248">
        <v>62551</v>
      </c>
      <c r="BA66" s="1248">
        <v>51815</v>
      </c>
      <c r="BB66" s="1248">
        <v>48193</v>
      </c>
      <c r="BC66" s="1065">
        <v>44852</v>
      </c>
      <c r="BD66" s="1113">
        <v>45773</v>
      </c>
      <c r="BE66" s="1069">
        <v>41570</v>
      </c>
      <c r="BF66" s="1089"/>
      <c r="BG66" s="1089"/>
      <c r="BH66" s="962"/>
    </row>
    <row r="67" spans="1:60" ht="12.75" customHeight="1" x14ac:dyDescent="0.2">
      <c r="A67" s="996"/>
      <c r="B67" s="7" t="s">
        <v>65</v>
      </c>
      <c r="C67" s="1106">
        <v>-3642</v>
      </c>
      <c r="D67" s="1207">
        <v>-0.16003866942039813</v>
      </c>
      <c r="E67" s="991"/>
      <c r="F67" s="1108">
        <v>19115</v>
      </c>
      <c r="G67" s="1108">
        <v>7508</v>
      </c>
      <c r="H67" s="1108">
        <v>34988</v>
      </c>
      <c r="I67" s="1130">
        <v>23830</v>
      </c>
      <c r="J67" s="1108">
        <v>22757</v>
      </c>
      <c r="K67" s="1108">
        <v>20635</v>
      </c>
      <c r="L67" s="1108">
        <v>7268</v>
      </c>
      <c r="M67" s="1130">
        <v>9096</v>
      </c>
      <c r="N67" s="1108">
        <v>12782</v>
      </c>
      <c r="O67" s="1108">
        <v>14028</v>
      </c>
      <c r="P67" s="1108">
        <v>10698</v>
      </c>
      <c r="Q67" s="1130">
        <v>13191</v>
      </c>
      <c r="R67" s="1108">
        <v>30213</v>
      </c>
      <c r="S67" s="1108">
        <v>14404</v>
      </c>
      <c r="T67" s="1108">
        <v>15551</v>
      </c>
      <c r="U67" s="1108">
        <v>34712</v>
      </c>
      <c r="V67" s="1131">
        <v>56010</v>
      </c>
      <c r="W67" s="1108">
        <v>72232</v>
      </c>
      <c r="X67" s="1108">
        <v>33469</v>
      </c>
      <c r="Y67" s="1108">
        <v>31749</v>
      </c>
      <c r="Z67" s="1131">
        <v>23306</v>
      </c>
      <c r="AA67" s="1108">
        <v>46294</v>
      </c>
      <c r="AB67" s="1108">
        <v>16811</v>
      </c>
      <c r="AC67" s="1108">
        <v>19402</v>
      </c>
      <c r="AD67" s="1132">
        <v>15250</v>
      </c>
      <c r="AE67" s="1108">
        <v>4569</v>
      </c>
      <c r="AF67" s="1130">
        <v>12638</v>
      </c>
      <c r="AG67" s="1130">
        <v>17564</v>
      </c>
      <c r="AH67" s="1109">
        <v>0</v>
      </c>
      <c r="AI67" s="992">
        <v>0</v>
      </c>
      <c r="AJ67" s="992">
        <v>0</v>
      </c>
      <c r="AK67" s="952">
        <v>0</v>
      </c>
      <c r="AL67" s="992">
        <v>0</v>
      </c>
      <c r="AM67" s="952">
        <v>0</v>
      </c>
      <c r="AN67" s="952">
        <v>0</v>
      </c>
      <c r="AO67" s="992">
        <v>0</v>
      </c>
      <c r="AP67" s="991"/>
      <c r="AQ67" s="1050">
        <v>66326</v>
      </c>
      <c r="AR67" s="1005">
        <v>36999</v>
      </c>
      <c r="AS67" s="1051">
        <v>25685</v>
      </c>
      <c r="AT67" s="1000">
        <v>0.42983131401030861</v>
      </c>
      <c r="AU67" s="992"/>
      <c r="AV67" s="1112">
        <v>85441</v>
      </c>
      <c r="AW67" s="1112">
        <v>59756</v>
      </c>
      <c r="AX67" s="1112">
        <v>50699</v>
      </c>
      <c r="AY67" s="1112">
        <v>94880</v>
      </c>
      <c r="AZ67" s="1211">
        <v>194568</v>
      </c>
      <c r="BA67" s="1211">
        <v>104241</v>
      </c>
      <c r="BB67" s="1211">
        <v>50046</v>
      </c>
      <c r="BC67" s="1023">
        <v>121044</v>
      </c>
      <c r="BD67" s="1117">
        <v>128763</v>
      </c>
      <c r="BE67" s="1025">
        <v>99263</v>
      </c>
      <c r="BF67" s="1089"/>
      <c r="BG67" s="1089"/>
      <c r="BH67" s="962"/>
    </row>
    <row r="68" spans="1:60" ht="12.75" customHeight="1" x14ac:dyDescent="0.2">
      <c r="A68" s="996"/>
      <c r="B68" s="7" t="s">
        <v>213</v>
      </c>
      <c r="C68" s="1106">
        <v>10373</v>
      </c>
      <c r="D68" s="1107">
        <v>1.9134845969378345</v>
      </c>
      <c r="E68" s="991"/>
      <c r="F68" s="1108">
        <v>15794</v>
      </c>
      <c r="G68" s="1108">
        <v>7872</v>
      </c>
      <c r="H68" s="1108">
        <v>21570</v>
      </c>
      <c r="I68" s="1130">
        <v>18624</v>
      </c>
      <c r="J68" s="1108">
        <v>5421</v>
      </c>
      <c r="K68" s="1108">
        <v>6438</v>
      </c>
      <c r="L68" s="1108">
        <v>10680</v>
      </c>
      <c r="M68" s="1130">
        <v>7011</v>
      </c>
      <c r="N68" s="1108">
        <v>29695</v>
      </c>
      <c r="O68" s="1108">
        <v>45225</v>
      </c>
      <c r="P68" s="1108">
        <v>8678</v>
      </c>
      <c r="Q68" s="1130">
        <v>5921</v>
      </c>
      <c r="R68" s="1108">
        <v>16725</v>
      </c>
      <c r="S68" s="1108">
        <v>27820</v>
      </c>
      <c r="T68" s="1108">
        <v>16442</v>
      </c>
      <c r="U68" s="1108">
        <v>17764</v>
      </c>
      <c r="V68" s="1131">
        <v>19979</v>
      </c>
      <c r="W68" s="1108">
        <v>19864</v>
      </c>
      <c r="X68" s="1108">
        <v>8169</v>
      </c>
      <c r="Y68" s="1108">
        <v>14504</v>
      </c>
      <c r="Z68" s="1131">
        <v>1297</v>
      </c>
      <c r="AA68" s="1108">
        <v>1601</v>
      </c>
      <c r="AB68" s="1108">
        <v>1211</v>
      </c>
      <c r="AC68" s="1108">
        <v>1444</v>
      </c>
      <c r="AD68" s="1132">
        <v>2473</v>
      </c>
      <c r="AE68" s="1108">
        <v>1215</v>
      </c>
      <c r="AF68" s="1130">
        <v>2659</v>
      </c>
      <c r="AG68" s="1130">
        <v>8562</v>
      </c>
      <c r="AH68" s="1109"/>
      <c r="AI68" s="992"/>
      <c r="AJ68" s="992"/>
      <c r="AK68" s="952"/>
      <c r="AL68" s="992"/>
      <c r="AM68" s="952"/>
      <c r="AN68" s="952"/>
      <c r="AO68" s="992"/>
      <c r="AP68" s="991"/>
      <c r="AQ68" s="1050">
        <v>48066</v>
      </c>
      <c r="AR68" s="1005">
        <v>24129</v>
      </c>
      <c r="AS68" s="1135">
        <v>34310</v>
      </c>
      <c r="AT68" s="1000">
        <v>1.161082910321489</v>
      </c>
      <c r="AU68" s="992"/>
      <c r="AV68" s="1112">
        <v>63860</v>
      </c>
      <c r="AW68" s="1112">
        <v>29550</v>
      </c>
      <c r="AX68" s="1112">
        <v>89519</v>
      </c>
      <c r="AY68" s="1112">
        <v>78751</v>
      </c>
      <c r="AZ68" s="1211">
        <v>62517</v>
      </c>
      <c r="BA68" s="1211">
        <v>6277</v>
      </c>
      <c r="BB68" s="1211">
        <v>14909</v>
      </c>
      <c r="BC68" s="1023">
        <v>17584</v>
      </c>
      <c r="BD68" s="1136">
        <v>12713</v>
      </c>
      <c r="BE68" s="1025">
        <v>4636</v>
      </c>
      <c r="BF68" s="1089"/>
      <c r="BG68" s="1089"/>
      <c r="BH68" s="962"/>
    </row>
    <row r="69" spans="1:60" ht="12.75" customHeight="1" x14ac:dyDescent="0.2">
      <c r="A69" s="996"/>
      <c r="B69" s="7" t="s">
        <v>66</v>
      </c>
      <c r="C69" s="1106">
        <v>-542</v>
      </c>
      <c r="D69" s="1207">
        <v>-1.5182072829131652</v>
      </c>
      <c r="E69" s="991"/>
      <c r="F69" s="1108">
        <v>-185</v>
      </c>
      <c r="G69" s="1108">
        <v>1548</v>
      </c>
      <c r="H69" s="1108">
        <v>349</v>
      </c>
      <c r="I69" s="1130">
        <v>761</v>
      </c>
      <c r="J69" s="1108">
        <v>357</v>
      </c>
      <c r="K69" s="1108">
        <v>820</v>
      </c>
      <c r="L69" s="1108">
        <v>459</v>
      </c>
      <c r="M69" s="1130">
        <v>48</v>
      </c>
      <c r="N69" s="1108">
        <v>543</v>
      </c>
      <c r="O69" s="1108">
        <v>493</v>
      </c>
      <c r="P69" s="1108">
        <v>699</v>
      </c>
      <c r="Q69" s="1130">
        <v>397</v>
      </c>
      <c r="R69" s="1108">
        <v>1761</v>
      </c>
      <c r="S69" s="1108">
        <v>807</v>
      </c>
      <c r="T69" s="421">
        <v>-2981</v>
      </c>
      <c r="U69" s="1108">
        <v>-405</v>
      </c>
      <c r="V69" s="1131">
        <v>2915</v>
      </c>
      <c r="W69" s="1108">
        <v>-373</v>
      </c>
      <c r="X69" s="1108">
        <v>-659</v>
      </c>
      <c r="Y69" s="1108">
        <v>-262</v>
      </c>
      <c r="Z69" s="1131">
        <v>-115</v>
      </c>
      <c r="AA69" s="1108">
        <v>-132</v>
      </c>
      <c r="AB69" s="1108">
        <v>-255</v>
      </c>
      <c r="AC69" s="1108">
        <v>-45</v>
      </c>
      <c r="AD69" s="1132">
        <v>-388</v>
      </c>
      <c r="AE69" s="1108">
        <v>-274</v>
      </c>
      <c r="AF69" s="1130">
        <v>-218</v>
      </c>
      <c r="AG69" s="1130">
        <v>-343</v>
      </c>
      <c r="AH69" s="1109">
        <v>5363</v>
      </c>
      <c r="AI69" s="992"/>
      <c r="AJ69" s="992"/>
      <c r="AK69" s="952"/>
      <c r="AL69" s="992"/>
      <c r="AM69" s="952"/>
      <c r="AN69" s="952"/>
      <c r="AO69" s="992"/>
      <c r="AP69" s="991"/>
      <c r="AQ69" s="1050">
        <v>2658</v>
      </c>
      <c r="AR69" s="1005">
        <v>1327</v>
      </c>
      <c r="AS69" s="1135">
        <v>789</v>
      </c>
      <c r="AT69" s="1000">
        <v>0.46852731591448932</v>
      </c>
      <c r="AU69" s="992"/>
      <c r="AV69" s="1112">
        <v>2473</v>
      </c>
      <c r="AW69" s="1112">
        <v>1684</v>
      </c>
      <c r="AX69" s="751">
        <v>2132</v>
      </c>
      <c r="AY69" s="751">
        <v>-818</v>
      </c>
      <c r="AZ69" s="1211">
        <v>12833</v>
      </c>
      <c r="BA69" s="1211">
        <v>12778</v>
      </c>
      <c r="BB69" s="1211">
        <v>8388</v>
      </c>
      <c r="BC69" s="1023">
        <v>-8100</v>
      </c>
      <c r="BD69" s="1117">
        <v>-524</v>
      </c>
      <c r="BE69" s="1025">
        <v>4647</v>
      </c>
      <c r="BF69" s="1089"/>
      <c r="BG69" s="1089"/>
      <c r="BH69" s="962"/>
    </row>
    <row r="70" spans="1:60" ht="12.75" customHeight="1" x14ac:dyDescent="0.2">
      <c r="A70" s="996"/>
      <c r="B70" s="7" t="s">
        <v>67</v>
      </c>
      <c r="C70" s="1106">
        <v>-190</v>
      </c>
      <c r="D70" s="1207">
        <v>-0.13798111837327523</v>
      </c>
      <c r="E70" s="991"/>
      <c r="F70" s="1108">
        <v>1187</v>
      </c>
      <c r="G70" s="1137">
        <v>1606</v>
      </c>
      <c r="H70" s="1022">
        <v>1106</v>
      </c>
      <c r="I70" s="1130">
        <v>1329</v>
      </c>
      <c r="J70" s="1108">
        <v>1377</v>
      </c>
      <c r="K70" s="1137">
        <v>1543</v>
      </c>
      <c r="L70" s="1022">
        <v>1807</v>
      </c>
      <c r="M70" s="1130">
        <v>1836</v>
      </c>
      <c r="N70" s="1108">
        <v>1527</v>
      </c>
      <c r="O70" s="1108">
        <v>2091</v>
      </c>
      <c r="P70" s="1108">
        <v>1284</v>
      </c>
      <c r="Q70" s="1130">
        <v>2356</v>
      </c>
      <c r="R70" s="1108">
        <v>2272</v>
      </c>
      <c r="S70" s="1108">
        <v>2019</v>
      </c>
      <c r="T70" s="1108">
        <v>1807</v>
      </c>
      <c r="U70" s="1108">
        <v>1740</v>
      </c>
      <c r="V70" s="1131">
        <v>143</v>
      </c>
      <c r="W70" s="1137">
        <v>99</v>
      </c>
      <c r="X70" s="1137">
        <v>137</v>
      </c>
      <c r="Y70" s="1108">
        <v>46</v>
      </c>
      <c r="Z70" s="1131">
        <v>102</v>
      </c>
      <c r="AA70" s="1138">
        <v>0</v>
      </c>
      <c r="AB70" s="1138">
        <v>0</v>
      </c>
      <c r="AC70" s="1108">
        <v>37</v>
      </c>
      <c r="AD70" s="1132">
        <v>50</v>
      </c>
      <c r="AE70" s="1108">
        <v>93</v>
      </c>
      <c r="AF70" s="1130">
        <v>168</v>
      </c>
      <c r="AG70" s="1130">
        <v>178</v>
      </c>
      <c r="AH70" s="1109">
        <v>-3063</v>
      </c>
      <c r="AI70" s="992">
        <v>42952</v>
      </c>
      <c r="AJ70" s="992">
        <v>39210</v>
      </c>
      <c r="AK70" s="952">
        <v>62549</v>
      </c>
      <c r="AL70" s="992">
        <v>57382</v>
      </c>
      <c r="AM70" s="952">
        <v>48897</v>
      </c>
      <c r="AN70" s="952">
        <v>38533</v>
      </c>
      <c r="AO70" s="992">
        <v>42750</v>
      </c>
      <c r="AP70" s="991"/>
      <c r="AQ70" s="1050">
        <v>4041</v>
      </c>
      <c r="AR70" s="1005">
        <v>5186</v>
      </c>
      <c r="AS70" s="1135">
        <v>-1335</v>
      </c>
      <c r="AT70" s="1000">
        <v>-0.20341307328965413</v>
      </c>
      <c r="AU70" s="992"/>
      <c r="AV70" s="1112">
        <v>5228</v>
      </c>
      <c r="AW70" s="1112">
        <v>6563</v>
      </c>
      <c r="AX70" s="1112">
        <v>7258</v>
      </c>
      <c r="AY70" s="1112">
        <v>7838</v>
      </c>
      <c r="AZ70" s="1211">
        <v>5809</v>
      </c>
      <c r="BA70" s="1211">
        <v>2053</v>
      </c>
      <c r="BB70" s="1211">
        <v>1310</v>
      </c>
      <c r="BC70" s="1023">
        <v>942</v>
      </c>
      <c r="BD70" s="1117">
        <v>543</v>
      </c>
      <c r="BE70" s="1025">
        <v>236</v>
      </c>
      <c r="BF70" s="1089"/>
      <c r="BG70" s="1089"/>
      <c r="BH70" s="962"/>
    </row>
    <row r="71" spans="1:60" ht="12.75" customHeight="1" x14ac:dyDescent="0.2">
      <c r="A71" s="1100"/>
      <c r="B71" s="7" t="s">
        <v>68</v>
      </c>
      <c r="C71" s="1106">
        <v>29</v>
      </c>
      <c r="D71" s="1107">
        <v>0.8529411764705882</v>
      </c>
      <c r="E71" s="1139"/>
      <c r="F71" s="1108">
        <v>63</v>
      </c>
      <c r="G71" s="1137">
        <v>36</v>
      </c>
      <c r="H71" s="1002">
        <v>35</v>
      </c>
      <c r="I71" s="1130">
        <v>35</v>
      </c>
      <c r="J71" s="1108">
        <v>34</v>
      </c>
      <c r="K71" s="1137">
        <v>26</v>
      </c>
      <c r="L71" s="1002">
        <v>39</v>
      </c>
      <c r="M71" s="1130">
        <v>19</v>
      </c>
      <c r="N71" s="1108">
        <v>444</v>
      </c>
      <c r="O71" s="1108">
        <v>86</v>
      </c>
      <c r="P71" s="1108">
        <v>34</v>
      </c>
      <c r="Q71" s="1130">
        <v>36</v>
      </c>
      <c r="R71" s="1108">
        <v>60</v>
      </c>
      <c r="S71" s="1108">
        <v>31</v>
      </c>
      <c r="T71" s="1108">
        <v>62</v>
      </c>
      <c r="U71" s="1108">
        <v>166</v>
      </c>
      <c r="V71" s="1131">
        <v>52</v>
      </c>
      <c r="W71" s="1137">
        <v>74</v>
      </c>
      <c r="X71" s="1141">
        <v>72</v>
      </c>
      <c r="Y71" s="1004">
        <v>45</v>
      </c>
      <c r="Z71" s="1131">
        <v>1</v>
      </c>
      <c r="AA71" s="1138">
        <v>0</v>
      </c>
      <c r="AB71" s="1142">
        <v>0</v>
      </c>
      <c r="AC71" s="1004">
        <v>414</v>
      </c>
      <c r="AD71" s="1047">
        <v>0</v>
      </c>
      <c r="AE71" s="1004">
        <v>1</v>
      </c>
      <c r="AF71" s="1143">
        <v>0</v>
      </c>
      <c r="AG71" s="1140">
        <v>1</v>
      </c>
      <c r="AH71" s="1123">
        <v>60</v>
      </c>
      <c r="AI71" s="958"/>
      <c r="AJ71" s="958"/>
      <c r="AK71" s="958"/>
      <c r="AL71" s="958"/>
      <c r="AM71" s="958"/>
      <c r="AN71" s="958"/>
      <c r="AO71" s="958"/>
      <c r="AP71" s="991"/>
      <c r="AQ71" s="1050">
        <v>106</v>
      </c>
      <c r="AR71" s="1005">
        <v>84</v>
      </c>
      <c r="AS71" s="1135">
        <v>51</v>
      </c>
      <c r="AT71" s="1116">
        <v>0.43220338983050849</v>
      </c>
      <c r="AU71" s="996"/>
      <c r="AV71" s="1112">
        <v>169</v>
      </c>
      <c r="AW71" s="1112">
        <v>118</v>
      </c>
      <c r="AX71" s="1112">
        <v>600</v>
      </c>
      <c r="AY71" s="1112">
        <v>319</v>
      </c>
      <c r="AZ71" s="1214">
        <v>242</v>
      </c>
      <c r="BA71" s="1214">
        <v>417</v>
      </c>
      <c r="BB71" s="1214">
        <v>4</v>
      </c>
      <c r="BC71" s="1118">
        <v>333</v>
      </c>
      <c r="BD71" s="1119">
        <v>294</v>
      </c>
      <c r="BE71" s="1120">
        <v>118</v>
      </c>
      <c r="BF71" s="1089"/>
      <c r="BG71" s="1089"/>
      <c r="BH71" s="962"/>
    </row>
    <row r="72" spans="1:60" ht="12.75" customHeight="1" x14ac:dyDescent="0.2">
      <c r="A72" s="1100"/>
      <c r="B72" s="7"/>
      <c r="C72" s="1144">
        <v>5235</v>
      </c>
      <c r="D72" s="1145">
        <v>0.12158301786004598</v>
      </c>
      <c r="E72" s="957"/>
      <c r="F72" s="1146">
        <v>48292</v>
      </c>
      <c r="G72" s="1146">
        <v>29192</v>
      </c>
      <c r="H72" s="1146">
        <v>68913</v>
      </c>
      <c r="I72" s="1147">
        <v>58188</v>
      </c>
      <c r="J72" s="1146">
        <v>43057</v>
      </c>
      <c r="K72" s="1146">
        <v>41283</v>
      </c>
      <c r="L72" s="1146">
        <v>31264</v>
      </c>
      <c r="M72" s="1147">
        <v>32910</v>
      </c>
      <c r="N72" s="1146">
        <v>56814</v>
      </c>
      <c r="O72" s="1146">
        <v>76454</v>
      </c>
      <c r="P72" s="1146">
        <v>35445</v>
      </c>
      <c r="Q72" s="1147">
        <v>35624</v>
      </c>
      <c r="R72" s="1146">
        <v>71006</v>
      </c>
      <c r="S72" s="1146">
        <v>56942</v>
      </c>
      <c r="T72" s="1146">
        <v>42491</v>
      </c>
      <c r="U72" s="1146">
        <v>61867</v>
      </c>
      <c r="V72" s="1148">
        <v>88632</v>
      </c>
      <c r="W72" s="1146">
        <v>109404</v>
      </c>
      <c r="X72" s="1146">
        <v>49909</v>
      </c>
      <c r="Y72" s="1146">
        <v>53057</v>
      </c>
      <c r="Z72" s="1148">
        <v>32806</v>
      </c>
      <c r="AA72" s="1146">
        <v>57181</v>
      </c>
      <c r="AB72" s="1146">
        <v>27314</v>
      </c>
      <c r="AC72" s="1146">
        <v>30054</v>
      </c>
      <c r="AD72" s="1148">
        <v>25033</v>
      </c>
      <c r="AE72" s="1146">
        <v>12639</v>
      </c>
      <c r="AF72" s="1147">
        <v>23461</v>
      </c>
      <c r="AG72" s="1147">
        <v>34352</v>
      </c>
      <c r="AH72" s="1147">
        <v>31944</v>
      </c>
      <c r="AI72" s="948"/>
      <c r="AJ72" s="948"/>
      <c r="AK72" s="948"/>
      <c r="AL72" s="948"/>
      <c r="AM72" s="948"/>
      <c r="AN72" s="948"/>
      <c r="AO72" s="948"/>
      <c r="AP72" s="957"/>
      <c r="AQ72" s="1148">
        <v>156293</v>
      </c>
      <c r="AR72" s="1146">
        <v>105457</v>
      </c>
      <c r="AS72" s="1149">
        <v>56071</v>
      </c>
      <c r="AT72" s="1150">
        <v>0.37754689793554819</v>
      </c>
      <c r="AV72" s="1151">
        <v>204585</v>
      </c>
      <c r="AW72" s="1151">
        <v>148514</v>
      </c>
      <c r="AX72" s="1151">
        <v>204337</v>
      </c>
      <c r="AY72" s="1151">
        <v>232306</v>
      </c>
      <c r="AZ72" s="1151">
        <v>338520</v>
      </c>
      <c r="BA72" s="1151">
        <v>177581</v>
      </c>
      <c r="BB72" s="1152">
        <v>122850</v>
      </c>
      <c r="BC72" s="1152">
        <v>176655</v>
      </c>
      <c r="BD72" s="1152">
        <v>187562</v>
      </c>
      <c r="BE72" s="1152">
        <v>150470</v>
      </c>
      <c r="BF72" s="1089"/>
      <c r="BG72" s="1089"/>
    </row>
    <row r="73" spans="1:60" ht="12.75" customHeight="1" x14ac:dyDescent="0.2">
      <c r="A73" s="1100"/>
      <c r="B73" s="7"/>
      <c r="C73" s="1121"/>
      <c r="D73" s="1153"/>
      <c r="E73" s="957"/>
      <c r="F73" s="1154"/>
      <c r="G73" s="1155"/>
      <c r="H73" s="1155"/>
      <c r="I73" s="1123"/>
      <c r="J73" s="1154"/>
      <c r="K73" s="1155"/>
      <c r="L73" s="1155"/>
      <c r="M73" s="1123"/>
      <c r="N73" s="1154"/>
      <c r="O73" s="1155"/>
      <c r="P73" s="1155"/>
      <c r="Q73" s="1123"/>
      <c r="R73" s="1154"/>
      <c r="S73" s="1146"/>
      <c r="T73" s="1155"/>
      <c r="U73" s="1155"/>
      <c r="V73" s="1156"/>
      <c r="W73" s="1155"/>
      <c r="X73" s="1155"/>
      <c r="Y73" s="1155"/>
      <c r="Z73" s="1156"/>
      <c r="AA73" s="1155"/>
      <c r="AB73" s="1155"/>
      <c r="AC73" s="1155"/>
      <c r="AD73" s="1154"/>
      <c r="AE73" s="1154"/>
      <c r="AF73" s="1154"/>
      <c r="AG73" s="1154"/>
      <c r="AH73" s="1154"/>
      <c r="AI73" s="948"/>
      <c r="AJ73" s="948"/>
      <c r="AK73" s="948"/>
      <c r="AL73" s="948"/>
      <c r="AM73" s="948"/>
      <c r="AN73" s="948"/>
      <c r="AO73" s="948"/>
      <c r="AP73" s="957"/>
      <c r="AQ73" s="1156"/>
      <c r="AR73" s="1155"/>
      <c r="AS73" s="1157"/>
      <c r="AT73" s="1158"/>
      <c r="AV73" s="1159"/>
      <c r="AW73" s="1159"/>
      <c r="AX73" s="1159"/>
      <c r="AY73" s="1159"/>
      <c r="AZ73" s="1159"/>
      <c r="BA73" s="1159"/>
      <c r="BB73" s="1160"/>
      <c r="BC73" s="1160"/>
      <c r="BD73" s="1160"/>
      <c r="BE73" s="1006"/>
      <c r="BF73" s="1089"/>
      <c r="BG73" s="1089"/>
    </row>
    <row r="74" spans="1:60" ht="12.75" customHeight="1" x14ac:dyDescent="0.2">
      <c r="A74" s="952"/>
      <c r="B74" s="7" t="s">
        <v>400</v>
      </c>
      <c r="C74" s="1161">
        <v>1617</v>
      </c>
      <c r="D74" s="1162">
        <v>0.58019375672766416</v>
      </c>
      <c r="E74" s="1163"/>
      <c r="F74" s="1164">
        <v>-1170</v>
      </c>
      <c r="G74" s="1164">
        <v>-2682</v>
      </c>
      <c r="H74" s="1164">
        <v>-2420</v>
      </c>
      <c r="I74" s="403">
        <v>-1205</v>
      </c>
      <c r="J74" s="1164">
        <v>-2787</v>
      </c>
      <c r="K74" s="1164">
        <v>-1885</v>
      </c>
      <c r="L74" s="1164">
        <v>-3642</v>
      </c>
      <c r="M74" s="403">
        <v>-1755</v>
      </c>
      <c r="N74" s="1164">
        <v>-4119</v>
      </c>
      <c r="O74" s="1164">
        <v>-2879</v>
      </c>
      <c r="P74" s="1164">
        <v>-1301</v>
      </c>
      <c r="Q74" s="1165">
        <v>-3367</v>
      </c>
      <c r="R74" s="1164">
        <v>-218</v>
      </c>
      <c r="S74" s="1164">
        <v>-4844</v>
      </c>
      <c r="T74" s="1164">
        <v>-6322</v>
      </c>
      <c r="U74" s="1165">
        <v>-10795</v>
      </c>
      <c r="V74" s="1166">
        <v>-9261</v>
      </c>
      <c r="W74" s="1167">
        <v>-1134</v>
      </c>
      <c r="X74" s="1167">
        <v>-5070</v>
      </c>
      <c r="Y74" s="1168">
        <v>-6918</v>
      </c>
      <c r="Z74" s="1169" t="s">
        <v>186</v>
      </c>
      <c r="AA74" s="1170" t="s">
        <v>186</v>
      </c>
      <c r="AB74" s="1171" t="s">
        <v>186</v>
      </c>
      <c r="AC74" s="1171" t="s">
        <v>186</v>
      </c>
      <c r="AD74" s="1172"/>
      <c r="AE74" s="1172"/>
      <c r="AF74" s="1172"/>
      <c r="AG74" s="1172"/>
      <c r="AH74" s="1172"/>
      <c r="AI74" s="1173"/>
      <c r="AJ74" s="1173"/>
      <c r="AK74" s="1173"/>
      <c r="AL74" s="1173"/>
      <c r="AM74" s="1173"/>
      <c r="AN74" s="1173"/>
      <c r="AO74" s="1173"/>
      <c r="AP74" s="1174"/>
      <c r="AQ74" s="651">
        <v>-6307</v>
      </c>
      <c r="AR74" s="537">
        <v>-7282</v>
      </c>
      <c r="AS74" s="537">
        <v>2592</v>
      </c>
      <c r="AT74" s="1175">
        <v>0.25742377594597277</v>
      </c>
      <c r="AU74" s="1176"/>
      <c r="AV74" s="644">
        <v>-7477</v>
      </c>
      <c r="AW74" s="644">
        <v>-10069</v>
      </c>
      <c r="AX74" s="644">
        <v>-11666</v>
      </c>
      <c r="AY74" s="644">
        <v>-22179</v>
      </c>
      <c r="AZ74" s="644">
        <v>-22383</v>
      </c>
      <c r="BA74" s="644" t="s">
        <v>186</v>
      </c>
      <c r="BB74" s="1177" t="s">
        <v>186</v>
      </c>
      <c r="BC74" s="644" t="s">
        <v>186</v>
      </c>
      <c r="BD74" s="644" t="s">
        <v>186</v>
      </c>
      <c r="BE74" s="1178"/>
      <c r="BF74" s="1179"/>
      <c r="BG74" s="1179"/>
      <c r="BH74" s="1180"/>
    </row>
    <row r="75" spans="1:60" x14ac:dyDescent="0.2">
      <c r="G75" s="1181"/>
      <c r="H75" s="1181"/>
      <c r="I75" s="1036"/>
      <c r="K75" s="1181"/>
      <c r="L75" s="1181"/>
      <c r="M75" s="1036"/>
      <c r="O75" s="1181"/>
      <c r="P75" s="1181"/>
      <c r="Q75" s="1036"/>
      <c r="T75" s="1181"/>
      <c r="U75" s="1036"/>
      <c r="Y75" s="1036"/>
      <c r="AC75" s="1036"/>
      <c r="AG75" s="1036"/>
      <c r="AO75" s="1036"/>
      <c r="AP75" s="943"/>
      <c r="AQ75" s="943"/>
      <c r="AR75" s="943"/>
      <c r="BC75" s="1036"/>
      <c r="BD75" s="1036"/>
    </row>
    <row r="76" spans="1:60" x14ac:dyDescent="0.2">
      <c r="A76" s="7" t="s">
        <v>439</v>
      </c>
      <c r="F76" s="1036"/>
      <c r="G76" s="1036"/>
      <c r="H76" s="1036"/>
      <c r="I76" s="1036"/>
      <c r="J76" s="1036"/>
      <c r="K76" s="1036"/>
      <c r="L76" s="1036"/>
      <c r="M76" s="1036"/>
      <c r="N76" s="1036"/>
      <c r="O76" s="1036"/>
      <c r="P76" s="1036"/>
      <c r="Q76" s="1036"/>
      <c r="R76" s="1036"/>
      <c r="S76" s="1036"/>
      <c r="T76" s="1036"/>
      <c r="U76" s="1036"/>
      <c r="V76" s="1036"/>
      <c r="W76" s="1036"/>
      <c r="X76" s="1036"/>
      <c r="Y76" s="1036"/>
      <c r="Z76" s="1036"/>
      <c r="AA76" s="1036"/>
      <c r="AB76" s="1036"/>
      <c r="AC76" s="1036"/>
      <c r="AD76" s="1036"/>
      <c r="AE76" s="1036"/>
      <c r="AF76" s="1036"/>
      <c r="AG76" s="1036"/>
      <c r="AH76" s="1036"/>
      <c r="AI76" s="1036"/>
      <c r="AJ76" s="1036"/>
      <c r="AK76" s="1036"/>
      <c r="AL76" s="1036"/>
      <c r="AM76" s="1036"/>
      <c r="AN76" s="1036"/>
      <c r="AO76" s="1036"/>
      <c r="AP76" s="1036"/>
      <c r="AQ76" s="1036"/>
      <c r="AR76" s="1036"/>
      <c r="AS76" s="1010"/>
      <c r="AT76" s="1010"/>
      <c r="AU76" s="1036"/>
      <c r="AV76" s="1036"/>
      <c r="AW76" s="1036"/>
      <c r="AX76" s="1036"/>
      <c r="AY76" s="1036"/>
      <c r="AZ76" s="1036"/>
      <c r="BA76" s="1036"/>
      <c r="BB76" s="1036"/>
      <c r="BC76" s="1036"/>
      <c r="BD76" s="1036"/>
      <c r="BE76" s="1036"/>
    </row>
    <row r="77" spans="1:60" x14ac:dyDescent="0.2">
      <c r="A77" s="1" t="s">
        <v>29</v>
      </c>
      <c r="F77" s="944"/>
      <c r="G77" s="944"/>
      <c r="H77" s="944"/>
      <c r="I77" s="944"/>
      <c r="J77" s="944"/>
      <c r="K77" s="944"/>
      <c r="L77" s="944"/>
      <c r="M77" s="944"/>
      <c r="N77" s="944"/>
      <c r="O77" s="944"/>
      <c r="P77" s="944"/>
      <c r="Q77" s="944"/>
      <c r="R77" s="944"/>
      <c r="S77" s="944"/>
      <c r="T77" s="944"/>
      <c r="U77" s="944"/>
      <c r="V77" s="944"/>
      <c r="W77" s="944"/>
      <c r="X77" s="944"/>
      <c r="Y77" s="944"/>
      <c r="Z77" s="944"/>
      <c r="AA77" s="944"/>
      <c r="AB77" s="944"/>
      <c r="AC77" s="944"/>
      <c r="AD77" s="944"/>
      <c r="AE77" s="944"/>
      <c r="AF77" s="944"/>
      <c r="AG77" s="944"/>
      <c r="AH77" s="944"/>
      <c r="AI77" s="944"/>
      <c r="AJ77" s="944"/>
      <c r="AK77" s="944"/>
      <c r="AL77" s="944"/>
      <c r="AM77" s="944"/>
      <c r="AN77" s="944"/>
      <c r="AO77" s="944"/>
      <c r="AP77" s="944"/>
      <c r="AQ77" s="944"/>
      <c r="AR77" s="944"/>
      <c r="AS77" s="944"/>
      <c r="AT77" s="944"/>
      <c r="AU77" s="944"/>
      <c r="AV77" s="944"/>
      <c r="AW77" s="944"/>
      <c r="AX77" s="944"/>
      <c r="AY77" s="944"/>
      <c r="AZ77" s="944"/>
      <c r="BA77" s="944"/>
      <c r="BB77" s="944"/>
      <c r="BC77" s="944"/>
      <c r="BD77" s="944"/>
      <c r="BE77" s="944"/>
      <c r="BF77" s="944"/>
      <c r="BG77" s="944"/>
      <c r="BH77" s="944">
        <v>0</v>
      </c>
    </row>
    <row r="78" spans="1:60" x14ac:dyDescent="0.2">
      <c r="A78" s="2"/>
      <c r="G78" s="944"/>
      <c r="H78" s="944"/>
      <c r="I78" s="944"/>
      <c r="K78" s="944"/>
      <c r="L78" s="944"/>
      <c r="M78" s="944"/>
      <c r="O78" s="944"/>
      <c r="P78" s="944"/>
      <c r="Q78" s="944"/>
      <c r="T78" s="944"/>
      <c r="U78" s="944"/>
      <c r="Y78" s="944"/>
      <c r="AC78" s="944"/>
      <c r="AD78" s="944"/>
      <c r="AE78" s="944"/>
      <c r="AF78" s="944"/>
      <c r="AG78" s="944"/>
      <c r="AH78" s="944"/>
      <c r="AI78" s="944"/>
      <c r="AJ78" s="944"/>
      <c r="AK78" s="944"/>
      <c r="AL78" s="944"/>
      <c r="AM78" s="944"/>
      <c r="AN78" s="944"/>
      <c r="AO78" s="944"/>
      <c r="AP78" s="944"/>
      <c r="AQ78" s="944"/>
      <c r="AR78" s="944"/>
      <c r="AS78" s="1182"/>
      <c r="AT78" s="1182"/>
      <c r="AU78" s="944"/>
      <c r="AV78" s="944"/>
      <c r="AW78" s="944"/>
      <c r="AX78" s="944"/>
      <c r="AY78" s="944"/>
      <c r="AZ78" s="944"/>
      <c r="BA78" s="944"/>
      <c r="BB78" s="944"/>
      <c r="BC78" s="944"/>
      <c r="BD78" s="1183"/>
      <c r="BE78" s="1183"/>
    </row>
    <row r="79" spans="1:60" x14ac:dyDescent="0.2">
      <c r="A79" s="7" t="s">
        <v>339</v>
      </c>
      <c r="F79" s="944"/>
      <c r="G79" s="944"/>
      <c r="H79" s="944"/>
      <c r="I79" s="944"/>
      <c r="J79" s="944"/>
      <c r="K79" s="944"/>
      <c r="L79" s="944"/>
      <c r="M79" s="944"/>
      <c r="N79" s="944"/>
      <c r="O79" s="944"/>
      <c r="P79" s="944"/>
      <c r="Q79" s="944"/>
      <c r="R79" s="944"/>
      <c r="S79" s="944"/>
      <c r="T79" s="944"/>
      <c r="U79" s="944"/>
      <c r="V79" s="944"/>
      <c r="W79" s="944"/>
      <c r="X79" s="944"/>
      <c r="Y79" s="944"/>
      <c r="Z79" s="944"/>
      <c r="AA79" s="944"/>
      <c r="AB79" s="944"/>
      <c r="AC79" s="944"/>
      <c r="AD79" s="944"/>
      <c r="AE79" s="944"/>
      <c r="AF79" s="944"/>
      <c r="AG79" s="944"/>
      <c r="AH79" s="944"/>
      <c r="AI79" s="944"/>
      <c r="AJ79" s="944"/>
      <c r="AK79" s="944"/>
      <c r="AL79" s="944"/>
      <c r="AM79" s="944"/>
      <c r="AN79" s="944"/>
      <c r="AO79" s="944"/>
      <c r="AP79" s="944"/>
      <c r="AQ79" s="944"/>
      <c r="AR79" s="944"/>
      <c r="AS79" s="1182"/>
      <c r="AT79" s="1182"/>
      <c r="AU79" s="944"/>
      <c r="AV79" s="944"/>
      <c r="AW79" s="944"/>
      <c r="AX79" s="944"/>
      <c r="AY79" s="944"/>
      <c r="AZ79" s="944"/>
      <c r="BA79" s="944"/>
      <c r="BB79" s="944"/>
      <c r="BC79" s="944"/>
      <c r="BD79" s="944"/>
      <c r="BE79" s="944"/>
    </row>
    <row r="80" spans="1:60" x14ac:dyDescent="0.2">
      <c r="F80" s="944"/>
      <c r="G80" s="944"/>
      <c r="H80" s="944"/>
      <c r="I80" s="944"/>
      <c r="J80" s="944"/>
      <c r="K80" s="944"/>
      <c r="L80" s="944"/>
      <c r="M80" s="944"/>
      <c r="N80" s="944"/>
      <c r="O80" s="944"/>
      <c r="P80" s="944"/>
      <c r="Q80" s="944"/>
      <c r="R80" s="944"/>
      <c r="S80" s="944"/>
      <c r="T80" s="944"/>
      <c r="U80" s="944"/>
      <c r="V80" s="944"/>
      <c r="W80" s="944"/>
      <c r="X80" s="944"/>
      <c r="Y80" s="944"/>
      <c r="Z80" s="944"/>
      <c r="AA80" s="944"/>
      <c r="AB80" s="944"/>
      <c r="AC80" s="944"/>
      <c r="AD80" s="944"/>
      <c r="AE80" s="944"/>
      <c r="AF80" s="944"/>
      <c r="AG80" s="944"/>
      <c r="AH80" s="944"/>
      <c r="AI80" s="944"/>
      <c r="AJ80" s="944"/>
      <c r="AK80" s="944"/>
      <c r="AL80" s="944"/>
      <c r="AM80" s="944"/>
      <c r="AN80" s="944"/>
      <c r="AO80" s="944"/>
      <c r="AP80" s="944"/>
      <c r="AQ80" s="944"/>
      <c r="AR80" s="944"/>
      <c r="AS80" s="1182"/>
      <c r="AT80" s="1182"/>
      <c r="AU80" s="944"/>
      <c r="AV80" s="944"/>
      <c r="AW80" s="944"/>
      <c r="AX80" s="944"/>
      <c r="AY80" s="944"/>
      <c r="AZ80" s="944"/>
      <c r="BA80" s="944"/>
      <c r="BB80" s="944"/>
      <c r="BC80" s="944"/>
      <c r="BD80" s="944"/>
      <c r="BE80" s="944"/>
    </row>
    <row r="81" spans="1:57" x14ac:dyDescent="0.2">
      <c r="A81" s="943"/>
      <c r="B81" s="943"/>
      <c r="C81" s="943"/>
      <c r="D81" s="943"/>
      <c r="F81" s="1007"/>
      <c r="G81" s="1007"/>
      <c r="H81" s="1007"/>
      <c r="I81" s="1007"/>
      <c r="J81" s="1007"/>
      <c r="K81" s="1007"/>
      <c r="L81" s="1007"/>
      <c r="M81" s="1007"/>
      <c r="N81" s="1007"/>
      <c r="O81" s="1007"/>
      <c r="P81" s="1007"/>
      <c r="Q81" s="1007"/>
      <c r="R81" s="1007"/>
      <c r="S81" s="1007"/>
      <c r="T81" s="1007"/>
      <c r="U81" s="1007"/>
      <c r="V81" s="1007"/>
      <c r="W81" s="1007"/>
      <c r="X81" s="1007"/>
      <c r="Y81" s="1007"/>
      <c r="Z81" s="1007"/>
      <c r="AA81" s="1007"/>
      <c r="AB81" s="1007"/>
      <c r="AC81" s="1007"/>
      <c r="AD81" s="1007"/>
      <c r="AE81" s="1007"/>
      <c r="AF81" s="1007"/>
      <c r="AG81" s="1007"/>
      <c r="AH81" s="1007"/>
      <c r="AI81" s="1007"/>
      <c r="AJ81" s="1007"/>
      <c r="AK81" s="1007"/>
      <c r="AL81" s="1007"/>
      <c r="AM81" s="1007"/>
      <c r="AN81" s="1007"/>
      <c r="AO81" s="1007"/>
      <c r="AP81" s="1007"/>
      <c r="AQ81" s="1007"/>
      <c r="AR81" s="1007"/>
      <c r="AS81" s="1184"/>
      <c r="AT81" s="1184"/>
      <c r="AU81" s="1007"/>
      <c r="AV81" s="1007"/>
      <c r="AW81" s="1007"/>
      <c r="AX81" s="1007"/>
      <c r="AY81" s="1007"/>
      <c r="AZ81" s="1007"/>
      <c r="BA81" s="1007"/>
      <c r="BB81" s="1007"/>
      <c r="BC81" s="1007"/>
      <c r="BD81" s="1007"/>
      <c r="BE81" s="1007"/>
    </row>
    <row r="82" spans="1:57" x14ac:dyDescent="0.2">
      <c r="AG82" s="943"/>
      <c r="AH82" s="943"/>
      <c r="AI82" s="943"/>
      <c r="AJ82" s="943"/>
      <c r="AK82" s="943"/>
      <c r="AL82" s="943"/>
      <c r="AM82" s="943"/>
      <c r="AN82" s="943"/>
      <c r="AO82" s="943"/>
      <c r="AP82" s="943"/>
      <c r="AQ82" s="943"/>
      <c r="AR82" s="943"/>
      <c r="AS82" s="950"/>
      <c r="AT82" s="950"/>
      <c r="AU82" s="943"/>
      <c r="AV82" s="943"/>
      <c r="AW82" s="943"/>
      <c r="AX82" s="943"/>
      <c r="AY82" s="943"/>
      <c r="AZ82" s="943"/>
      <c r="BA82" s="943"/>
      <c r="BB82" s="943"/>
      <c r="BC82" s="943"/>
      <c r="BD82" s="943"/>
      <c r="BE82" s="943"/>
    </row>
    <row r="83" spans="1:57" x14ac:dyDescent="0.2">
      <c r="F83" s="944"/>
      <c r="G83" s="944"/>
      <c r="H83" s="944"/>
      <c r="I83" s="944"/>
      <c r="J83" s="944"/>
      <c r="K83" s="944"/>
      <c r="L83" s="944"/>
      <c r="M83" s="944"/>
      <c r="N83" s="944"/>
      <c r="O83" s="944"/>
      <c r="P83" s="944"/>
      <c r="Q83" s="944"/>
      <c r="R83" s="944"/>
      <c r="S83" s="944"/>
      <c r="T83" s="944"/>
      <c r="U83" s="944"/>
      <c r="V83" s="944"/>
      <c r="W83" s="944"/>
      <c r="X83" s="944"/>
      <c r="Y83" s="944"/>
      <c r="Z83" s="944"/>
      <c r="AA83" s="944"/>
      <c r="AB83" s="944"/>
      <c r="AC83" s="944"/>
      <c r="AD83" s="944"/>
      <c r="AE83" s="944"/>
      <c r="AF83" s="944"/>
      <c r="AG83" s="944"/>
      <c r="AH83" s="944"/>
      <c r="AI83" s="944"/>
      <c r="AJ83" s="944"/>
      <c r="AK83" s="944"/>
      <c r="AL83" s="944"/>
      <c r="AM83" s="944"/>
      <c r="AN83" s="944"/>
      <c r="AO83" s="944"/>
      <c r="AP83" s="944"/>
      <c r="AQ83" s="944"/>
      <c r="AR83" s="944"/>
      <c r="AS83" s="1182"/>
      <c r="AT83" s="1182"/>
      <c r="AU83" s="944"/>
      <c r="AV83" s="944"/>
      <c r="AW83" s="944"/>
      <c r="AX83" s="944"/>
      <c r="AY83" s="944"/>
      <c r="AZ83" s="944"/>
      <c r="BA83" s="944"/>
      <c r="BB83" s="944"/>
      <c r="BC83" s="944"/>
      <c r="BD83" s="944"/>
      <c r="BE83" s="944"/>
    </row>
    <row r="84" spans="1:57" x14ac:dyDescent="0.2">
      <c r="AG84" s="1185"/>
      <c r="AO84" s="1185"/>
      <c r="AP84" s="943"/>
      <c r="AQ84" s="943"/>
      <c r="AR84" s="943"/>
      <c r="BC84" s="948"/>
      <c r="BD84" s="948"/>
    </row>
    <row r="85" spans="1:57" x14ac:dyDescent="0.2">
      <c r="AG85" s="948"/>
      <c r="AO85" s="1186"/>
      <c r="AP85" s="943"/>
      <c r="AQ85" s="943"/>
      <c r="AR85" s="943"/>
      <c r="BC85" s="948"/>
      <c r="BD85" s="948"/>
    </row>
    <row r="86" spans="1:57" x14ac:dyDescent="0.2">
      <c r="F86" s="944"/>
      <c r="G86" s="944"/>
      <c r="H86" s="944"/>
      <c r="I86" s="944"/>
      <c r="J86" s="944"/>
      <c r="K86" s="944"/>
      <c r="L86" s="944"/>
      <c r="M86" s="944"/>
      <c r="O86" s="1187"/>
      <c r="AG86" s="948"/>
      <c r="AH86" s="948"/>
      <c r="AK86" s="948"/>
      <c r="AM86" s="948"/>
      <c r="AN86" s="948"/>
      <c r="AO86" s="948"/>
      <c r="AP86" s="943"/>
      <c r="AQ86" s="943"/>
      <c r="AR86" s="943"/>
      <c r="AV86" s="1399"/>
      <c r="AW86" s="1399"/>
      <c r="BC86" s="1188"/>
      <c r="BD86" s="1188"/>
    </row>
    <row r="87" spans="1:57" x14ac:dyDescent="0.2">
      <c r="G87" s="1187"/>
      <c r="K87" s="1187"/>
      <c r="O87" s="1187"/>
      <c r="AG87" s="1188"/>
      <c r="AH87" s="1189"/>
      <c r="AI87" s="1188"/>
      <c r="AJ87" s="1188"/>
      <c r="AK87" s="1188"/>
      <c r="AL87" s="1190"/>
      <c r="AM87" s="1190"/>
      <c r="AN87" s="1191"/>
      <c r="AO87" s="952"/>
      <c r="AP87" s="943"/>
      <c r="AQ87" s="943"/>
      <c r="AR87" s="943"/>
      <c r="BC87" s="1188"/>
      <c r="BD87" s="1188"/>
    </row>
    <row r="88" spans="1:57" x14ac:dyDescent="0.2">
      <c r="AG88" s="1188"/>
      <c r="AH88" s="1188"/>
      <c r="AI88" s="1188"/>
      <c r="AJ88" s="1188"/>
      <c r="AK88" s="1188"/>
      <c r="AL88" s="1192"/>
      <c r="AM88" s="1188"/>
      <c r="AN88" s="1188"/>
      <c r="AO88" s="1188"/>
      <c r="AP88" s="943"/>
      <c r="AQ88" s="943"/>
      <c r="AR88" s="943"/>
      <c r="BC88" s="1094"/>
      <c r="BD88" s="1094"/>
    </row>
    <row r="89" spans="1:57" x14ac:dyDescent="0.2">
      <c r="AG89" s="1094"/>
      <c r="AH89" s="1193"/>
      <c r="AI89" s="1091"/>
      <c r="AJ89" s="1091"/>
      <c r="AK89" s="1091"/>
      <c r="AL89" s="1193"/>
      <c r="AM89" s="1091"/>
      <c r="AN89" s="1091"/>
      <c r="AO89" s="1084"/>
      <c r="AP89" s="943"/>
      <c r="AQ89" s="943"/>
      <c r="AR89" s="943"/>
      <c r="BC89" s="1091"/>
      <c r="BD89" s="1091"/>
    </row>
    <row r="90" spans="1:57" x14ac:dyDescent="0.2">
      <c r="AG90" s="1094"/>
      <c r="AH90" s="1091"/>
      <c r="AI90" s="1091"/>
      <c r="AJ90" s="1091"/>
      <c r="AK90" s="1091"/>
      <c r="AL90" s="1091"/>
      <c r="AM90" s="1091"/>
      <c r="AN90" s="1091"/>
      <c r="AO90" s="1084"/>
      <c r="AP90" s="943"/>
      <c r="AQ90" s="943"/>
      <c r="AR90" s="943"/>
      <c r="BC90" s="1091"/>
      <c r="BD90" s="1091"/>
    </row>
    <row r="91" spans="1:57" x14ac:dyDescent="0.2">
      <c r="AG91" s="1094"/>
      <c r="AH91" s="1091"/>
      <c r="AI91" s="1091"/>
      <c r="AJ91" s="1091"/>
      <c r="AK91" s="1091"/>
      <c r="AL91" s="1091"/>
      <c r="AM91" s="1091"/>
      <c r="AN91" s="1091"/>
      <c r="AO91" s="1084"/>
      <c r="AP91" s="943"/>
      <c r="AQ91" s="943"/>
      <c r="AR91" s="943"/>
      <c r="BC91" s="1091"/>
      <c r="BD91" s="1091"/>
    </row>
    <row r="92" spans="1:57" x14ac:dyDescent="0.2">
      <c r="AG92" s="1091"/>
      <c r="AH92" s="1091"/>
      <c r="AI92" s="1091"/>
      <c r="AJ92" s="1091"/>
      <c r="AK92" s="1091"/>
      <c r="AL92" s="1091"/>
      <c r="AM92" s="1091"/>
      <c r="AN92" s="1091"/>
      <c r="AO92" s="1091"/>
      <c r="AP92" s="943"/>
      <c r="AQ92" s="943"/>
      <c r="AR92" s="943"/>
      <c r="BC92" s="1194"/>
      <c r="BD92" s="1194"/>
    </row>
    <row r="93" spans="1:57" x14ac:dyDescent="0.2">
      <c r="AG93" s="1194"/>
      <c r="AH93" s="1194"/>
      <c r="AI93" s="1194"/>
      <c r="AJ93" s="1194"/>
      <c r="AK93" s="1194"/>
      <c r="AL93" s="1194"/>
      <c r="AM93" s="1194"/>
      <c r="AN93" s="1194"/>
      <c r="AO93" s="1194"/>
      <c r="AP93" s="943"/>
      <c r="AQ93" s="943"/>
      <c r="AR93" s="943"/>
      <c r="BC93" s="1194"/>
      <c r="BD93" s="1194"/>
    </row>
    <row r="94" spans="1:57" x14ac:dyDescent="0.2">
      <c r="AG94" s="1194"/>
      <c r="AH94" s="1194"/>
      <c r="AI94" s="1194"/>
      <c r="AJ94" s="1194"/>
      <c r="AK94" s="1194"/>
      <c r="AL94" s="1194"/>
      <c r="AM94" s="1194"/>
      <c r="AN94" s="1194"/>
      <c r="AO94" s="1194"/>
      <c r="AP94" s="943"/>
      <c r="AQ94" s="943"/>
      <c r="AR94" s="943"/>
      <c r="BC94" s="943"/>
      <c r="BD94" s="943"/>
    </row>
    <row r="95" spans="1:57" x14ac:dyDescent="0.2">
      <c r="AG95" s="943"/>
      <c r="AH95" s="943"/>
      <c r="AI95" s="943"/>
      <c r="AJ95" s="943"/>
      <c r="AK95" s="943"/>
      <c r="AL95" s="943"/>
      <c r="AM95" s="943"/>
      <c r="AN95" s="943"/>
      <c r="AO95" s="943"/>
      <c r="AP95" s="943"/>
      <c r="AQ95" s="943"/>
      <c r="AR95" s="943"/>
      <c r="BC95" s="943"/>
      <c r="BD95" s="943"/>
    </row>
    <row r="96" spans="1:57" x14ac:dyDescent="0.2">
      <c r="AG96" s="943"/>
      <c r="AH96" s="943"/>
      <c r="AI96" s="943"/>
      <c r="AJ96" s="943"/>
      <c r="AK96" s="943"/>
      <c r="AL96" s="943"/>
      <c r="AM96" s="943"/>
      <c r="AN96" s="943"/>
      <c r="AO96" s="943"/>
      <c r="AP96" s="943"/>
      <c r="AQ96" s="943"/>
      <c r="AR96" s="943"/>
      <c r="BC96" s="943"/>
      <c r="BD96" s="943"/>
    </row>
    <row r="97" spans="33:56" x14ac:dyDescent="0.2">
      <c r="AG97" s="943"/>
      <c r="AH97" s="943"/>
      <c r="AI97" s="943"/>
      <c r="AJ97" s="943"/>
      <c r="AK97" s="943"/>
      <c r="AL97" s="943"/>
      <c r="AM97" s="943"/>
      <c r="AN97" s="943"/>
      <c r="AO97" s="943"/>
      <c r="AP97" s="943"/>
      <c r="AQ97" s="943"/>
      <c r="AR97" s="943"/>
      <c r="BC97" s="943"/>
      <c r="BD97" s="943"/>
    </row>
    <row r="98" spans="33:56" x14ac:dyDescent="0.2">
      <c r="AG98" s="943"/>
      <c r="AH98" s="943"/>
      <c r="AI98" s="943"/>
      <c r="AJ98" s="943"/>
      <c r="AK98" s="943"/>
      <c r="AL98" s="943"/>
      <c r="AM98" s="943"/>
      <c r="AN98" s="943"/>
      <c r="AO98" s="943"/>
      <c r="AP98" s="943"/>
      <c r="AQ98" s="943"/>
      <c r="AR98" s="943"/>
      <c r="BC98" s="943"/>
      <c r="BD98" s="943"/>
    </row>
    <row r="99" spans="33:56" x14ac:dyDescent="0.2">
      <c r="AG99" s="943"/>
      <c r="AH99" s="943"/>
      <c r="AI99" s="943"/>
      <c r="AJ99" s="943"/>
      <c r="AK99" s="943"/>
      <c r="AL99" s="943"/>
      <c r="AM99" s="943"/>
      <c r="AN99" s="943"/>
      <c r="AO99" s="943"/>
      <c r="AP99" s="943"/>
      <c r="AQ99" s="943"/>
      <c r="AR99" s="943"/>
    </row>
  </sheetData>
  <mergeCells count="11">
    <mergeCell ref="C52:D52"/>
    <mergeCell ref="C10:D10"/>
    <mergeCell ref="C11:D11"/>
    <mergeCell ref="AS11:AT11"/>
    <mergeCell ref="A35:B35"/>
    <mergeCell ref="A37:B37"/>
    <mergeCell ref="C53:D53"/>
    <mergeCell ref="AS53:AT53"/>
    <mergeCell ref="C64:D64"/>
    <mergeCell ref="C65:D65"/>
    <mergeCell ref="AS65:AT65"/>
  </mergeCells>
  <conditionalFormatting sqref="A50:A51 AI59:AO62 A71:A73 A63 A38:B42 AK41:AO46 AI41:AJ45 BB41:BD46 AZ62:BD62 BB59:BD61">
    <cfRule type="cellIs" dxfId="41" priority="5" stopIfTrue="1" operator="equal">
      <formula>0</formula>
    </cfRule>
  </conditionalFormatting>
  <conditionalFormatting sqref="AX62:AY62">
    <cfRule type="cellIs" dxfId="40" priority="4" stopIfTrue="1" operator="equal">
      <formula>0</formula>
    </cfRule>
  </conditionalFormatting>
  <conditionalFormatting sqref="AX62">
    <cfRule type="cellIs" dxfId="39" priority="3" stopIfTrue="1" operator="equal">
      <formula>0</formula>
    </cfRule>
  </conditionalFormatting>
  <conditionalFormatting sqref="AW62">
    <cfRule type="cellIs" dxfId="38" priority="2" stopIfTrue="1" operator="equal">
      <formula>0</formula>
    </cfRule>
  </conditionalFormatting>
  <conditionalFormatting sqref="AV62">
    <cfRule type="cellIs" dxfId="37" priority="1" stopIfTrue="1" operator="equal">
      <formula>0</formula>
    </cfRule>
  </conditionalFormatting>
  <printOptions horizontalCentered="1"/>
  <pageMargins left="0.3" right="0.3" top="0.4" bottom="0.53" header="0" footer="0.3"/>
  <pageSetup scale="54" orientation="landscape" r:id="rId1"/>
  <headerFooter alignWithMargins="0">
    <oddFooter>&amp;CPage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L98"/>
  <sheetViews>
    <sheetView topLeftCell="A50" zoomScaleNormal="100" zoomScaleSheetLayoutView="80" workbookViewId="0">
      <selection activeCell="A41" sqref="A41:XFD43"/>
    </sheetView>
  </sheetViews>
  <sheetFormatPr defaultRowHeight="12.75" x14ac:dyDescent="0.2"/>
  <cols>
    <col min="1" max="1" width="2.7109375" style="942" customWidth="1"/>
    <col min="2" max="2" width="44.85546875" style="942" customWidth="1"/>
    <col min="3" max="3" width="10.140625" style="942" customWidth="1"/>
    <col min="4" max="4" width="9.7109375" style="942" customWidth="1"/>
    <col min="5" max="5" width="1.5703125" style="943" customWidth="1"/>
    <col min="6" max="6" width="9.7109375" style="943" customWidth="1"/>
    <col min="7" max="7" width="7.7109375" style="943" bestFit="1" customWidth="1"/>
    <col min="8" max="14" width="8.7109375" style="943" customWidth="1"/>
    <col min="15" max="25" width="8.7109375" style="943" hidden="1" customWidth="1"/>
    <col min="26" max="32" width="9.7109375" style="943" hidden="1" customWidth="1"/>
    <col min="33" max="41" width="9.7109375" style="942" hidden="1" customWidth="1"/>
    <col min="42" max="42" width="1.5703125" style="942" customWidth="1"/>
    <col min="43" max="43" width="9.42578125" style="942" hidden="1" customWidth="1"/>
    <col min="44" max="44" width="9" style="942" hidden="1" customWidth="1"/>
    <col min="45" max="46" width="9.7109375" style="945" customWidth="1"/>
    <col min="47" max="47" width="1.5703125" style="942" customWidth="1"/>
    <col min="48" max="52" width="9.7109375" style="942" customWidth="1"/>
    <col min="53" max="59" width="9.7109375" style="942" hidden="1" customWidth="1"/>
    <col min="60" max="60" width="1.5703125" style="942" customWidth="1"/>
    <col min="61" max="16384" width="9.140625" style="942"/>
  </cols>
  <sheetData>
    <row r="2" spans="1:67" x14ac:dyDescent="0.2">
      <c r="H2" s="944"/>
      <c r="I2" s="944"/>
      <c r="L2" s="944"/>
      <c r="M2" s="944"/>
      <c r="P2" s="944"/>
      <c r="Q2" s="944"/>
      <c r="T2" s="944"/>
      <c r="U2" s="944"/>
      <c r="X2" s="944"/>
      <c r="Y2" s="944"/>
      <c r="AB2" s="944"/>
      <c r="AC2" s="944"/>
    </row>
    <row r="5" spans="1:67" x14ac:dyDescent="0.2">
      <c r="A5" s="943"/>
      <c r="B5" s="943"/>
      <c r="C5" s="943"/>
      <c r="D5" s="943"/>
      <c r="AG5" s="943"/>
      <c r="AH5" s="943"/>
      <c r="AI5" s="943"/>
    </row>
    <row r="6" spans="1:67" ht="18" customHeight="1" x14ac:dyDescent="0.2">
      <c r="A6" s="1195" t="s">
        <v>392</v>
      </c>
      <c r="B6" s="943"/>
      <c r="C6" s="943"/>
      <c r="D6" s="943"/>
      <c r="AG6" s="943"/>
      <c r="AH6" s="943"/>
      <c r="AI6" s="943"/>
    </row>
    <row r="7" spans="1:67" ht="18" customHeight="1" x14ac:dyDescent="0.2">
      <c r="A7" s="1195" t="s">
        <v>412</v>
      </c>
      <c r="B7" s="943"/>
      <c r="C7" s="943"/>
      <c r="D7" s="943"/>
      <c r="AG7" s="943"/>
      <c r="AH7" s="943"/>
      <c r="AI7" s="943"/>
      <c r="AR7" s="943"/>
    </row>
    <row r="8" spans="1:67" ht="18" customHeight="1" x14ac:dyDescent="0.2">
      <c r="A8" s="946" t="s">
        <v>409</v>
      </c>
      <c r="B8" s="947"/>
      <c r="C8" s="947"/>
      <c r="D8" s="947"/>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c r="AE8" s="947"/>
      <c r="AF8" s="947"/>
      <c r="AG8" s="943"/>
      <c r="AH8" s="943"/>
      <c r="AI8" s="943"/>
    </row>
    <row r="9" spans="1:67" ht="9.75" customHeight="1" x14ac:dyDescent="0.2">
      <c r="A9" s="948"/>
      <c r="B9" s="948"/>
      <c r="C9" s="948"/>
      <c r="D9" s="948"/>
      <c r="E9" s="948"/>
      <c r="F9" s="948"/>
      <c r="G9" s="948"/>
      <c r="H9" s="949"/>
      <c r="I9" s="948"/>
      <c r="J9" s="948"/>
      <c r="K9" s="948"/>
      <c r="L9" s="949"/>
      <c r="M9" s="948"/>
      <c r="N9" s="948"/>
      <c r="O9" s="948"/>
      <c r="P9" s="949"/>
      <c r="Q9" s="948"/>
      <c r="R9" s="948"/>
      <c r="S9" s="948"/>
      <c r="T9" s="949"/>
      <c r="U9" s="948"/>
      <c r="V9" s="949"/>
      <c r="W9" s="948"/>
      <c r="X9" s="949"/>
      <c r="Y9" s="948"/>
      <c r="Z9" s="949"/>
      <c r="AA9" s="948"/>
      <c r="AB9" s="949"/>
      <c r="AC9" s="948"/>
      <c r="AD9" s="949"/>
      <c r="AE9" s="948"/>
      <c r="AF9" s="948"/>
      <c r="AG9" s="943"/>
      <c r="AH9" s="943"/>
      <c r="AI9" s="943"/>
      <c r="AS9" s="950"/>
      <c r="AT9" s="950"/>
    </row>
    <row r="10" spans="1:67" x14ac:dyDescent="0.2">
      <c r="A10" s="951" t="s">
        <v>1</v>
      </c>
      <c r="B10" s="952"/>
      <c r="C10" s="1495" t="s">
        <v>447</v>
      </c>
      <c r="D10" s="1496"/>
      <c r="E10" s="953"/>
      <c r="F10" s="954"/>
      <c r="G10" s="954"/>
      <c r="H10" s="993"/>
      <c r="I10" s="1205"/>
      <c r="J10" s="954"/>
      <c r="K10" s="954"/>
      <c r="L10" s="993"/>
      <c r="M10" s="1205"/>
      <c r="N10" s="993"/>
      <c r="O10" s="993"/>
      <c r="P10" s="993"/>
      <c r="Q10" s="1205"/>
      <c r="R10" s="993"/>
      <c r="S10" s="993"/>
      <c r="T10" s="993"/>
      <c r="U10" s="993"/>
      <c r="V10" s="1102"/>
      <c r="W10" s="993"/>
      <c r="X10" s="993"/>
      <c r="Y10" s="993"/>
      <c r="Z10" s="1102"/>
      <c r="AA10" s="993"/>
      <c r="AB10" s="993"/>
      <c r="AC10" s="993"/>
      <c r="AD10" s="1102"/>
      <c r="AE10" s="993"/>
      <c r="AF10" s="1205"/>
      <c r="AG10" s="1205"/>
      <c r="AH10" s="1205"/>
      <c r="AI10" s="992"/>
      <c r="AJ10" s="992"/>
      <c r="AK10" s="952"/>
      <c r="AL10" s="992"/>
      <c r="AM10" s="952"/>
      <c r="AN10" s="952"/>
      <c r="AO10" s="992"/>
      <c r="AP10" s="991"/>
      <c r="AQ10" s="661" t="s">
        <v>340</v>
      </c>
      <c r="AR10" s="647"/>
      <c r="AS10" s="647" t="s">
        <v>432</v>
      </c>
      <c r="AT10" s="648"/>
      <c r="AU10" s="958"/>
      <c r="AV10" s="959"/>
      <c r="AW10" s="959"/>
      <c r="AX10" s="959"/>
      <c r="AY10" s="959"/>
      <c r="AZ10" s="959"/>
      <c r="BA10" s="959"/>
      <c r="BB10" s="959"/>
      <c r="BC10" s="960"/>
      <c r="BD10" s="960"/>
      <c r="BE10" s="959"/>
      <c r="BF10" s="961"/>
      <c r="BG10" s="1446"/>
      <c r="BH10" s="962"/>
    </row>
    <row r="11" spans="1:67" ht="13.5" x14ac:dyDescent="0.2">
      <c r="A11" s="951" t="s">
        <v>2</v>
      </c>
      <c r="B11" s="952"/>
      <c r="C11" s="1487" t="s">
        <v>39</v>
      </c>
      <c r="D11" s="1488"/>
      <c r="E11" s="963"/>
      <c r="F11" s="21" t="s">
        <v>425</v>
      </c>
      <c r="G11" s="21" t="s">
        <v>426</v>
      </c>
      <c r="H11" s="21" t="s">
        <v>427</v>
      </c>
      <c r="I11" s="14" t="s">
        <v>428</v>
      </c>
      <c r="J11" s="964" t="s">
        <v>363</v>
      </c>
      <c r="K11" s="964" t="s">
        <v>362</v>
      </c>
      <c r="L11" s="964" t="s">
        <v>361</v>
      </c>
      <c r="M11" s="965" t="s">
        <v>359</v>
      </c>
      <c r="N11" s="964" t="s">
        <v>302</v>
      </c>
      <c r="O11" s="964" t="s">
        <v>303</v>
      </c>
      <c r="P11" s="964" t="s">
        <v>304</v>
      </c>
      <c r="Q11" s="965" t="s">
        <v>305</v>
      </c>
      <c r="R11" s="964" t="s">
        <v>231</v>
      </c>
      <c r="S11" s="964" t="s">
        <v>232</v>
      </c>
      <c r="T11" s="964" t="s">
        <v>233</v>
      </c>
      <c r="U11" s="965" t="s">
        <v>230</v>
      </c>
      <c r="V11" s="966" t="s">
        <v>194</v>
      </c>
      <c r="W11" s="964" t="s">
        <v>195</v>
      </c>
      <c r="X11" s="964" t="s">
        <v>196</v>
      </c>
      <c r="Y11" s="964" t="e">
        <v>#REF!</v>
      </c>
      <c r="Z11" s="966" t="s">
        <v>126</v>
      </c>
      <c r="AA11" s="964" t="s">
        <v>125</v>
      </c>
      <c r="AB11" s="964" t="s">
        <v>124</v>
      </c>
      <c r="AC11" s="964" t="s">
        <v>123</v>
      </c>
      <c r="AD11" s="966" t="s">
        <v>86</v>
      </c>
      <c r="AE11" s="964" t="s">
        <v>87</v>
      </c>
      <c r="AF11" s="965" t="s">
        <v>88</v>
      </c>
      <c r="AG11" s="965" t="s">
        <v>30</v>
      </c>
      <c r="AH11" s="965" t="s">
        <v>30</v>
      </c>
      <c r="AI11" s="992"/>
      <c r="AJ11" s="992"/>
      <c r="AK11" s="952"/>
      <c r="AL11" s="992"/>
      <c r="AM11" s="952"/>
      <c r="AN11" s="952"/>
      <c r="AO11" s="992"/>
      <c r="AP11" s="991"/>
      <c r="AQ11" s="21" t="s">
        <v>426</v>
      </c>
      <c r="AR11" s="21" t="s">
        <v>362</v>
      </c>
      <c r="AS11" s="1494" t="s">
        <v>39</v>
      </c>
      <c r="AT11" s="1482"/>
      <c r="AU11" s="967"/>
      <c r="AV11" s="20" t="s">
        <v>446</v>
      </c>
      <c r="AW11" s="20" t="s">
        <v>365</v>
      </c>
      <c r="AX11" s="968" t="s">
        <v>307</v>
      </c>
      <c r="AY11" s="968" t="s">
        <v>235</v>
      </c>
      <c r="AZ11" s="968" t="s">
        <v>128</v>
      </c>
      <c r="BA11" s="968" t="s">
        <v>127</v>
      </c>
      <c r="BB11" s="966" t="s">
        <v>43</v>
      </c>
      <c r="BC11" s="968" t="s">
        <v>40</v>
      </c>
      <c r="BD11" s="968" t="s">
        <v>41</v>
      </c>
      <c r="BE11" s="968" t="s">
        <v>146</v>
      </c>
      <c r="BF11" s="968" t="s">
        <v>147</v>
      </c>
      <c r="BG11" s="966" t="s">
        <v>148</v>
      </c>
      <c r="BH11" s="962"/>
      <c r="BI11" s="943"/>
      <c r="BJ11" s="943"/>
      <c r="BK11" s="943"/>
      <c r="BL11" s="943"/>
      <c r="BM11" s="943"/>
      <c r="BN11" s="943"/>
      <c r="BO11" s="943"/>
    </row>
    <row r="12" spans="1:67" s="986" customFormat="1" x14ac:dyDescent="0.2">
      <c r="A12" s="951"/>
      <c r="B12" s="951"/>
      <c r="C12" s="969"/>
      <c r="D12" s="970"/>
      <c r="E12" s="971"/>
      <c r="F12" s="633" t="s">
        <v>254</v>
      </c>
      <c r="G12" s="633" t="s">
        <v>254</v>
      </c>
      <c r="H12" s="633" t="s">
        <v>254</v>
      </c>
      <c r="I12" s="634" t="s">
        <v>254</v>
      </c>
      <c r="J12" s="972" t="s">
        <v>254</v>
      </c>
      <c r="K12" s="972" t="s">
        <v>254</v>
      </c>
      <c r="L12" s="972" t="s">
        <v>254</v>
      </c>
      <c r="M12" s="973" t="s">
        <v>254</v>
      </c>
      <c r="N12" s="972" t="s">
        <v>254</v>
      </c>
      <c r="O12" s="972" t="s">
        <v>254</v>
      </c>
      <c r="P12" s="972" t="s">
        <v>254</v>
      </c>
      <c r="Q12" s="973" t="s">
        <v>254</v>
      </c>
      <c r="R12" s="972" t="s">
        <v>254</v>
      </c>
      <c r="S12" s="972" t="s">
        <v>254</v>
      </c>
      <c r="T12" s="972" t="s">
        <v>254</v>
      </c>
      <c r="U12" s="973" t="s">
        <v>254</v>
      </c>
      <c r="V12" s="972" t="s">
        <v>254</v>
      </c>
      <c r="W12" s="972" t="s">
        <v>254</v>
      </c>
      <c r="X12" s="972" t="s">
        <v>254</v>
      </c>
      <c r="Y12" s="973" t="s">
        <v>254</v>
      </c>
      <c r="Z12" s="972" t="s">
        <v>255</v>
      </c>
      <c r="AA12" s="972" t="s">
        <v>255</v>
      </c>
      <c r="AB12" s="972" t="s">
        <v>255</v>
      </c>
      <c r="AC12" s="973" t="s">
        <v>255</v>
      </c>
      <c r="AD12" s="974"/>
      <c r="AE12" s="974"/>
      <c r="AF12" s="974"/>
      <c r="AG12" s="975"/>
      <c r="AH12" s="974"/>
      <c r="AI12" s="974"/>
      <c r="AJ12" s="974"/>
      <c r="AK12" s="974"/>
      <c r="AL12" s="976"/>
      <c r="AM12" s="975"/>
      <c r="AN12" s="975"/>
      <c r="AO12" s="975"/>
      <c r="AP12" s="977"/>
      <c r="AQ12" s="978" t="s">
        <v>254</v>
      </c>
      <c r="AR12" s="979" t="s">
        <v>254</v>
      </c>
      <c r="AS12" s="980"/>
      <c r="AT12" s="981"/>
      <c r="AU12" s="971"/>
      <c r="AV12" s="972" t="s">
        <v>254</v>
      </c>
      <c r="AW12" s="983" t="s">
        <v>254</v>
      </c>
      <c r="AX12" s="983" t="s">
        <v>254</v>
      </c>
      <c r="AY12" s="983" t="s">
        <v>254</v>
      </c>
      <c r="AZ12" s="983" t="s">
        <v>254</v>
      </c>
      <c r="BA12" s="983" t="s">
        <v>255</v>
      </c>
      <c r="BB12" s="983" t="s">
        <v>255</v>
      </c>
      <c r="BC12" s="983" t="s">
        <v>255</v>
      </c>
      <c r="BD12" s="983" t="s">
        <v>255</v>
      </c>
      <c r="BE12" s="983" t="s">
        <v>255</v>
      </c>
      <c r="BF12" s="977"/>
      <c r="BG12" s="976"/>
      <c r="BH12" s="984"/>
      <c r="BI12" s="985"/>
      <c r="BJ12" s="985"/>
      <c r="BK12" s="985"/>
      <c r="BL12" s="985"/>
      <c r="BM12" s="985"/>
      <c r="BN12" s="985"/>
      <c r="BO12" s="985"/>
    </row>
    <row r="13" spans="1:67" ht="12.75" customHeight="1" x14ac:dyDescent="0.2">
      <c r="A13" s="987" t="s">
        <v>64</v>
      </c>
      <c r="B13" s="988"/>
      <c r="C13" s="989"/>
      <c r="D13" s="990"/>
      <c r="E13" s="991"/>
      <c r="F13" s="992"/>
      <c r="G13" s="992"/>
      <c r="H13" s="992"/>
      <c r="I13" s="990"/>
      <c r="J13" s="992"/>
      <c r="K13" s="992"/>
      <c r="L13" s="992"/>
      <c r="M13" s="990"/>
      <c r="N13" s="992"/>
      <c r="O13" s="992"/>
      <c r="P13" s="992"/>
      <c r="Q13" s="990"/>
      <c r="R13" s="992"/>
      <c r="S13" s="992"/>
      <c r="T13" s="992"/>
      <c r="U13" s="990"/>
      <c r="V13" s="992"/>
      <c r="W13" s="992"/>
      <c r="X13" s="992"/>
      <c r="Y13" s="990"/>
      <c r="Z13" s="992"/>
      <c r="AA13" s="992"/>
      <c r="AB13" s="992"/>
      <c r="AC13" s="990"/>
      <c r="AD13" s="992"/>
      <c r="AE13" s="992"/>
      <c r="AF13" s="992"/>
      <c r="AG13" s="990"/>
      <c r="AH13" s="993"/>
      <c r="AI13" s="992"/>
      <c r="AJ13" s="992"/>
      <c r="AK13" s="990"/>
      <c r="AL13" s="989"/>
      <c r="AM13" s="990"/>
      <c r="AN13" s="990"/>
      <c r="AO13" s="990"/>
      <c r="AP13" s="991"/>
      <c r="AQ13" s="992"/>
      <c r="AR13" s="992"/>
      <c r="AS13" s="994"/>
      <c r="AT13" s="995"/>
      <c r="AU13" s="996"/>
      <c r="AV13" s="991"/>
      <c r="AW13" s="991"/>
      <c r="AX13" s="991"/>
      <c r="AY13" s="991"/>
      <c r="AZ13" s="991"/>
      <c r="BA13" s="991"/>
      <c r="BB13" s="991"/>
      <c r="BC13" s="991"/>
      <c r="BD13" s="991"/>
      <c r="BE13" s="997"/>
      <c r="BF13" s="998"/>
      <c r="BG13" s="1447"/>
      <c r="BH13" s="962"/>
      <c r="BI13" s="943"/>
      <c r="BJ13" s="943"/>
      <c r="BK13" s="943"/>
      <c r="BL13" s="943"/>
      <c r="BM13" s="943"/>
    </row>
    <row r="14" spans="1:67" ht="12.75" customHeight="1" x14ac:dyDescent="0.2">
      <c r="A14" s="952"/>
      <c r="B14" s="990" t="s">
        <v>389</v>
      </c>
      <c r="C14" s="999">
        <v>-14758</v>
      </c>
      <c r="D14" s="1000">
        <v>-0.2070629831773603</v>
      </c>
      <c r="E14" s="1001"/>
      <c r="F14" s="1022">
        <v>56515</v>
      </c>
      <c r="G14" s="1022">
        <v>43493</v>
      </c>
      <c r="H14" s="1022">
        <v>40703</v>
      </c>
      <c r="I14" s="746">
        <v>62261</v>
      </c>
      <c r="J14" s="1022">
        <v>71273</v>
      </c>
      <c r="K14" s="1022">
        <v>48269</v>
      </c>
      <c r="L14" s="1022">
        <v>44000</v>
      </c>
      <c r="M14" s="746">
        <v>52943</v>
      </c>
      <c r="N14" s="1022">
        <v>45206</v>
      </c>
      <c r="O14" s="1022">
        <v>37625</v>
      </c>
      <c r="P14" s="1022">
        <v>39474</v>
      </c>
      <c r="Q14" s="746">
        <v>31050</v>
      </c>
      <c r="R14" s="732">
        <v>18487</v>
      </c>
      <c r="S14" s="745">
        <v>17197</v>
      </c>
      <c r="T14" s="745">
        <v>17790</v>
      </c>
      <c r="U14" s="746">
        <v>26012</v>
      </c>
      <c r="V14" s="732">
        <v>27712</v>
      </c>
      <c r="W14" s="745">
        <v>32618</v>
      </c>
      <c r="X14" s="745">
        <v>20083</v>
      </c>
      <c r="Y14" s="746"/>
      <c r="Z14" s="1002"/>
      <c r="AA14" s="1002"/>
      <c r="AB14" s="1004"/>
      <c r="AC14" s="1003"/>
      <c r="AD14" s="1005"/>
      <c r="AE14" s="1005"/>
      <c r="AF14" s="1005"/>
      <c r="AG14" s="1003"/>
      <c r="AH14" s="1125"/>
      <c r="AI14" s="1208"/>
      <c r="AJ14" s="1208"/>
      <c r="AK14" s="1209"/>
      <c r="AL14" s="1106"/>
      <c r="AM14" s="1209"/>
      <c r="AN14" s="1209"/>
      <c r="AO14" s="1209"/>
      <c r="AP14" s="1210"/>
      <c r="AQ14" s="1118">
        <v>146457</v>
      </c>
      <c r="AR14" s="1002">
        <v>145212</v>
      </c>
      <c r="AS14" s="1010">
        <v>-13513</v>
      </c>
      <c r="AT14" s="1000">
        <v>-6.2420029101323417E-2</v>
      </c>
      <c r="AU14" s="1058"/>
      <c r="AV14" s="1112">
        <v>202972</v>
      </c>
      <c r="AW14" s="1112">
        <v>216485</v>
      </c>
      <c r="AX14" s="1211">
        <v>153355</v>
      </c>
      <c r="AY14" s="1211">
        <v>79486</v>
      </c>
      <c r="AZ14" s="1212">
        <v>106219</v>
      </c>
      <c r="BA14" s="744">
        <v>97629</v>
      </c>
      <c r="BB14" s="744">
        <v>74794</v>
      </c>
      <c r="BC14" s="744" t="e">
        <v>#REF!</v>
      </c>
      <c r="BD14" s="1011">
        <v>187562</v>
      </c>
      <c r="BE14" s="997">
        <v>150470</v>
      </c>
      <c r="BF14" s="997">
        <v>95559</v>
      </c>
      <c r="BG14" s="1448"/>
      <c r="BH14" s="962"/>
      <c r="BI14" s="943"/>
      <c r="BJ14" s="943"/>
      <c r="BK14" s="943"/>
      <c r="BL14" s="943"/>
      <c r="BM14" s="943"/>
    </row>
    <row r="15" spans="1:67" ht="12.75" customHeight="1" x14ac:dyDescent="0.2">
      <c r="A15" s="988"/>
      <c r="B15" s="952"/>
      <c r="C15" s="1012">
        <v>-14758</v>
      </c>
      <c r="D15" s="1013">
        <v>-0.2070629831773603</v>
      </c>
      <c r="E15" s="1001"/>
      <c r="F15" s="1015">
        <v>56515</v>
      </c>
      <c r="G15" s="1015">
        <v>43493</v>
      </c>
      <c r="H15" s="1015">
        <v>40703</v>
      </c>
      <c r="I15" s="1014">
        <v>62261</v>
      </c>
      <c r="J15" s="1015">
        <v>71273</v>
      </c>
      <c r="K15" s="1015">
        <v>48269</v>
      </c>
      <c r="L15" s="1015">
        <v>44000</v>
      </c>
      <c r="M15" s="1014">
        <v>52943</v>
      </c>
      <c r="N15" s="1016">
        <v>45206</v>
      </c>
      <c r="O15" s="1015">
        <v>37625</v>
      </c>
      <c r="P15" s="1015">
        <v>39474</v>
      </c>
      <c r="Q15" s="1014">
        <v>31050</v>
      </c>
      <c r="R15" s="1015">
        <v>18487</v>
      </c>
      <c r="S15" s="1015">
        <v>17197</v>
      </c>
      <c r="T15" s="1015">
        <v>17790</v>
      </c>
      <c r="U15" s="1014">
        <v>26012</v>
      </c>
      <c r="V15" s="1002">
        <v>27712</v>
      </c>
      <c r="W15" s="1002">
        <v>32618</v>
      </c>
      <c r="X15" s="1002">
        <v>20083</v>
      </c>
      <c r="Y15" s="1014"/>
      <c r="Z15" s="1002"/>
      <c r="AA15" s="1002"/>
      <c r="AB15" s="1002"/>
      <c r="AC15" s="1014"/>
      <c r="AD15" s="1015"/>
      <c r="AE15" s="1015"/>
      <c r="AF15" s="1015"/>
      <c r="AG15" s="1014"/>
      <c r="AH15" s="1015"/>
      <c r="AI15" s="1015"/>
      <c r="AJ15" s="1015"/>
      <c r="AK15" s="1015"/>
      <c r="AL15" s="1016"/>
      <c r="AM15" s="1014"/>
      <c r="AN15" s="1014"/>
      <c r="AO15" s="1014"/>
      <c r="AP15" s="1210"/>
      <c r="AQ15" s="1002">
        <v>146457</v>
      </c>
      <c r="AR15" s="1002">
        <v>145212</v>
      </c>
      <c r="AS15" s="1017">
        <v>-13513</v>
      </c>
      <c r="AT15" s="1013">
        <v>-6.2420029101323417E-2</v>
      </c>
      <c r="AU15" s="1058"/>
      <c r="AV15" s="1018">
        <v>202972</v>
      </c>
      <c r="AW15" s="1018">
        <v>216485</v>
      </c>
      <c r="AX15" s="1018">
        <v>153355</v>
      </c>
      <c r="AY15" s="1018">
        <v>79486</v>
      </c>
      <c r="AZ15" s="1018">
        <v>106219</v>
      </c>
      <c r="BA15" s="1018">
        <v>97629</v>
      </c>
      <c r="BB15" s="1018">
        <v>74794</v>
      </c>
      <c r="BC15" s="1018">
        <v>90788</v>
      </c>
      <c r="BD15" s="1018">
        <v>187562</v>
      </c>
      <c r="BE15" s="1019">
        <v>150470</v>
      </c>
      <c r="BF15" s="1019">
        <v>95559</v>
      </c>
      <c r="BG15" s="1012">
        <v>211758</v>
      </c>
      <c r="BH15" s="962"/>
      <c r="BJ15" s="943"/>
      <c r="BK15" s="943"/>
      <c r="BL15" s="943"/>
      <c r="BM15" s="943"/>
    </row>
    <row r="16" spans="1:67" ht="12.75" customHeight="1" x14ac:dyDescent="0.2">
      <c r="A16" s="987" t="s">
        <v>5</v>
      </c>
      <c r="B16" s="952"/>
      <c r="C16" s="999"/>
      <c r="D16" s="1000"/>
      <c r="E16" s="1001"/>
      <c r="F16" s="1005"/>
      <c r="G16" s="1020"/>
      <c r="H16" s="1005"/>
      <c r="I16" s="1003"/>
      <c r="J16" s="1005"/>
      <c r="K16" s="1020"/>
      <c r="L16" s="1005"/>
      <c r="M16" s="1003"/>
      <c r="N16" s="1005"/>
      <c r="O16" s="1020"/>
      <c r="P16" s="1005"/>
      <c r="Q16" s="1003"/>
      <c r="R16" s="1005"/>
      <c r="S16" s="1020"/>
      <c r="T16" s="1005"/>
      <c r="U16" s="1003"/>
      <c r="V16" s="1005"/>
      <c r="W16" s="1020"/>
      <c r="X16" s="1005"/>
      <c r="Y16" s="1003"/>
      <c r="Z16" s="1005"/>
      <c r="AA16" s="1020"/>
      <c r="AB16" s="1005"/>
      <c r="AC16" s="1003"/>
      <c r="AD16" s="1020"/>
      <c r="AE16" s="1020"/>
      <c r="AF16" s="1020"/>
      <c r="AG16" s="1021"/>
      <c r="AH16" s="1022"/>
      <c r="AI16" s="1022"/>
      <c r="AJ16" s="1022"/>
      <c r="AK16" s="1022"/>
      <c r="AL16" s="1023"/>
      <c r="AM16" s="1003"/>
      <c r="AN16" s="1003"/>
      <c r="AO16" s="1003"/>
      <c r="AP16" s="1210"/>
      <c r="AQ16" s="1005"/>
      <c r="AR16" s="1005"/>
      <c r="AS16" s="1010"/>
      <c r="AT16" s="1000"/>
      <c r="AU16" s="1058"/>
      <c r="AV16" s="1213"/>
      <c r="AW16" s="1213"/>
      <c r="AX16" s="1213"/>
      <c r="AY16" s="1213"/>
      <c r="AZ16" s="1213"/>
      <c r="BA16" s="1213"/>
      <c r="BB16" s="1213"/>
      <c r="BC16" s="1011"/>
      <c r="BD16" s="1011"/>
      <c r="BE16" s="1025"/>
      <c r="BF16" s="1025"/>
      <c r="BG16" s="999"/>
      <c r="BH16" s="962"/>
      <c r="BJ16" s="943"/>
      <c r="BK16" s="943"/>
      <c r="BL16" s="943"/>
      <c r="BM16" s="943"/>
    </row>
    <row r="17" spans="1:90" ht="12.75" customHeight="1" x14ac:dyDescent="0.2">
      <c r="A17" s="987"/>
      <c r="B17" s="952" t="s">
        <v>387</v>
      </c>
      <c r="C17" s="999">
        <v>-3225</v>
      </c>
      <c r="D17" s="1000">
        <v>-0.10275936783074179</v>
      </c>
      <c r="E17" s="1001"/>
      <c r="F17" s="1005">
        <v>28159</v>
      </c>
      <c r="G17" s="1005">
        <v>21078</v>
      </c>
      <c r="H17" s="1005">
        <v>19404</v>
      </c>
      <c r="I17" s="1003">
        <v>28394</v>
      </c>
      <c r="J17" s="1005">
        <v>31384</v>
      </c>
      <c r="K17" s="1005">
        <v>24519</v>
      </c>
      <c r="L17" s="1005">
        <v>21953</v>
      </c>
      <c r="M17" s="1003">
        <v>25374</v>
      </c>
      <c r="N17" s="1005">
        <v>23498</v>
      </c>
      <c r="O17" s="1005">
        <v>18709</v>
      </c>
      <c r="P17" s="1005">
        <v>19610</v>
      </c>
      <c r="Q17" s="1003">
        <v>18095</v>
      </c>
      <c r="R17" s="1005">
        <v>11934</v>
      </c>
      <c r="S17" s="1005">
        <v>8230</v>
      </c>
      <c r="T17" s="1005">
        <v>8694</v>
      </c>
      <c r="U17" s="1003">
        <v>13018</v>
      </c>
      <c r="V17" s="1005" t="e">
        <v>#REF!</v>
      </c>
      <c r="W17" s="1005" t="e">
        <v>#REF!</v>
      </c>
      <c r="X17" s="1005" t="e">
        <v>#REF!</v>
      </c>
      <c r="Y17" s="1003"/>
      <c r="Z17" s="1005"/>
      <c r="AA17" s="1005"/>
      <c r="AB17" s="1005"/>
      <c r="AC17" s="1003"/>
      <c r="AD17" s="1005"/>
      <c r="AE17" s="1005"/>
      <c r="AF17" s="1005"/>
      <c r="AG17" s="1003"/>
      <c r="AH17" s="1022"/>
      <c r="AI17" s="1022"/>
      <c r="AJ17" s="1022"/>
      <c r="AK17" s="1022"/>
      <c r="AL17" s="1023"/>
      <c r="AM17" s="1003"/>
      <c r="AN17" s="1003"/>
      <c r="AO17" s="1003"/>
      <c r="AP17" s="1210"/>
      <c r="AQ17" s="1005">
        <v>68876</v>
      </c>
      <c r="AR17" s="1005">
        <v>71846</v>
      </c>
      <c r="AS17" s="1010">
        <v>-6195</v>
      </c>
      <c r="AT17" s="1000">
        <v>-6.0011624527753563E-2</v>
      </c>
      <c r="AU17" s="1058"/>
      <c r="AV17" s="1112">
        <v>97035</v>
      </c>
      <c r="AW17" s="1112">
        <v>103230</v>
      </c>
      <c r="AX17" s="1211">
        <v>79912</v>
      </c>
      <c r="AY17" s="1211">
        <v>41876</v>
      </c>
      <c r="AZ17" s="515">
        <v>54480</v>
      </c>
      <c r="BA17" s="752">
        <v>53240</v>
      </c>
      <c r="BB17" s="752">
        <v>34505</v>
      </c>
      <c r="BC17" s="752" t="e">
        <v>#REF!</v>
      </c>
      <c r="BD17" s="1011"/>
      <c r="BE17" s="1025"/>
      <c r="BF17" s="1025"/>
      <c r="BG17" s="999"/>
      <c r="BH17" s="962"/>
      <c r="BJ17" s="943"/>
      <c r="BK17" s="943"/>
      <c r="BL17" s="943"/>
      <c r="BM17" s="943"/>
    </row>
    <row r="18" spans="1:90" ht="12.75" customHeight="1" x14ac:dyDescent="0.2">
      <c r="A18" s="987"/>
      <c r="B18" s="952" t="s">
        <v>388</v>
      </c>
      <c r="C18" s="1029">
        <v>1916</v>
      </c>
      <c r="D18" s="1030">
        <v>1.489891135303266</v>
      </c>
      <c r="E18" s="1001"/>
      <c r="F18" s="1031">
        <v>3202</v>
      </c>
      <c r="G18" s="1031">
        <v>2803</v>
      </c>
      <c r="H18" s="1031">
        <v>2641</v>
      </c>
      <c r="I18" s="1032">
        <v>2106</v>
      </c>
      <c r="J18" s="1031">
        <v>1286</v>
      </c>
      <c r="K18" s="1031">
        <v>953</v>
      </c>
      <c r="L18" s="1031">
        <v>924</v>
      </c>
      <c r="M18" s="1032">
        <v>850</v>
      </c>
      <c r="N18" s="1031">
        <v>803</v>
      </c>
      <c r="O18" s="1031">
        <v>207</v>
      </c>
      <c r="P18" s="1031">
        <v>506</v>
      </c>
      <c r="Q18" s="1032">
        <v>925</v>
      </c>
      <c r="R18" s="1031">
        <v>1237</v>
      </c>
      <c r="S18" s="1031">
        <v>1164</v>
      </c>
      <c r="T18" s="1031">
        <v>942</v>
      </c>
      <c r="U18" s="1032">
        <v>1100</v>
      </c>
      <c r="V18" s="1005">
        <v>327</v>
      </c>
      <c r="W18" s="1005">
        <v>390</v>
      </c>
      <c r="X18" s="1005">
        <v>1291</v>
      </c>
      <c r="Y18" s="1003"/>
      <c r="Z18" s="1005"/>
      <c r="AA18" s="1005"/>
      <c r="AB18" s="1005"/>
      <c r="AC18" s="1003"/>
      <c r="AD18" s="1005"/>
      <c r="AE18" s="1005"/>
      <c r="AF18" s="1005"/>
      <c r="AG18" s="1003"/>
      <c r="AH18" s="1022"/>
      <c r="AI18" s="1022"/>
      <c r="AJ18" s="1022"/>
      <c r="AK18" s="1022"/>
      <c r="AL18" s="1023"/>
      <c r="AM18" s="1003"/>
      <c r="AN18" s="1003"/>
      <c r="AO18" s="1003"/>
      <c r="AP18" s="1210"/>
      <c r="AQ18" s="1283">
        <v>7550</v>
      </c>
      <c r="AR18" s="1031">
        <v>2727</v>
      </c>
      <c r="AS18" s="1033">
        <v>6739</v>
      </c>
      <c r="AT18" s="1030">
        <v>1.6792923000249189</v>
      </c>
      <c r="AU18" s="1058"/>
      <c r="AV18" s="1124">
        <v>10752</v>
      </c>
      <c r="AW18" s="1124">
        <v>4013</v>
      </c>
      <c r="AX18" s="1214">
        <v>2441</v>
      </c>
      <c r="AY18" s="1214">
        <v>4443</v>
      </c>
      <c r="AZ18" s="1215">
        <v>2859</v>
      </c>
      <c r="BA18" s="1216">
        <v>586</v>
      </c>
      <c r="BB18" s="1216">
        <v>151</v>
      </c>
      <c r="BC18" s="752">
        <v>-803</v>
      </c>
      <c r="BD18" s="1011"/>
      <c r="BE18" s="1025"/>
      <c r="BF18" s="1025"/>
      <c r="BG18" s="999"/>
      <c r="BH18" s="962"/>
      <c r="BI18" s="943"/>
      <c r="BJ18" s="943"/>
      <c r="BK18" s="943"/>
      <c r="BL18" s="943"/>
      <c r="BM18" s="943"/>
      <c r="BN18" s="943"/>
      <c r="BO18" s="943"/>
      <c r="BP18" s="943"/>
      <c r="BQ18" s="943"/>
      <c r="BR18" s="943"/>
      <c r="BS18" s="943"/>
      <c r="BT18" s="943"/>
      <c r="BU18" s="943"/>
      <c r="BV18" s="943"/>
      <c r="BW18" s="943"/>
      <c r="BX18" s="943"/>
      <c r="BY18" s="943"/>
      <c r="BZ18" s="943"/>
      <c r="CA18" s="943"/>
      <c r="CB18" s="943"/>
      <c r="CC18" s="943"/>
      <c r="CD18" s="943"/>
      <c r="CE18" s="943"/>
      <c r="CF18" s="943"/>
      <c r="CG18" s="943"/>
      <c r="CH18" s="943"/>
      <c r="CI18" s="943"/>
      <c r="CJ18" s="943"/>
      <c r="CK18" s="943"/>
      <c r="CL18" s="943"/>
    </row>
    <row r="19" spans="1:90" ht="12.75" customHeight="1" x14ac:dyDescent="0.2">
      <c r="A19" s="988"/>
      <c r="B19" s="164" t="s">
        <v>219</v>
      </c>
      <c r="C19" s="999">
        <v>-1309</v>
      </c>
      <c r="D19" s="1000">
        <v>-4.0067340067340064E-2</v>
      </c>
      <c r="E19" s="1001"/>
      <c r="F19" s="745">
        <v>31361</v>
      </c>
      <c r="G19" s="745">
        <v>23881</v>
      </c>
      <c r="H19" s="1005">
        <v>22045</v>
      </c>
      <c r="I19" s="1003">
        <v>30500</v>
      </c>
      <c r="J19" s="745">
        <v>32670</v>
      </c>
      <c r="K19" s="745">
        <v>25472</v>
      </c>
      <c r="L19" s="1005">
        <v>22877</v>
      </c>
      <c r="M19" s="1003">
        <v>26224</v>
      </c>
      <c r="N19" s="745">
        <v>24301</v>
      </c>
      <c r="O19" s="745">
        <v>18916</v>
      </c>
      <c r="P19" s="1005">
        <v>20116</v>
      </c>
      <c r="Q19" s="1003">
        <v>19020</v>
      </c>
      <c r="R19" s="1005">
        <v>13171</v>
      </c>
      <c r="S19" s="745">
        <v>9394</v>
      </c>
      <c r="T19" s="745">
        <v>9636</v>
      </c>
      <c r="U19" s="746">
        <v>14118</v>
      </c>
      <c r="V19" s="745">
        <v>14656</v>
      </c>
      <c r="W19" s="745">
        <v>17670</v>
      </c>
      <c r="X19" s="745">
        <v>11063</v>
      </c>
      <c r="Y19" s="746"/>
      <c r="Z19" s="1005"/>
      <c r="AA19" s="1005"/>
      <c r="AB19" s="1005"/>
      <c r="AC19" s="1003"/>
      <c r="AD19" s="1005"/>
      <c r="AE19" s="1005"/>
      <c r="AF19" s="1005"/>
      <c r="AG19" s="1003"/>
      <c r="AH19" s="1022"/>
      <c r="AI19" s="1022"/>
      <c r="AJ19" s="1022"/>
      <c r="AK19" s="1022"/>
      <c r="AL19" s="1023"/>
      <c r="AM19" s="1003"/>
      <c r="AN19" s="1003"/>
      <c r="AO19" s="1003"/>
      <c r="AP19" s="1210"/>
      <c r="AQ19" s="1005">
        <v>76426</v>
      </c>
      <c r="AR19" s="1022">
        <v>74573</v>
      </c>
      <c r="AS19" s="1010">
        <v>544</v>
      </c>
      <c r="AT19" s="1000">
        <v>5.0725921505366317E-3</v>
      </c>
      <c r="AU19" s="1058"/>
      <c r="AV19" s="1211">
        <v>107787</v>
      </c>
      <c r="AW19" s="1211">
        <v>107243</v>
      </c>
      <c r="AX19" s="1211">
        <v>82353</v>
      </c>
      <c r="AY19" s="1211">
        <v>46319</v>
      </c>
      <c r="AZ19" s="1212">
        <v>57339</v>
      </c>
      <c r="BA19" s="744">
        <v>53826</v>
      </c>
      <c r="BB19" s="744">
        <v>34656</v>
      </c>
      <c r="BC19" s="744">
        <v>47146</v>
      </c>
      <c r="BD19" s="1011">
        <v>98642</v>
      </c>
      <c r="BE19" s="1025">
        <v>82259</v>
      </c>
      <c r="BF19" s="1025">
        <v>47759</v>
      </c>
      <c r="BG19" s="999">
        <v>120298</v>
      </c>
      <c r="BH19" s="962"/>
      <c r="BJ19" s="943"/>
      <c r="BK19" s="943"/>
      <c r="BL19" s="943"/>
      <c r="BM19" s="943"/>
    </row>
    <row r="20" spans="1:90" ht="12.75" customHeight="1" x14ac:dyDescent="0.2">
      <c r="A20" s="988"/>
      <c r="B20" s="990" t="s">
        <v>69</v>
      </c>
      <c r="C20" s="999">
        <v>306</v>
      </c>
      <c r="D20" s="1000">
        <v>0.12587412587412589</v>
      </c>
      <c r="E20" s="1001"/>
      <c r="F20" s="1005">
        <v>2737</v>
      </c>
      <c r="G20" s="745">
        <v>2522</v>
      </c>
      <c r="H20" s="1005">
        <v>2298</v>
      </c>
      <c r="I20" s="1003">
        <v>2429</v>
      </c>
      <c r="J20" s="1005">
        <v>2431</v>
      </c>
      <c r="K20" s="745">
        <v>2445</v>
      </c>
      <c r="L20" s="1005">
        <v>2608</v>
      </c>
      <c r="M20" s="1003">
        <v>2449</v>
      </c>
      <c r="N20" s="1005">
        <v>3061</v>
      </c>
      <c r="O20" s="745">
        <v>2093</v>
      </c>
      <c r="P20" s="1005">
        <v>2346</v>
      </c>
      <c r="Q20" s="1003">
        <v>2564</v>
      </c>
      <c r="R20" s="1005">
        <v>1303</v>
      </c>
      <c r="S20" s="745">
        <v>1048</v>
      </c>
      <c r="T20" s="745">
        <v>1128</v>
      </c>
      <c r="U20" s="746">
        <v>1093</v>
      </c>
      <c r="V20" s="745">
        <v>1169</v>
      </c>
      <c r="W20" s="745">
        <v>1250</v>
      </c>
      <c r="X20" s="745">
        <v>1315</v>
      </c>
      <c r="Y20" s="746"/>
      <c r="Z20" s="1005"/>
      <c r="AA20" s="1005"/>
      <c r="AB20" s="1005"/>
      <c r="AC20" s="1003"/>
      <c r="AD20" s="1005"/>
      <c r="AE20" s="1005"/>
      <c r="AF20" s="1005"/>
      <c r="AG20" s="1003"/>
      <c r="AH20" s="1022"/>
      <c r="AI20" s="1022"/>
      <c r="AJ20" s="1022"/>
      <c r="AK20" s="1022"/>
      <c r="AL20" s="1023"/>
      <c r="AM20" s="1003"/>
      <c r="AN20" s="1003"/>
      <c r="AO20" s="1003"/>
      <c r="AP20" s="1210"/>
      <c r="AQ20" s="1005">
        <v>7249</v>
      </c>
      <c r="AR20" s="1005">
        <v>7502</v>
      </c>
      <c r="AS20" s="1010">
        <v>53</v>
      </c>
      <c r="AT20" s="1116">
        <v>5.3357495217960333E-3</v>
      </c>
      <c r="AU20" s="1058"/>
      <c r="AV20" s="1112">
        <v>9986</v>
      </c>
      <c r="AW20" s="1112">
        <v>9933</v>
      </c>
      <c r="AX20" s="1211">
        <v>10064</v>
      </c>
      <c r="AY20" s="1211">
        <v>4572</v>
      </c>
      <c r="AZ20" s="43">
        <v>4921</v>
      </c>
      <c r="BA20" s="43">
        <v>4348</v>
      </c>
      <c r="BB20" s="744">
        <v>5162</v>
      </c>
      <c r="BC20" s="744">
        <v>4483</v>
      </c>
      <c r="BD20" s="1011">
        <v>1847</v>
      </c>
      <c r="BE20" s="1025">
        <v>2414</v>
      </c>
      <c r="BF20" s="1025">
        <v>6699</v>
      </c>
      <c r="BG20" s="999">
        <v>12517</v>
      </c>
      <c r="BH20" s="962"/>
      <c r="BJ20" s="943"/>
      <c r="BK20" s="943"/>
      <c r="BL20" s="943"/>
      <c r="BM20" s="943"/>
    </row>
    <row r="21" spans="1:90" ht="12.75" hidden="1" customHeight="1" x14ac:dyDescent="0.2">
      <c r="A21" s="988"/>
      <c r="B21" s="952" t="s">
        <v>200</v>
      </c>
      <c r="C21" s="999">
        <v>0</v>
      </c>
      <c r="D21" s="1000" t="e">
        <v>#DIV/0!</v>
      </c>
      <c r="E21" s="1001"/>
      <c r="F21" s="1036"/>
      <c r="G21" s="754"/>
      <c r="H21" s="1036"/>
      <c r="I21" s="1037"/>
      <c r="J21" s="1036"/>
      <c r="K21" s="754"/>
      <c r="L21" s="1036"/>
      <c r="M21" s="1037"/>
      <c r="N21" s="1036"/>
      <c r="O21" s="754"/>
      <c r="P21" s="1036"/>
      <c r="Q21" s="1037"/>
      <c r="R21" s="1036"/>
      <c r="S21" s="754"/>
      <c r="T21" s="754"/>
      <c r="U21" s="28"/>
      <c r="V21" s="754"/>
      <c r="W21" s="754"/>
      <c r="X21" s="754"/>
      <c r="Y21" s="28"/>
      <c r="Z21" s="1036"/>
      <c r="AA21" s="1036"/>
      <c r="AB21" s="1036"/>
      <c r="AC21" s="1037"/>
      <c r="AD21" s="1036"/>
      <c r="AE21" s="1036"/>
      <c r="AF21" s="1036"/>
      <c r="AG21" s="1037"/>
      <c r="AH21" s="1038"/>
      <c r="AI21" s="1038"/>
      <c r="AJ21" s="1038"/>
      <c r="AK21" s="1028"/>
      <c r="AL21" s="1011"/>
      <c r="AM21" s="1028"/>
      <c r="AN21" s="1028"/>
      <c r="AO21" s="1028"/>
      <c r="AP21" s="1213"/>
      <c r="AQ21" s="1005">
        <v>0</v>
      </c>
      <c r="AR21" s="1036">
        <v>0</v>
      </c>
      <c r="AS21" s="1039"/>
      <c r="AT21" s="1000" t="e">
        <v>#DIV/0!</v>
      </c>
      <c r="AU21" s="1217"/>
      <c r="AV21" s="1112">
        <v>0</v>
      </c>
      <c r="AW21" s="1112">
        <v>0</v>
      </c>
      <c r="AX21" s="1211">
        <v>0</v>
      </c>
      <c r="AY21" s="1211">
        <v>0</v>
      </c>
      <c r="AZ21" s="43"/>
      <c r="BA21" s="43"/>
      <c r="BB21" s="43"/>
      <c r="BC21" s="43"/>
      <c r="BD21" s="1025">
        <v>0</v>
      </c>
      <c r="BE21" s="1025">
        <v>0</v>
      </c>
      <c r="BF21" s="1025"/>
      <c r="BG21" s="999"/>
      <c r="BH21" s="962"/>
      <c r="BJ21" s="943"/>
      <c r="BK21" s="943"/>
      <c r="BL21" s="943"/>
      <c r="BM21" s="943"/>
    </row>
    <row r="22" spans="1:90" ht="12.75" customHeight="1" x14ac:dyDescent="0.2">
      <c r="A22" s="988"/>
      <c r="B22" s="990" t="s">
        <v>98</v>
      </c>
      <c r="C22" s="999">
        <v>-301</v>
      </c>
      <c r="D22" s="1000">
        <v>-3.8265954741927281E-2</v>
      </c>
      <c r="E22" s="1001"/>
      <c r="F22" s="1005">
        <v>7565</v>
      </c>
      <c r="G22" s="745">
        <v>7710</v>
      </c>
      <c r="H22" s="1005">
        <v>6212</v>
      </c>
      <c r="I22" s="1003">
        <v>6491</v>
      </c>
      <c r="J22" s="1005">
        <v>7866</v>
      </c>
      <c r="K22" s="745">
        <v>5509</v>
      </c>
      <c r="L22" s="1005">
        <v>5109</v>
      </c>
      <c r="M22" s="1003">
        <v>6136</v>
      </c>
      <c r="N22" s="1005">
        <v>3964</v>
      </c>
      <c r="O22" s="745">
        <v>3708</v>
      </c>
      <c r="P22" s="1005">
        <v>4437</v>
      </c>
      <c r="Q22" s="1003">
        <v>5699</v>
      </c>
      <c r="R22" s="1005">
        <v>545</v>
      </c>
      <c r="S22" s="745">
        <v>1034</v>
      </c>
      <c r="T22" s="745">
        <v>1593</v>
      </c>
      <c r="U22" s="746">
        <v>1112</v>
      </c>
      <c r="V22" s="745">
        <v>999</v>
      </c>
      <c r="W22" s="745">
        <v>931</v>
      </c>
      <c r="X22" s="745">
        <v>997</v>
      </c>
      <c r="Y22" s="746"/>
      <c r="Z22" s="1005"/>
      <c r="AA22" s="1005"/>
      <c r="AB22" s="1005"/>
      <c r="AC22" s="1003"/>
      <c r="AD22" s="1005"/>
      <c r="AE22" s="1005"/>
      <c r="AF22" s="1005"/>
      <c r="AG22" s="1003"/>
      <c r="AH22" s="1022"/>
      <c r="AI22" s="1022"/>
      <c r="AJ22" s="1022"/>
      <c r="AK22" s="1022"/>
      <c r="AL22" s="1023"/>
      <c r="AM22" s="1003"/>
      <c r="AN22" s="1003"/>
      <c r="AO22" s="1003"/>
      <c r="AP22" s="1210"/>
      <c r="AQ22" s="1005">
        <v>20413</v>
      </c>
      <c r="AR22" s="1005">
        <v>16754</v>
      </c>
      <c r="AS22" s="1010">
        <v>3358</v>
      </c>
      <c r="AT22" s="1000">
        <v>0.13639317627944761</v>
      </c>
      <c r="AU22" s="1058"/>
      <c r="AV22" s="1112">
        <v>27978</v>
      </c>
      <c r="AW22" s="1112">
        <v>24620</v>
      </c>
      <c r="AX22" s="1211">
        <v>17808</v>
      </c>
      <c r="AY22" s="1211">
        <v>4284</v>
      </c>
      <c r="AZ22" s="43">
        <v>3997</v>
      </c>
      <c r="BA22" s="43">
        <v>5370</v>
      </c>
      <c r="BB22" s="744">
        <v>8618</v>
      </c>
      <c r="BC22" s="744">
        <v>8531</v>
      </c>
      <c r="BD22" s="1011">
        <v>2191</v>
      </c>
      <c r="BE22" s="1025">
        <v>2896</v>
      </c>
      <c r="BF22" s="1025">
        <v>1887</v>
      </c>
      <c r="BG22" s="999">
        <v>3440</v>
      </c>
      <c r="BH22" s="962"/>
      <c r="BJ22" s="943"/>
      <c r="BK22" s="943"/>
      <c r="BL22" s="943"/>
      <c r="BM22" s="943"/>
    </row>
    <row r="23" spans="1:90" ht="12.75" customHeight="1" x14ac:dyDescent="0.2">
      <c r="A23" s="988"/>
      <c r="B23" s="990" t="s">
        <v>71</v>
      </c>
      <c r="C23" s="999">
        <v>264</v>
      </c>
      <c r="D23" s="1041">
        <v>0.11913357400722022</v>
      </c>
      <c r="E23" s="1001"/>
      <c r="F23" s="1005">
        <v>2480</v>
      </c>
      <c r="G23" s="745">
        <v>2348</v>
      </c>
      <c r="H23" s="1005">
        <v>2159</v>
      </c>
      <c r="I23" s="1003">
        <v>2265</v>
      </c>
      <c r="J23" s="1005">
        <v>2216</v>
      </c>
      <c r="K23" s="745">
        <v>2022</v>
      </c>
      <c r="L23" s="1005">
        <v>2084</v>
      </c>
      <c r="M23" s="1003">
        <v>1969</v>
      </c>
      <c r="N23" s="1005">
        <v>1846</v>
      </c>
      <c r="O23" s="745">
        <v>1927</v>
      </c>
      <c r="P23" s="1005">
        <v>2385</v>
      </c>
      <c r="Q23" s="1003">
        <v>2263</v>
      </c>
      <c r="R23" s="1005">
        <v>1345</v>
      </c>
      <c r="S23" s="745">
        <v>1204</v>
      </c>
      <c r="T23" s="745">
        <v>1323</v>
      </c>
      <c r="U23" s="746">
        <v>1159</v>
      </c>
      <c r="V23" s="745">
        <v>1182</v>
      </c>
      <c r="W23" s="745">
        <v>1109</v>
      </c>
      <c r="X23" s="745">
        <v>1096</v>
      </c>
      <c r="Y23" s="746"/>
      <c r="Z23" s="1005"/>
      <c r="AA23" s="1005"/>
      <c r="AB23" s="1005"/>
      <c r="AC23" s="1003"/>
      <c r="AD23" s="1005"/>
      <c r="AE23" s="1005"/>
      <c r="AF23" s="1005"/>
      <c r="AG23" s="1003"/>
      <c r="AH23" s="1022"/>
      <c r="AI23" s="1022"/>
      <c r="AJ23" s="1022"/>
      <c r="AK23" s="1022"/>
      <c r="AL23" s="1023"/>
      <c r="AM23" s="1003"/>
      <c r="AN23" s="1003"/>
      <c r="AO23" s="1003"/>
      <c r="AP23" s="1210"/>
      <c r="AQ23" s="1005">
        <v>6772</v>
      </c>
      <c r="AR23" s="1005">
        <v>6075</v>
      </c>
      <c r="AS23" s="1010">
        <v>961</v>
      </c>
      <c r="AT23" s="1000">
        <v>0.11590881678928959</v>
      </c>
      <c r="AU23" s="1058"/>
      <c r="AV23" s="1112">
        <v>9252</v>
      </c>
      <c r="AW23" s="1112">
        <v>8291</v>
      </c>
      <c r="AX23" s="1211">
        <v>8421</v>
      </c>
      <c r="AY23" s="1211">
        <v>5031</v>
      </c>
      <c r="AZ23" s="43">
        <v>4451</v>
      </c>
      <c r="BA23" s="43">
        <v>4811</v>
      </c>
      <c r="BB23" s="744">
        <v>5141</v>
      </c>
      <c r="BC23" s="744">
        <v>4966</v>
      </c>
      <c r="BD23" s="1011">
        <v>3000</v>
      </c>
      <c r="BE23" s="1025">
        <v>2293</v>
      </c>
      <c r="BF23" s="1025">
        <v>1365</v>
      </c>
      <c r="BG23" s="999">
        <v>4236</v>
      </c>
      <c r="BH23" s="962"/>
      <c r="BJ23" s="943"/>
      <c r="BK23" s="943"/>
      <c r="BL23" s="943"/>
      <c r="BM23" s="943"/>
    </row>
    <row r="24" spans="1:90" ht="12.75" customHeight="1" x14ac:dyDescent="0.2">
      <c r="A24" s="988"/>
      <c r="B24" s="990" t="s">
        <v>72</v>
      </c>
      <c r="C24" s="999">
        <v>928</v>
      </c>
      <c r="D24" s="1000">
        <v>0.3120376597175521</v>
      </c>
      <c r="E24" s="1001"/>
      <c r="F24" s="1005">
        <v>3902</v>
      </c>
      <c r="G24" s="745">
        <v>3140</v>
      </c>
      <c r="H24" s="1005">
        <v>3516</v>
      </c>
      <c r="I24" s="1003">
        <v>3328</v>
      </c>
      <c r="J24" s="1005">
        <v>2974</v>
      </c>
      <c r="K24" s="745">
        <v>3141</v>
      </c>
      <c r="L24" s="1005">
        <v>2699</v>
      </c>
      <c r="M24" s="1003">
        <v>2676</v>
      </c>
      <c r="N24" s="1005">
        <v>2527</v>
      </c>
      <c r="O24" s="745">
        <v>3290</v>
      </c>
      <c r="P24" s="1005">
        <v>3084</v>
      </c>
      <c r="Q24" s="1003">
        <v>3406</v>
      </c>
      <c r="R24" s="1005">
        <v>1587</v>
      </c>
      <c r="S24" s="745">
        <v>1370</v>
      </c>
      <c r="T24" s="745">
        <v>1347</v>
      </c>
      <c r="U24" s="746">
        <v>1265</v>
      </c>
      <c r="V24" s="745">
        <v>1249</v>
      </c>
      <c r="W24" s="745">
        <v>1371</v>
      </c>
      <c r="X24" s="745">
        <v>1427</v>
      </c>
      <c r="Y24" s="746"/>
      <c r="Z24" s="1005"/>
      <c r="AA24" s="1005"/>
      <c r="AB24" s="1005"/>
      <c r="AC24" s="1003"/>
      <c r="AD24" s="1005"/>
      <c r="AE24" s="1005"/>
      <c r="AF24" s="1005"/>
      <c r="AG24" s="1003"/>
      <c r="AH24" s="1022"/>
      <c r="AI24" s="1022"/>
      <c r="AJ24" s="1022"/>
      <c r="AK24" s="1022"/>
      <c r="AL24" s="1023"/>
      <c r="AM24" s="1003"/>
      <c r="AN24" s="1003"/>
      <c r="AO24" s="1003"/>
      <c r="AP24" s="1210"/>
      <c r="AQ24" s="1005">
        <v>9984</v>
      </c>
      <c r="AR24" s="1005">
        <v>8516</v>
      </c>
      <c r="AS24" s="1010">
        <v>2396</v>
      </c>
      <c r="AT24" s="1000">
        <v>0.20852915578764142</v>
      </c>
      <c r="AU24" s="1058"/>
      <c r="AV24" s="1112">
        <v>13886</v>
      </c>
      <c r="AW24" s="1112">
        <v>11490</v>
      </c>
      <c r="AX24" s="1211">
        <v>12307</v>
      </c>
      <c r="AY24" s="1211">
        <v>5569</v>
      </c>
      <c r="AZ24" s="43">
        <v>5470</v>
      </c>
      <c r="BA24" s="43">
        <v>5005</v>
      </c>
      <c r="BB24" s="744">
        <v>5056</v>
      </c>
      <c r="BC24" s="744">
        <v>2571</v>
      </c>
      <c r="BD24" s="1011">
        <v>3930</v>
      </c>
      <c r="BE24" s="1025">
        <v>2980</v>
      </c>
      <c r="BF24" s="1025">
        <v>2274</v>
      </c>
      <c r="BG24" s="999">
        <v>4205</v>
      </c>
      <c r="BH24" s="962"/>
      <c r="BJ24" s="943"/>
      <c r="BK24" s="943"/>
      <c r="BL24" s="943"/>
      <c r="BM24" s="943"/>
    </row>
    <row r="25" spans="1:90" ht="12.75" customHeight="1" x14ac:dyDescent="0.2">
      <c r="A25" s="988"/>
      <c r="B25" s="990" t="s">
        <v>67</v>
      </c>
      <c r="C25" s="999">
        <v>-422</v>
      </c>
      <c r="D25" s="1000">
        <v>-0.37644959857270294</v>
      </c>
      <c r="E25" s="1001"/>
      <c r="F25" s="1005">
        <v>699</v>
      </c>
      <c r="G25" s="745">
        <v>481</v>
      </c>
      <c r="H25" s="1005">
        <v>750</v>
      </c>
      <c r="I25" s="1003">
        <v>1778</v>
      </c>
      <c r="J25" s="1005">
        <v>1121</v>
      </c>
      <c r="K25" s="745">
        <v>965</v>
      </c>
      <c r="L25" s="1005">
        <v>817</v>
      </c>
      <c r="M25" s="1003">
        <v>1237</v>
      </c>
      <c r="N25" s="1005">
        <v>393</v>
      </c>
      <c r="O25" s="745">
        <v>442</v>
      </c>
      <c r="P25" s="1005">
        <v>502</v>
      </c>
      <c r="Q25" s="1003">
        <v>562</v>
      </c>
      <c r="R25" s="1005">
        <v>81</v>
      </c>
      <c r="S25" s="745">
        <v>48</v>
      </c>
      <c r="T25" s="745">
        <v>56</v>
      </c>
      <c r="U25" s="746">
        <v>38</v>
      </c>
      <c r="V25" s="745">
        <v>41</v>
      </c>
      <c r="W25" s="745">
        <v>52</v>
      </c>
      <c r="X25" s="745">
        <v>30</v>
      </c>
      <c r="Y25" s="746"/>
      <c r="Z25" s="1005"/>
      <c r="AA25" s="1005"/>
      <c r="AB25" s="1005"/>
      <c r="AC25" s="1003"/>
      <c r="AD25" s="1005"/>
      <c r="AE25" s="1005"/>
      <c r="AF25" s="1005"/>
      <c r="AG25" s="1003"/>
      <c r="AH25" s="1022"/>
      <c r="AI25" s="1022"/>
      <c r="AJ25" s="1022"/>
      <c r="AK25" s="1022"/>
      <c r="AL25" s="1023"/>
      <c r="AM25" s="1003"/>
      <c r="AN25" s="1003"/>
      <c r="AO25" s="1003"/>
      <c r="AP25" s="1210"/>
      <c r="AQ25" s="1005">
        <v>3009</v>
      </c>
      <c r="AR25" s="1005">
        <v>3019</v>
      </c>
      <c r="AS25" s="1010">
        <v>-432</v>
      </c>
      <c r="AT25" s="1000">
        <v>-0.10434782608695652</v>
      </c>
      <c r="AU25" s="1058"/>
      <c r="AV25" s="1112">
        <v>3708</v>
      </c>
      <c r="AW25" s="1112">
        <v>4140</v>
      </c>
      <c r="AX25" s="1211">
        <v>1899</v>
      </c>
      <c r="AY25" s="1211">
        <v>223</v>
      </c>
      <c r="AZ25" s="43">
        <v>181</v>
      </c>
      <c r="BA25" s="43">
        <v>238</v>
      </c>
      <c r="BB25" s="744">
        <v>170</v>
      </c>
      <c r="BC25" s="744">
        <v>129</v>
      </c>
      <c r="BD25" s="1011">
        <v>551</v>
      </c>
      <c r="BE25" s="1025">
        <v>175</v>
      </c>
      <c r="BF25" s="1025">
        <v>114</v>
      </c>
      <c r="BG25" s="999">
        <v>35</v>
      </c>
      <c r="BH25" s="962"/>
      <c r="BJ25" s="943"/>
      <c r="BK25" s="943"/>
      <c r="BL25" s="943"/>
      <c r="BM25" s="943"/>
    </row>
    <row r="26" spans="1:90" ht="12.75" customHeight="1" x14ac:dyDescent="0.2">
      <c r="A26" s="988"/>
      <c r="B26" s="990" t="s">
        <v>73</v>
      </c>
      <c r="C26" s="999">
        <v>-936</v>
      </c>
      <c r="D26" s="1000">
        <v>-0.18334965719882468</v>
      </c>
      <c r="E26" s="1001"/>
      <c r="F26" s="1005">
        <v>4169</v>
      </c>
      <c r="G26" s="745">
        <v>6518</v>
      </c>
      <c r="H26" s="1005">
        <v>4524</v>
      </c>
      <c r="I26" s="1003">
        <v>5014</v>
      </c>
      <c r="J26" s="1005">
        <v>5105</v>
      </c>
      <c r="K26" s="745">
        <v>3641</v>
      </c>
      <c r="L26" s="1005">
        <v>2765</v>
      </c>
      <c r="M26" s="1003">
        <v>4603</v>
      </c>
      <c r="N26" s="1005">
        <v>4060</v>
      </c>
      <c r="O26" s="745">
        <v>4237</v>
      </c>
      <c r="P26" s="1005">
        <v>3965</v>
      </c>
      <c r="Q26" s="1003">
        <v>4820</v>
      </c>
      <c r="R26" s="1005">
        <v>3382</v>
      </c>
      <c r="S26" s="745">
        <v>3078</v>
      </c>
      <c r="T26" s="745">
        <v>3287</v>
      </c>
      <c r="U26" s="746">
        <v>3054</v>
      </c>
      <c r="V26" s="745">
        <v>2838</v>
      </c>
      <c r="W26" s="745">
        <v>3018</v>
      </c>
      <c r="X26" s="745">
        <v>2680</v>
      </c>
      <c r="Y26" s="746"/>
      <c r="Z26" s="1005"/>
      <c r="AA26" s="1005"/>
      <c r="AB26" s="1005"/>
      <c r="AC26" s="1003"/>
      <c r="AD26" s="1005"/>
      <c r="AE26" s="1005"/>
      <c r="AF26" s="1005"/>
      <c r="AG26" s="1003"/>
      <c r="AH26" s="1022"/>
      <c r="AI26" s="1022"/>
      <c r="AJ26" s="1022"/>
      <c r="AK26" s="1022"/>
      <c r="AL26" s="1023"/>
      <c r="AM26" s="1003"/>
      <c r="AN26" s="1003"/>
      <c r="AO26" s="1003"/>
      <c r="AP26" s="1210"/>
      <c r="AQ26" s="1005">
        <v>16056</v>
      </c>
      <c r="AR26" s="1005">
        <v>11009</v>
      </c>
      <c r="AS26" s="1010">
        <v>4111</v>
      </c>
      <c r="AT26" s="1000">
        <v>0.25511977162715649</v>
      </c>
      <c r="AU26" s="1058"/>
      <c r="AV26" s="1112">
        <v>20225</v>
      </c>
      <c r="AW26" s="1112">
        <v>16114</v>
      </c>
      <c r="AX26" s="1211">
        <v>17082</v>
      </c>
      <c r="AY26" s="1211">
        <v>12801</v>
      </c>
      <c r="AZ26" s="43">
        <v>11446</v>
      </c>
      <c r="BA26" s="43">
        <v>8776</v>
      </c>
      <c r="BB26" s="744">
        <v>13146</v>
      </c>
      <c r="BC26" s="744">
        <v>12344</v>
      </c>
      <c r="BD26" s="1011">
        <v>12437</v>
      </c>
      <c r="BE26" s="1025">
        <v>11037</v>
      </c>
      <c r="BF26" s="1025">
        <v>6277</v>
      </c>
      <c r="BG26" s="999">
        <v>7632</v>
      </c>
      <c r="BH26" s="962"/>
      <c r="BJ26" s="943"/>
      <c r="BK26" s="943"/>
      <c r="BL26" s="943"/>
      <c r="BM26" s="943"/>
    </row>
    <row r="27" spans="1:90" ht="12.75" customHeight="1" x14ac:dyDescent="0.2">
      <c r="A27" s="988"/>
      <c r="B27" s="990" t="s">
        <v>74</v>
      </c>
      <c r="C27" s="999">
        <v>101</v>
      </c>
      <c r="D27" s="1000">
        <v>0.32686084142394822</v>
      </c>
      <c r="E27" s="1417"/>
      <c r="F27" s="1005">
        <v>410</v>
      </c>
      <c r="G27" s="745">
        <v>334</v>
      </c>
      <c r="H27" s="1005">
        <v>317</v>
      </c>
      <c r="I27" s="1003">
        <v>309</v>
      </c>
      <c r="J27" s="1005">
        <v>309</v>
      </c>
      <c r="K27" s="745">
        <v>290</v>
      </c>
      <c r="L27" s="1005">
        <v>273</v>
      </c>
      <c r="M27" s="1003">
        <v>262</v>
      </c>
      <c r="N27" s="1005">
        <v>201</v>
      </c>
      <c r="O27" s="745">
        <v>213</v>
      </c>
      <c r="P27" s="1005">
        <v>406</v>
      </c>
      <c r="Q27" s="1003">
        <v>442</v>
      </c>
      <c r="R27" s="1005">
        <v>552</v>
      </c>
      <c r="S27" s="745">
        <v>320</v>
      </c>
      <c r="T27" s="745">
        <v>313</v>
      </c>
      <c r="U27" s="746">
        <v>243</v>
      </c>
      <c r="V27" s="745">
        <v>201</v>
      </c>
      <c r="W27" s="745">
        <v>258</v>
      </c>
      <c r="X27" s="745">
        <v>276</v>
      </c>
      <c r="Y27" s="746"/>
      <c r="Z27" s="1005"/>
      <c r="AA27" s="1005"/>
      <c r="AB27" s="1005"/>
      <c r="AC27" s="1003"/>
      <c r="AD27" s="1005"/>
      <c r="AE27" s="1005"/>
      <c r="AF27" s="1005"/>
      <c r="AG27" s="1003"/>
      <c r="AH27" s="1022"/>
      <c r="AI27" s="1022"/>
      <c r="AJ27" s="1022"/>
      <c r="AK27" s="1022"/>
      <c r="AL27" s="1023"/>
      <c r="AM27" s="1003"/>
      <c r="AN27" s="1003"/>
      <c r="AO27" s="1003"/>
      <c r="AP27" s="1210"/>
      <c r="AQ27" s="1005">
        <v>960</v>
      </c>
      <c r="AR27" s="1005">
        <v>825</v>
      </c>
      <c r="AS27" s="1010">
        <v>236</v>
      </c>
      <c r="AT27" s="1000">
        <v>0.20811287477954143</v>
      </c>
      <c r="AU27" s="1058"/>
      <c r="AV27" s="1112">
        <v>1370</v>
      </c>
      <c r="AW27" s="1112">
        <v>1134</v>
      </c>
      <c r="AX27" s="1211">
        <v>1262</v>
      </c>
      <c r="AY27" s="1211">
        <v>1428</v>
      </c>
      <c r="AZ27" s="43">
        <v>997</v>
      </c>
      <c r="BA27" s="43">
        <v>1123</v>
      </c>
      <c r="BB27" s="744">
        <v>1098</v>
      </c>
      <c r="BC27" s="744">
        <v>1106</v>
      </c>
      <c r="BD27" s="1011">
        <v>1063</v>
      </c>
      <c r="BE27" s="1025">
        <v>893</v>
      </c>
      <c r="BF27" s="1025">
        <v>470</v>
      </c>
      <c r="BG27" s="999">
        <v>1291</v>
      </c>
      <c r="BH27" s="962"/>
      <c r="BJ27" s="943"/>
      <c r="BK27" s="943"/>
      <c r="BL27" s="943"/>
      <c r="BM27" s="943"/>
    </row>
    <row r="28" spans="1:90" ht="12.75" customHeight="1" x14ac:dyDescent="0.2">
      <c r="A28" s="952"/>
      <c r="B28" s="990" t="s">
        <v>75</v>
      </c>
      <c r="C28" s="999">
        <v>-605</v>
      </c>
      <c r="D28" s="1000">
        <v>-0.5058528428093646</v>
      </c>
      <c r="E28" s="1001"/>
      <c r="F28" s="1198">
        <v>591</v>
      </c>
      <c r="G28" s="745">
        <v>1793</v>
      </c>
      <c r="H28" s="1005">
        <v>1133</v>
      </c>
      <c r="I28" s="1042">
        <v>1429</v>
      </c>
      <c r="J28" s="1198">
        <v>1196</v>
      </c>
      <c r="K28" s="745">
        <v>1202</v>
      </c>
      <c r="L28" s="1005">
        <v>917</v>
      </c>
      <c r="M28" s="1042">
        <v>614</v>
      </c>
      <c r="N28" s="1198">
        <v>762</v>
      </c>
      <c r="O28" s="745">
        <v>1031</v>
      </c>
      <c r="P28" s="1005">
        <v>1301</v>
      </c>
      <c r="Q28" s="1042">
        <v>1665</v>
      </c>
      <c r="R28" s="1198">
        <v>1123</v>
      </c>
      <c r="S28" s="745">
        <v>1039</v>
      </c>
      <c r="T28" s="745">
        <v>1211</v>
      </c>
      <c r="U28" s="746">
        <v>1162</v>
      </c>
      <c r="V28" s="745">
        <v>503</v>
      </c>
      <c r="W28" s="745">
        <v>1204</v>
      </c>
      <c r="X28" s="745">
        <v>1025</v>
      </c>
      <c r="Y28" s="746"/>
      <c r="Z28" s="1005"/>
      <c r="AA28" s="1005"/>
      <c r="AB28" s="1005"/>
      <c r="AC28" s="1003"/>
      <c r="AD28" s="1005"/>
      <c r="AE28" s="1005"/>
      <c r="AF28" s="1005"/>
      <c r="AG28" s="1003"/>
      <c r="AH28" s="1022"/>
      <c r="AI28" s="1022"/>
      <c r="AJ28" s="1022"/>
      <c r="AK28" s="1022"/>
      <c r="AL28" s="1023"/>
      <c r="AM28" s="1003"/>
      <c r="AN28" s="1003"/>
      <c r="AO28" s="1003"/>
      <c r="AP28" s="1210"/>
      <c r="AQ28" s="1005">
        <v>4355</v>
      </c>
      <c r="AR28" s="1005">
        <v>2733</v>
      </c>
      <c r="AS28" s="1010">
        <v>1017</v>
      </c>
      <c r="AT28" s="1000">
        <v>0.25884448969203361</v>
      </c>
      <c r="AU28" s="1058"/>
      <c r="AV28" s="1112">
        <v>4946</v>
      </c>
      <c r="AW28" s="1112">
        <v>3929</v>
      </c>
      <c r="AX28" s="1211">
        <v>4759</v>
      </c>
      <c r="AY28" s="1211">
        <v>4535</v>
      </c>
      <c r="AZ28" s="43">
        <v>3033</v>
      </c>
      <c r="BA28" s="43">
        <v>4075</v>
      </c>
      <c r="BB28" s="744">
        <v>11506</v>
      </c>
      <c r="BC28" s="744">
        <v>16878</v>
      </c>
      <c r="BD28" s="1011">
        <v>1510</v>
      </c>
      <c r="BE28" s="1025">
        <v>538</v>
      </c>
      <c r="BF28" s="1025">
        <v>590</v>
      </c>
      <c r="BG28" s="999">
        <v>836</v>
      </c>
      <c r="BH28" s="962"/>
      <c r="BJ28" s="943"/>
      <c r="BK28" s="943"/>
      <c r="BL28" s="943"/>
      <c r="BM28" s="943"/>
    </row>
    <row r="29" spans="1:90" ht="12.75" customHeight="1" x14ac:dyDescent="0.2">
      <c r="A29" s="988"/>
      <c r="B29" s="952" t="s">
        <v>169</v>
      </c>
      <c r="C29" s="999">
        <v>7348</v>
      </c>
      <c r="D29" s="1000">
        <v>0</v>
      </c>
      <c r="E29" s="1001"/>
      <c r="F29" s="1039">
        <v>7348</v>
      </c>
      <c r="G29" s="251">
        <v>0</v>
      </c>
      <c r="H29" s="1218"/>
      <c r="I29" s="300">
        <v>0</v>
      </c>
      <c r="J29" s="1039">
        <v>0</v>
      </c>
      <c r="K29" s="251">
        <v>0</v>
      </c>
      <c r="L29" s="1218">
        <v>0</v>
      </c>
      <c r="M29" s="300">
        <v>0</v>
      </c>
      <c r="N29" s="1039">
        <v>0</v>
      </c>
      <c r="O29" s="251">
        <v>2985</v>
      </c>
      <c r="P29" s="1218">
        <v>3820</v>
      </c>
      <c r="Q29" s="300">
        <v>0</v>
      </c>
      <c r="R29" s="1039">
        <v>2758</v>
      </c>
      <c r="S29" s="251">
        <v>408</v>
      </c>
      <c r="T29" s="251">
        <v>0</v>
      </c>
      <c r="U29" s="300">
        <v>0</v>
      </c>
      <c r="V29" s="1039">
        <v>0</v>
      </c>
      <c r="W29" s="251">
        <v>0</v>
      </c>
      <c r="X29" s="251">
        <v>0</v>
      </c>
      <c r="Y29" s="419"/>
      <c r="Z29" s="1043"/>
      <c r="AA29" s="1059"/>
      <c r="AB29" s="1059"/>
      <c r="AC29" s="1060"/>
      <c r="AD29" s="1005"/>
      <c r="AE29" s="1005"/>
      <c r="AF29" s="1059"/>
      <c r="AG29" s="1060"/>
      <c r="AH29" s="1219"/>
      <c r="AI29" s="1218"/>
      <c r="AJ29" s="1218"/>
      <c r="AK29" s="1218"/>
      <c r="AL29" s="1220"/>
      <c r="AM29" s="1221"/>
      <c r="AN29" s="1003"/>
      <c r="AO29" s="1003"/>
      <c r="AP29" s="1210"/>
      <c r="AQ29" s="1050">
        <v>0</v>
      </c>
      <c r="AR29" s="251">
        <v>0</v>
      </c>
      <c r="AS29" s="1010">
        <v>7348</v>
      </c>
      <c r="AT29" s="1000">
        <v>0</v>
      </c>
      <c r="AU29" s="1058"/>
      <c r="AV29" s="1203">
        <v>7348</v>
      </c>
      <c r="AW29" s="1203">
        <v>0</v>
      </c>
      <c r="AX29" s="1222">
        <v>6805</v>
      </c>
      <c r="AY29" s="1222">
        <v>3166</v>
      </c>
      <c r="AZ29" s="270">
        <v>0</v>
      </c>
      <c r="BA29" s="1203">
        <v>0</v>
      </c>
      <c r="BB29" s="1203">
        <v>0</v>
      </c>
      <c r="BC29" s="1078">
        <v>0</v>
      </c>
      <c r="BD29" s="1062">
        <v>0</v>
      </c>
      <c r="BE29" s="1062">
        <v>0</v>
      </c>
      <c r="BF29" s="1025">
        <v>0</v>
      </c>
      <c r="BG29" s="999">
        <v>0</v>
      </c>
      <c r="BH29" s="962"/>
      <c r="BJ29" s="943"/>
      <c r="BK29" s="943"/>
      <c r="BL29" s="943"/>
      <c r="BM29" s="943"/>
    </row>
    <row r="30" spans="1:90" ht="12.75" hidden="1" customHeight="1" x14ac:dyDescent="0.2">
      <c r="A30" s="952"/>
      <c r="B30" s="1058" t="s">
        <v>168</v>
      </c>
      <c r="C30" s="999">
        <v>0</v>
      </c>
      <c r="D30" s="1041" t="e">
        <v>#DIV/0!</v>
      </c>
      <c r="E30" s="1001"/>
      <c r="F30" s="1218"/>
      <c r="G30" s="1218"/>
      <c r="H30" s="1218"/>
      <c r="I30" s="1221"/>
      <c r="J30" s="1218"/>
      <c r="K30" s="1218"/>
      <c r="L30" s="1218"/>
      <c r="M30" s="1221"/>
      <c r="N30" s="1218"/>
      <c r="O30" s="1218"/>
      <c r="P30" s="1218"/>
      <c r="Q30" s="1221"/>
      <c r="R30" s="1218"/>
      <c r="S30" s="1218"/>
      <c r="T30" s="1218"/>
      <c r="U30" s="1221"/>
      <c r="V30" s="1218"/>
      <c r="W30" s="1218"/>
      <c r="X30" s="1218"/>
      <c r="Y30" s="1221"/>
      <c r="Z30" s="1218"/>
      <c r="AA30" s="1218"/>
      <c r="AB30" s="1218"/>
      <c r="AC30" s="1221"/>
      <c r="AD30" s="1218"/>
      <c r="AE30" s="1218"/>
      <c r="AF30" s="1218"/>
      <c r="AG30" s="1221"/>
      <c r="AH30" s="1220"/>
      <c r="AI30" s="1218"/>
      <c r="AJ30" s="1218"/>
      <c r="AK30" s="1218"/>
      <c r="AL30" s="1220"/>
      <c r="AM30" s="1221"/>
      <c r="AN30" s="1221"/>
      <c r="AO30" s="1221"/>
      <c r="AP30" s="1210"/>
      <c r="AQ30" s="1050">
        <v>0</v>
      </c>
      <c r="AR30" s="1218">
        <v>0</v>
      </c>
      <c r="AS30" s="1126">
        <v>0</v>
      </c>
      <c r="AT30" s="1000" t="e">
        <v>#DIV/0!</v>
      </c>
      <c r="AU30" s="1058"/>
      <c r="AV30" s="1203">
        <v>0</v>
      </c>
      <c r="AW30" s="1203">
        <v>0</v>
      </c>
      <c r="AX30" s="1203">
        <v>0</v>
      </c>
      <c r="AY30" s="1203">
        <v>0</v>
      </c>
      <c r="AZ30" s="1203"/>
      <c r="BA30" s="1203"/>
      <c r="BB30" s="1203"/>
      <c r="BC30" s="1203"/>
      <c r="BD30" s="1057"/>
      <c r="BE30" s="1025"/>
      <c r="BF30" s="1025"/>
      <c r="BG30" s="999">
        <v>0</v>
      </c>
      <c r="BH30" s="962"/>
      <c r="BJ30" s="943"/>
      <c r="BK30" s="943"/>
      <c r="BL30" s="943"/>
      <c r="BM30" s="943"/>
    </row>
    <row r="31" spans="1:90" ht="12.75" hidden="1" customHeight="1" x14ac:dyDescent="0.2">
      <c r="A31" s="952"/>
      <c r="B31" s="952" t="s">
        <v>167</v>
      </c>
      <c r="C31" s="999"/>
      <c r="D31" s="1041"/>
      <c r="E31" s="1001"/>
      <c r="F31" s="1218"/>
      <c r="G31" s="1218"/>
      <c r="H31" s="1218"/>
      <c r="I31" s="1221"/>
      <c r="J31" s="1218"/>
      <c r="K31" s="1218"/>
      <c r="L31" s="1218"/>
      <c r="M31" s="1221"/>
      <c r="N31" s="1218"/>
      <c r="O31" s="1218"/>
      <c r="P31" s="1218"/>
      <c r="Q31" s="1221"/>
      <c r="R31" s="1218"/>
      <c r="S31" s="1218">
        <v>0</v>
      </c>
      <c r="T31" s="1218">
        <v>0</v>
      </c>
      <c r="U31" s="1221">
        <v>0</v>
      </c>
      <c r="V31" s="1218">
        <v>0</v>
      </c>
      <c r="W31" s="1218">
        <v>0</v>
      </c>
      <c r="X31" s="1218">
        <v>0</v>
      </c>
      <c r="Y31" s="1221"/>
      <c r="Z31" s="1218"/>
      <c r="AA31" s="1218"/>
      <c r="AB31" s="1218"/>
      <c r="AC31" s="1221"/>
      <c r="AD31" s="1218"/>
      <c r="AE31" s="1218"/>
      <c r="AF31" s="1218"/>
      <c r="AG31" s="1221"/>
      <c r="AH31" s="1220"/>
      <c r="AI31" s="1218"/>
      <c r="AJ31" s="1218"/>
      <c r="AK31" s="1218"/>
      <c r="AL31" s="1220"/>
      <c r="AM31" s="1221"/>
      <c r="AN31" s="1221"/>
      <c r="AO31" s="1221"/>
      <c r="AP31" s="1210"/>
      <c r="AQ31" s="1050">
        <v>0</v>
      </c>
      <c r="AR31" s="1218">
        <v>0</v>
      </c>
      <c r="AS31" s="1126"/>
      <c r="AT31" s="1000"/>
      <c r="AU31" s="1058"/>
      <c r="AV31" s="1203">
        <v>0</v>
      </c>
      <c r="AW31" s="1203"/>
      <c r="AX31" s="1203"/>
      <c r="AY31" s="1203"/>
      <c r="AZ31" s="1203"/>
      <c r="BA31" s="1203"/>
      <c r="BB31" s="1078">
        <v>27566</v>
      </c>
      <c r="BC31" s="1203">
        <v>0</v>
      </c>
      <c r="BD31" s="1057">
        <v>0</v>
      </c>
      <c r="BE31" s="1057">
        <v>0</v>
      </c>
      <c r="BF31" s="1057">
        <v>0</v>
      </c>
      <c r="BG31" s="1056">
        <v>0</v>
      </c>
      <c r="BH31" s="962"/>
      <c r="BJ31" s="943"/>
      <c r="BK31" s="943"/>
      <c r="BL31" s="943"/>
      <c r="BM31" s="943"/>
    </row>
    <row r="32" spans="1:90" ht="12.75" customHeight="1" x14ac:dyDescent="0.2">
      <c r="A32" s="952"/>
      <c r="B32" s="952" t="s">
        <v>190</v>
      </c>
      <c r="C32" s="999">
        <v>0</v>
      </c>
      <c r="D32" s="1041">
        <v>0</v>
      </c>
      <c r="E32" s="1001"/>
      <c r="F32" s="251">
        <v>0</v>
      </c>
      <c r="G32" s="251">
        <v>0</v>
      </c>
      <c r="H32" s="1223"/>
      <c r="I32" s="1042">
        <v>0</v>
      </c>
      <c r="J32" s="251">
        <v>0</v>
      </c>
      <c r="K32" s="251">
        <v>0</v>
      </c>
      <c r="L32" s="1223">
        <v>0</v>
      </c>
      <c r="M32" s="1042">
        <v>0</v>
      </c>
      <c r="N32" s="251">
        <v>0</v>
      </c>
      <c r="O32" s="251">
        <v>0</v>
      </c>
      <c r="P32" s="1223">
        <v>0</v>
      </c>
      <c r="Q32" s="1042">
        <v>0</v>
      </c>
      <c r="R32" s="251">
        <v>438</v>
      </c>
      <c r="S32" s="251">
        <v>0</v>
      </c>
      <c r="T32" s="1039">
        <v>0</v>
      </c>
      <c r="U32" s="1042">
        <v>0</v>
      </c>
      <c r="V32" s="251">
        <v>0</v>
      </c>
      <c r="W32" s="251">
        <v>0</v>
      </c>
      <c r="X32" s="1039">
        <v>0</v>
      </c>
      <c r="Y32" s="1042"/>
      <c r="Z32" s="1005"/>
      <c r="AA32" s="1043"/>
      <c r="AB32" s="1043"/>
      <c r="AC32" s="1044"/>
      <c r="AD32" s="1043"/>
      <c r="AE32" s="1043"/>
      <c r="AF32" s="1043"/>
      <c r="AG32" s="1045"/>
      <c r="AH32" s="1138"/>
      <c r="AI32" s="1138"/>
      <c r="AJ32" s="1138"/>
      <c r="AK32" s="1138"/>
      <c r="AL32" s="1224"/>
      <c r="AM32" s="1045"/>
      <c r="AN32" s="1045"/>
      <c r="AO32" s="1045"/>
      <c r="AP32" s="1053"/>
      <c r="AQ32" s="1050">
        <v>0</v>
      </c>
      <c r="AR32" s="1225">
        <v>0</v>
      </c>
      <c r="AS32" s="1199">
        <v>0</v>
      </c>
      <c r="AT32" s="1000">
        <v>0</v>
      </c>
      <c r="AU32" s="1226"/>
      <c r="AV32" s="1203">
        <v>0</v>
      </c>
      <c r="AW32" s="1203">
        <v>0</v>
      </c>
      <c r="AX32" s="270">
        <v>0</v>
      </c>
      <c r="AY32" s="270">
        <v>438</v>
      </c>
      <c r="AZ32" s="270">
        <v>0</v>
      </c>
      <c r="BA32" s="1078">
        <v>0</v>
      </c>
      <c r="BB32" s="1078">
        <v>0</v>
      </c>
      <c r="BC32" s="1078">
        <v>0</v>
      </c>
      <c r="BD32" s="1052">
        <v>0</v>
      </c>
      <c r="BE32" s="1053">
        <v>0</v>
      </c>
      <c r="BF32" s="1025"/>
      <c r="BG32" s="999">
        <v>0</v>
      </c>
      <c r="BH32" s="962"/>
      <c r="BJ32" s="943"/>
      <c r="BK32" s="943"/>
      <c r="BL32" s="943"/>
      <c r="BM32" s="943"/>
    </row>
    <row r="33" spans="1:65" ht="12.75" customHeight="1" x14ac:dyDescent="0.2">
      <c r="A33" s="988"/>
      <c r="B33" s="952"/>
      <c r="C33" s="1012">
        <v>5374</v>
      </c>
      <c r="D33" s="1063">
        <v>9.6156598912109939E-2</v>
      </c>
      <c r="E33" s="1001"/>
      <c r="F33" s="1015">
        <v>61262</v>
      </c>
      <c r="G33" s="1015">
        <v>48727</v>
      </c>
      <c r="H33" s="1015">
        <v>42954</v>
      </c>
      <c r="I33" s="1021">
        <v>53543</v>
      </c>
      <c r="J33" s="1015">
        <v>55888</v>
      </c>
      <c r="K33" s="1015">
        <v>44687</v>
      </c>
      <c r="L33" s="1015">
        <v>40149</v>
      </c>
      <c r="M33" s="1021">
        <v>46170</v>
      </c>
      <c r="N33" s="1015">
        <v>41115</v>
      </c>
      <c r="O33" s="1015">
        <v>38842</v>
      </c>
      <c r="P33" s="1015">
        <v>42362</v>
      </c>
      <c r="Q33" s="1021">
        <v>40441</v>
      </c>
      <c r="R33" s="1015">
        <v>26285</v>
      </c>
      <c r="S33" s="1015">
        <v>18943</v>
      </c>
      <c r="T33" s="1015">
        <v>19894</v>
      </c>
      <c r="U33" s="1021">
        <v>23244</v>
      </c>
      <c r="V33" s="1064">
        <v>22838</v>
      </c>
      <c r="W33" s="1064">
        <v>26863</v>
      </c>
      <c r="X33" s="1015">
        <v>19909</v>
      </c>
      <c r="Y33" s="1021">
        <v>0</v>
      </c>
      <c r="Z33" s="1015">
        <v>27693</v>
      </c>
      <c r="AA33" s="1064">
        <v>37922</v>
      </c>
      <c r="AB33" s="1015">
        <v>19480</v>
      </c>
      <c r="AC33" s="1021">
        <v>22187</v>
      </c>
      <c r="AD33" s="1064">
        <v>0</v>
      </c>
      <c r="AE33" s="1064">
        <v>0</v>
      </c>
      <c r="AF33" s="1064">
        <v>0</v>
      </c>
      <c r="AG33" s="1021">
        <v>0</v>
      </c>
      <c r="AH33" s="1064">
        <v>0</v>
      </c>
      <c r="AI33" s="1064">
        <v>87449</v>
      </c>
      <c r="AJ33" s="1014">
        <v>74128</v>
      </c>
      <c r="AK33" s="1064">
        <v>106349</v>
      </c>
      <c r="AL33" s="1065">
        <v>100905</v>
      </c>
      <c r="AM33" s="1021">
        <v>75317</v>
      </c>
      <c r="AN33" s="1021">
        <v>70703</v>
      </c>
      <c r="AO33" s="1064">
        <v>91522</v>
      </c>
      <c r="AP33" s="1210"/>
      <c r="AQ33" s="1015">
        <v>145224</v>
      </c>
      <c r="AR33" s="1015">
        <v>131006</v>
      </c>
      <c r="AS33" s="1066">
        <v>19592</v>
      </c>
      <c r="AT33" s="1067">
        <v>0.10482947553158475</v>
      </c>
      <c r="AU33" s="952"/>
      <c r="AV33" s="1068">
        <v>206486</v>
      </c>
      <c r="AW33" s="1068">
        <v>186894</v>
      </c>
      <c r="AX33" s="1068">
        <v>162760</v>
      </c>
      <c r="AY33" s="1068">
        <v>88366</v>
      </c>
      <c r="AZ33" s="1068">
        <v>91835</v>
      </c>
      <c r="BA33" s="1068">
        <v>87572</v>
      </c>
      <c r="BB33" s="1068">
        <v>112119</v>
      </c>
      <c r="BC33" s="1068">
        <v>98154</v>
      </c>
      <c r="BD33" s="1068">
        <v>125171</v>
      </c>
      <c r="BE33" s="1069">
        <v>105485</v>
      </c>
      <c r="BF33" s="1069">
        <v>67435</v>
      </c>
      <c r="BG33" s="1012">
        <v>154490</v>
      </c>
      <c r="BH33" s="962"/>
      <c r="BJ33" s="943"/>
      <c r="BK33" s="943"/>
      <c r="BL33" s="943"/>
      <c r="BM33" s="943"/>
    </row>
    <row r="34" spans="1:65" s="1074" customFormat="1" ht="24.95" customHeight="1" thickBot="1" x14ac:dyDescent="0.25">
      <c r="A34" s="1491" t="s">
        <v>188</v>
      </c>
      <c r="B34" s="1492"/>
      <c r="C34" s="1012">
        <v>-20132</v>
      </c>
      <c r="D34" s="1013">
        <v>-1.308547286317842</v>
      </c>
      <c r="E34" s="1001"/>
      <c r="F34" s="1296">
        <v>-4747</v>
      </c>
      <c r="G34" s="1296">
        <v>-5234</v>
      </c>
      <c r="H34" s="1296">
        <v>-2251</v>
      </c>
      <c r="I34" s="1295">
        <v>8718</v>
      </c>
      <c r="J34" s="1296">
        <v>15385</v>
      </c>
      <c r="K34" s="1296">
        <v>3582</v>
      </c>
      <c r="L34" s="1296">
        <v>3851</v>
      </c>
      <c r="M34" s="1295">
        <v>6773</v>
      </c>
      <c r="N34" s="1296">
        <v>4091</v>
      </c>
      <c r="O34" s="1296">
        <v>-1217</v>
      </c>
      <c r="P34" s="1296">
        <v>-2888</v>
      </c>
      <c r="Q34" s="1295">
        <v>-9391</v>
      </c>
      <c r="R34" s="1296">
        <v>-7798</v>
      </c>
      <c r="S34" s="1296">
        <v>-1746</v>
      </c>
      <c r="T34" s="1296">
        <v>-2104</v>
      </c>
      <c r="U34" s="1295">
        <v>2768</v>
      </c>
      <c r="V34" s="1296">
        <v>4874</v>
      </c>
      <c r="W34" s="1296">
        <v>5755</v>
      </c>
      <c r="X34" s="1223">
        <v>174</v>
      </c>
      <c r="Y34" s="1295">
        <v>0</v>
      </c>
      <c r="Z34" s="1223">
        <v>-27693</v>
      </c>
      <c r="AA34" s="1296">
        <v>-37922</v>
      </c>
      <c r="AB34" s="1223">
        <v>-19480</v>
      </c>
      <c r="AC34" s="1295">
        <v>-22187</v>
      </c>
      <c r="AD34" s="1296">
        <v>0</v>
      </c>
      <c r="AE34" s="1296">
        <v>0</v>
      </c>
      <c r="AF34" s="1296">
        <v>0</v>
      </c>
      <c r="AG34" s="1295">
        <v>0</v>
      </c>
      <c r="AH34" s="1296">
        <v>0</v>
      </c>
      <c r="AI34" s="1287">
        <v>22134</v>
      </c>
      <c r="AJ34" s="1286">
        <v>14943</v>
      </c>
      <c r="AK34" s="1287">
        <v>48674</v>
      </c>
      <c r="AL34" s="1287">
        <v>29246</v>
      </c>
      <c r="AM34" s="1287">
        <v>26110</v>
      </c>
      <c r="AN34" s="1287">
        <v>22330</v>
      </c>
      <c r="AO34" s="1287">
        <v>33584</v>
      </c>
      <c r="AP34" s="1254"/>
      <c r="AQ34" s="1361">
        <v>1233</v>
      </c>
      <c r="AR34" s="1296">
        <v>14206</v>
      </c>
      <c r="AS34" s="1327">
        <v>-33105</v>
      </c>
      <c r="AT34" s="1013">
        <v>-1.1187523233415566</v>
      </c>
      <c r="AU34" s="992"/>
      <c r="AV34" s="1331">
        <v>-3514</v>
      </c>
      <c r="AW34" s="1018">
        <v>29591</v>
      </c>
      <c r="AX34" s="1331">
        <v>-9405</v>
      </c>
      <c r="AY34" s="1331">
        <v>-8880</v>
      </c>
      <c r="AZ34" s="1018">
        <v>14384</v>
      </c>
      <c r="BA34" s="1018">
        <v>10057</v>
      </c>
      <c r="BB34" s="1018">
        <v>-37325</v>
      </c>
      <c r="BC34" s="1071">
        <v>-7366</v>
      </c>
      <c r="BD34" s="1071">
        <v>62391</v>
      </c>
      <c r="BE34" s="1019">
        <v>44985</v>
      </c>
      <c r="BF34" s="1019">
        <v>28124</v>
      </c>
      <c r="BG34" s="1444">
        <v>57268</v>
      </c>
      <c r="BH34" s="1445"/>
      <c r="BJ34" s="1073"/>
      <c r="BK34" s="1073"/>
      <c r="BL34" s="1073"/>
      <c r="BM34" s="1073"/>
    </row>
    <row r="35" spans="1:65" s="1074" customFormat="1" ht="12.75" customHeight="1" thickTop="1" x14ac:dyDescent="0.2">
      <c r="A35" s="1360"/>
      <c r="B35" s="1076" t="s">
        <v>380</v>
      </c>
      <c r="C35" s="1012">
        <v>3</v>
      </c>
      <c r="D35" s="1013">
        <v>4.0053404539385851E-3</v>
      </c>
      <c r="E35" s="1001"/>
      <c r="F35" s="1249">
        <v>752</v>
      </c>
      <c r="G35" s="1249">
        <v>752</v>
      </c>
      <c r="H35" s="1249">
        <v>752</v>
      </c>
      <c r="I35" s="930">
        <v>748</v>
      </c>
      <c r="J35" s="1249">
        <v>749</v>
      </c>
      <c r="K35" s="1249">
        <v>676</v>
      </c>
      <c r="L35" s="1249">
        <v>751</v>
      </c>
      <c r="M35" s="930">
        <v>525</v>
      </c>
      <c r="N35" s="247">
        <v>0</v>
      </c>
      <c r="O35" s="328">
        <v>0</v>
      </c>
      <c r="P35" s="328">
        <v>0</v>
      </c>
      <c r="Q35" s="1364">
        <v>0</v>
      </c>
      <c r="R35" s="328">
        <v>0</v>
      </c>
      <c r="S35" s="328">
        <v>0</v>
      </c>
      <c r="T35" s="328">
        <v>0</v>
      </c>
      <c r="U35" s="749">
        <v>0</v>
      </c>
      <c r="V35" s="1327"/>
      <c r="W35" s="750"/>
      <c r="X35" s="1327"/>
      <c r="Y35" s="749"/>
      <c r="Z35" s="1327"/>
      <c r="AA35" s="750"/>
      <c r="AB35" s="1327"/>
      <c r="AC35" s="749"/>
      <c r="AD35" s="750"/>
      <c r="AE35" s="750"/>
      <c r="AF35" s="750"/>
      <c r="AG35" s="749"/>
      <c r="AH35" s="750"/>
      <c r="AI35" s="717"/>
      <c r="AJ35" s="1332"/>
      <c r="AK35" s="717"/>
      <c r="AL35" s="717"/>
      <c r="AM35" s="717"/>
      <c r="AN35" s="717"/>
      <c r="AO35" s="717"/>
      <c r="AP35" s="1333"/>
      <c r="AQ35" s="1327">
        <v>2252</v>
      </c>
      <c r="AR35" s="328">
        <v>1952</v>
      </c>
      <c r="AS35" s="1327">
        <v>303</v>
      </c>
      <c r="AT35" s="1013">
        <v>0.11218067382450944</v>
      </c>
      <c r="AU35" s="1363"/>
      <c r="AV35" s="1249">
        <v>3004</v>
      </c>
      <c r="AW35" s="1362">
        <v>2701</v>
      </c>
      <c r="AX35" s="1362">
        <v>0</v>
      </c>
      <c r="AY35" s="1362">
        <v>0</v>
      </c>
      <c r="AZ35" s="1362">
        <v>0</v>
      </c>
      <c r="BA35" s="1362">
        <v>0</v>
      </c>
      <c r="BB35" s="1362">
        <v>0</v>
      </c>
      <c r="BC35" s="1011"/>
      <c r="BD35" s="1028"/>
      <c r="BE35" s="1078"/>
      <c r="BF35" s="1025"/>
      <c r="BG35" s="1036"/>
      <c r="BH35" s="1445"/>
      <c r="BJ35" s="1073"/>
      <c r="BK35" s="1073"/>
      <c r="BL35" s="1073"/>
      <c r="BM35" s="1073"/>
    </row>
    <row r="36" spans="1:65" s="1074" customFormat="1" ht="18.75" customHeight="1" thickBot="1" x14ac:dyDescent="0.25">
      <c r="A36" s="1491" t="s">
        <v>77</v>
      </c>
      <c r="B36" s="1493"/>
      <c r="C36" s="1079">
        <v>-20135</v>
      </c>
      <c r="D36" s="1227">
        <v>-1.3757174091281772</v>
      </c>
      <c r="E36" s="1001"/>
      <c r="F36" s="653">
        <v>-5499</v>
      </c>
      <c r="G36" s="653">
        <v>-5986</v>
      </c>
      <c r="H36" s="653">
        <v>-3003</v>
      </c>
      <c r="I36" s="1081">
        <v>7970</v>
      </c>
      <c r="J36" s="1080">
        <v>14636</v>
      </c>
      <c r="K36" s="1080">
        <v>2906</v>
      </c>
      <c r="L36" s="1080">
        <v>3100</v>
      </c>
      <c r="M36" s="1081">
        <v>6248</v>
      </c>
      <c r="N36" s="1080">
        <v>4091</v>
      </c>
      <c r="O36" s="653">
        <v>-1217</v>
      </c>
      <c r="P36" s="653">
        <v>-2888</v>
      </c>
      <c r="Q36" s="1325">
        <v>-9391</v>
      </c>
      <c r="R36" s="653">
        <v>-7798</v>
      </c>
      <c r="S36" s="653">
        <v>-1746</v>
      </c>
      <c r="T36" s="653">
        <v>-2104</v>
      </c>
      <c r="U36" s="1325">
        <v>2768</v>
      </c>
      <c r="V36" s="653">
        <v>4874</v>
      </c>
      <c r="W36" s="653">
        <v>5755</v>
      </c>
      <c r="X36" s="653">
        <v>174</v>
      </c>
      <c r="Y36" s="1325">
        <v>0</v>
      </c>
      <c r="Z36" s="653">
        <v>-27693</v>
      </c>
      <c r="AA36" s="653">
        <v>-37922</v>
      </c>
      <c r="AB36" s="653">
        <v>-19480</v>
      </c>
      <c r="AC36" s="1325">
        <v>-22187</v>
      </c>
      <c r="AD36" s="653">
        <v>0</v>
      </c>
      <c r="AE36" s="653">
        <v>0</v>
      </c>
      <c r="AF36" s="653">
        <v>0</v>
      </c>
      <c r="AG36" s="1325">
        <v>0</v>
      </c>
      <c r="AH36" s="653">
        <v>0</v>
      </c>
      <c r="AI36" s="1334" t="s">
        <v>186</v>
      </c>
      <c r="AJ36" s="1335" t="s">
        <v>186</v>
      </c>
      <c r="AK36" s="1334"/>
      <c r="AL36" s="1334"/>
      <c r="AM36" s="1334"/>
      <c r="AN36" s="1334"/>
      <c r="AO36" s="1334"/>
      <c r="AP36" s="1333"/>
      <c r="AQ36" s="653">
        <v>-1019</v>
      </c>
      <c r="AR36" s="653">
        <v>12254</v>
      </c>
      <c r="AS36" s="653">
        <v>-33408</v>
      </c>
      <c r="AT36" s="1227">
        <v>-1.2423949423577538</v>
      </c>
      <c r="AU36" s="1077"/>
      <c r="AV36" s="1329">
        <v>-6518</v>
      </c>
      <c r="AW36" s="1329">
        <v>26890</v>
      </c>
      <c r="AX36" s="1329">
        <v>-9405</v>
      </c>
      <c r="AY36" s="1329">
        <v>-8880</v>
      </c>
      <c r="AZ36" s="1329">
        <v>14384</v>
      </c>
      <c r="BA36" s="1329">
        <v>10057</v>
      </c>
      <c r="BB36" s="1329">
        <v>-37325</v>
      </c>
      <c r="BC36" s="1082">
        <v>-7366</v>
      </c>
      <c r="BD36" s="1081">
        <v>62391</v>
      </c>
      <c r="BE36" s="1083">
        <v>44985</v>
      </c>
      <c r="BF36" s="1019">
        <v>28124</v>
      </c>
      <c r="BG36" s="1036"/>
      <c r="BH36" s="1445"/>
      <c r="BJ36" s="1073"/>
      <c r="BK36" s="1073"/>
      <c r="BL36" s="1073"/>
      <c r="BM36" s="1073"/>
    </row>
    <row r="37" spans="1:65" ht="12.75" customHeight="1" thickTop="1" x14ac:dyDescent="0.2">
      <c r="A37" s="1058"/>
      <c r="B37" s="1058"/>
      <c r="C37" s="1036"/>
      <c r="D37" s="1084"/>
      <c r="E37" s="1084"/>
      <c r="F37" s="1084"/>
      <c r="G37" s="1085"/>
      <c r="H37" s="1085"/>
      <c r="I37" s="992"/>
      <c r="J37" s="1084"/>
      <c r="K37" s="1085"/>
      <c r="L37" s="1085"/>
      <c r="M37" s="992"/>
      <c r="N37" s="1084"/>
      <c r="O37" s="1085"/>
      <c r="P37" s="1085"/>
      <c r="Q37" s="992"/>
      <c r="R37" s="1084"/>
      <c r="S37" s="1084"/>
      <c r="T37" s="1085"/>
      <c r="U37" s="992"/>
      <c r="V37" s="1084"/>
      <c r="W37" s="1084"/>
      <c r="X37" s="1084"/>
      <c r="Y37" s="992"/>
      <c r="Z37" s="1084"/>
      <c r="AA37" s="1084"/>
      <c r="AB37" s="1084"/>
      <c r="AC37" s="992"/>
      <c r="AD37" s="1084"/>
      <c r="AE37" s="1084"/>
      <c r="AF37" s="1084"/>
      <c r="AG37" s="992"/>
      <c r="AH37" s="996"/>
      <c r="AI37" s="996"/>
      <c r="AJ37" s="996"/>
      <c r="AK37" s="996"/>
      <c r="AL37" s="1086"/>
      <c r="AM37" s="1086"/>
      <c r="AN37" s="1086"/>
      <c r="AO37" s="1086"/>
      <c r="AP37" s="992"/>
      <c r="AQ37" s="992"/>
      <c r="AR37" s="992"/>
      <c r="AS37" s="1010"/>
      <c r="AT37" s="1084"/>
      <c r="AU37" s="992"/>
      <c r="AV37" s="992"/>
      <c r="AW37" s="992"/>
      <c r="AX37" s="992"/>
      <c r="AY37" s="992"/>
      <c r="AZ37" s="992"/>
      <c r="BA37" s="992"/>
      <c r="BB37" s="992"/>
      <c r="BC37" s="1036"/>
      <c r="BD37" s="1036"/>
      <c r="BE37" s="1036"/>
      <c r="BF37" s="1036"/>
      <c r="BG37" s="1036"/>
      <c r="BH37" s="943"/>
      <c r="BJ37" s="943"/>
      <c r="BK37" s="943"/>
      <c r="BL37" s="943"/>
      <c r="BM37" s="943"/>
    </row>
    <row r="38" spans="1:65" ht="12.75" customHeight="1" x14ac:dyDescent="0.2">
      <c r="A38" s="1228" t="s">
        <v>335</v>
      </c>
      <c r="B38" s="1058"/>
      <c r="C38" s="1087">
        <v>5.792205014665619</v>
      </c>
      <c r="D38" s="1084"/>
      <c r="E38" s="1084"/>
      <c r="F38" s="386">
        <v>0.49825709988498629</v>
      </c>
      <c r="G38" s="386">
        <v>0.48462971052813097</v>
      </c>
      <c r="H38" s="386">
        <v>0.47672161757118642</v>
      </c>
      <c r="I38" s="386">
        <v>0.45604792727389537</v>
      </c>
      <c r="J38" s="386">
        <v>0.4403350497383301</v>
      </c>
      <c r="K38" s="386">
        <v>0.50796577513517993</v>
      </c>
      <c r="L38" s="386">
        <v>0.4989318181818182</v>
      </c>
      <c r="M38" s="386">
        <v>0.4792701584723193</v>
      </c>
      <c r="N38" s="386">
        <v>0.5197982568685573</v>
      </c>
      <c r="O38" s="386">
        <v>0.49724916943521597</v>
      </c>
      <c r="P38" s="386">
        <v>0.4967826924051274</v>
      </c>
      <c r="Q38" s="386">
        <v>0.58276972624798706</v>
      </c>
      <c r="R38" s="386">
        <v>0.64553470005950131</v>
      </c>
      <c r="S38" s="386">
        <v>0.47857184392626623</v>
      </c>
      <c r="T38" s="386">
        <v>0.48870151770657672</v>
      </c>
      <c r="U38" s="386">
        <v>0.50046132554205747</v>
      </c>
      <c r="V38" s="386" t="e">
        <v>#REF!</v>
      </c>
      <c r="W38" s="386" t="e">
        <v>#REF!</v>
      </c>
      <c r="X38" s="386" t="e">
        <v>#REF!</v>
      </c>
      <c r="Y38" s="386" t="e">
        <v>#DIV/0!</v>
      </c>
      <c r="Z38" s="386" t="e">
        <v>#DIV/0!</v>
      </c>
      <c r="AA38" s="386" t="e">
        <v>#DIV/0!</v>
      </c>
      <c r="AB38" s="386" t="e">
        <v>#DIV/0!</v>
      </c>
      <c r="AC38" s="386" t="e">
        <v>#DIV/0!</v>
      </c>
      <c r="AD38" s="386" t="e">
        <v>#DIV/0!</v>
      </c>
      <c r="AE38" s="386" t="e">
        <v>#DIV/0!</v>
      </c>
      <c r="AF38" s="386" t="e">
        <v>#DIV/0!</v>
      </c>
      <c r="AG38" s="386" t="e">
        <v>#DIV/0!</v>
      </c>
      <c r="AH38" s="386" t="e">
        <v>#DIV/0!</v>
      </c>
      <c r="AI38" s="386" t="e">
        <v>#DIV/0!</v>
      </c>
      <c r="AJ38" s="386" t="e">
        <v>#DIV/0!</v>
      </c>
      <c r="AK38" s="386" t="e">
        <v>#DIV/0!</v>
      </c>
      <c r="AL38" s="386" t="e">
        <v>#DIV/0!</v>
      </c>
      <c r="AM38" s="386" t="e">
        <v>#DIV/0!</v>
      </c>
      <c r="AN38" s="386" t="e">
        <v>#DIV/0!</v>
      </c>
      <c r="AO38" s="386" t="e">
        <v>#DIV/0!</v>
      </c>
      <c r="AP38" s="386"/>
      <c r="AQ38" s="386">
        <v>0.47028137951753757</v>
      </c>
      <c r="AR38" s="386">
        <v>0.49476627275982699</v>
      </c>
      <c r="AS38" s="1087">
        <v>0.12248960651204399</v>
      </c>
      <c r="AT38" s="1084"/>
      <c r="AU38" s="992"/>
      <c r="AV38" s="386">
        <v>0.47807086691760442</v>
      </c>
      <c r="AW38" s="386">
        <v>0.47684597085248398</v>
      </c>
      <c r="AX38" s="386">
        <v>0.5210915848847445</v>
      </c>
      <c r="AY38" s="386">
        <v>0.52683491432453511</v>
      </c>
      <c r="AZ38" s="386">
        <v>0.51290258804921907</v>
      </c>
      <c r="BA38" s="386">
        <v>0.54532976881869122</v>
      </c>
      <c r="BB38" s="386">
        <v>0.46133379682862263</v>
      </c>
      <c r="BC38" s="386" t="e">
        <v>#REF!</v>
      </c>
      <c r="BD38" s="1036"/>
      <c r="BE38" s="1036"/>
      <c r="BF38" s="1036"/>
      <c r="BG38" s="1036"/>
      <c r="BH38" s="943"/>
      <c r="BJ38" s="943"/>
      <c r="BK38" s="943"/>
      <c r="BL38" s="943"/>
      <c r="BM38" s="943"/>
    </row>
    <row r="39" spans="1:65" ht="12.75" customHeight="1" x14ac:dyDescent="0.2">
      <c r="A39" s="1228" t="s">
        <v>336</v>
      </c>
      <c r="B39" s="1058"/>
      <c r="C39" s="1087">
        <v>3.8614226247298689</v>
      </c>
      <c r="D39" s="1084"/>
      <c r="E39" s="1084"/>
      <c r="F39" s="386">
        <v>5.665752455100416E-2</v>
      </c>
      <c r="G39" s="386">
        <v>6.4447152415331208E-2</v>
      </c>
      <c r="H39" s="386">
        <v>6.4884652236935847E-2</v>
      </c>
      <c r="I39" s="386">
        <v>3.3825348131253916E-2</v>
      </c>
      <c r="J39" s="386">
        <v>1.804329830370547E-2</v>
      </c>
      <c r="K39" s="386">
        <v>1.9743520686154675E-2</v>
      </c>
      <c r="L39" s="386">
        <v>2.1000000000000001E-2</v>
      </c>
      <c r="M39" s="386">
        <v>1.605500254991217E-2</v>
      </c>
      <c r="N39" s="386">
        <v>1.7763128788213955E-2</v>
      </c>
      <c r="O39" s="386">
        <v>5.5016611295681059E-3</v>
      </c>
      <c r="P39" s="386">
        <v>1.2818564118153722E-2</v>
      </c>
      <c r="Q39" s="386">
        <v>2.9790660225442835E-2</v>
      </c>
      <c r="R39" s="386">
        <v>6.69118840266133E-2</v>
      </c>
      <c r="S39" s="386">
        <v>6.7686224341454909E-2</v>
      </c>
      <c r="T39" s="386">
        <v>5.2951096121416526E-2</v>
      </c>
      <c r="U39" s="386">
        <v>4.2288174688605261E-2</v>
      </c>
      <c r="V39" s="386">
        <v>1.1799942263279446E-2</v>
      </c>
      <c r="W39" s="386">
        <v>1.1956588386780305E-2</v>
      </c>
      <c r="X39" s="386">
        <v>6.4283224617835977E-2</v>
      </c>
      <c r="Y39" s="386" t="e">
        <v>#DIV/0!</v>
      </c>
      <c r="Z39" s="386" t="e">
        <v>#DIV/0!</v>
      </c>
      <c r="AA39" s="386" t="e">
        <v>#DIV/0!</v>
      </c>
      <c r="AB39" s="386" t="e">
        <v>#DIV/0!</v>
      </c>
      <c r="AC39" s="386" t="e">
        <v>#DIV/0!</v>
      </c>
      <c r="AD39" s="386" t="e">
        <v>#DIV/0!</v>
      </c>
      <c r="AE39" s="386" t="e">
        <v>#DIV/0!</v>
      </c>
      <c r="AF39" s="386" t="e">
        <v>#DIV/0!</v>
      </c>
      <c r="AG39" s="386" t="e">
        <v>#DIV/0!</v>
      </c>
      <c r="AH39" s="386" t="e">
        <v>#DIV/0!</v>
      </c>
      <c r="AI39" s="386" t="e">
        <v>#DIV/0!</v>
      </c>
      <c r="AJ39" s="386" t="e">
        <v>#DIV/0!</v>
      </c>
      <c r="AK39" s="386" t="e">
        <v>#DIV/0!</v>
      </c>
      <c r="AL39" s="386" t="e">
        <v>#DIV/0!</v>
      </c>
      <c r="AM39" s="386" t="e">
        <v>#DIV/0!</v>
      </c>
      <c r="AN39" s="386" t="e">
        <v>#DIV/0!</v>
      </c>
      <c r="AO39" s="386" t="e">
        <v>#DIV/0!</v>
      </c>
      <c r="AP39" s="386"/>
      <c r="AQ39" s="386">
        <v>5.1550967178079575E-2</v>
      </c>
      <c r="AR39" s="386">
        <v>1.8779439715725973E-2</v>
      </c>
      <c r="AS39" s="1087">
        <v>3.4435742746702065</v>
      </c>
      <c r="AT39" s="1084"/>
      <c r="AU39" s="992"/>
      <c r="AV39" s="386">
        <v>5.297282383777073E-2</v>
      </c>
      <c r="AW39" s="386">
        <v>1.8537081091068667E-2</v>
      </c>
      <c r="AX39" s="386">
        <v>1.5917316031430342E-2</v>
      </c>
      <c r="AY39" s="386">
        <v>5.5896635885564754E-2</v>
      </c>
      <c r="AZ39" s="386">
        <v>2.6916088458750317E-2</v>
      </c>
      <c r="BA39" s="386">
        <v>6.0023148859457741E-3</v>
      </c>
      <c r="BB39" s="386">
        <v>2.018878519667353E-3</v>
      </c>
      <c r="BC39" s="1091" t="e">
        <v>#REF!</v>
      </c>
      <c r="BD39" s="1036"/>
      <c r="BE39" s="1036"/>
      <c r="BF39" s="1036"/>
      <c r="BG39" s="1036"/>
      <c r="BH39" s="943"/>
      <c r="BJ39" s="943"/>
      <c r="BK39" s="943"/>
      <c r="BL39" s="943"/>
      <c r="BM39" s="943"/>
    </row>
    <row r="40" spans="1:65" ht="12.75" customHeight="1" x14ac:dyDescent="0.2">
      <c r="A40" s="1089" t="s">
        <v>79</v>
      </c>
      <c r="B40" s="1090"/>
      <c r="C40" s="1087">
        <v>9.653627639395495</v>
      </c>
      <c r="D40" s="1084"/>
      <c r="E40" s="1084"/>
      <c r="F40" s="1088">
        <v>0.55491462443599049</v>
      </c>
      <c r="G40" s="1088">
        <v>0.54907686294346214</v>
      </c>
      <c r="H40" s="1088">
        <v>0.54160626980812221</v>
      </c>
      <c r="I40" s="1088">
        <v>0.4898732754051493</v>
      </c>
      <c r="J40" s="1088">
        <v>0.45837834804203553</v>
      </c>
      <c r="K40" s="1088">
        <v>0.52770929582133463</v>
      </c>
      <c r="L40" s="1088">
        <v>0.51993181818181822</v>
      </c>
      <c r="M40" s="1088">
        <v>0.49532516102223145</v>
      </c>
      <c r="N40" s="1088">
        <v>0.53756138565677125</v>
      </c>
      <c r="O40" s="1088">
        <v>0.50275083056478409</v>
      </c>
      <c r="P40" s="1088">
        <v>0.50960125652328114</v>
      </c>
      <c r="Q40" s="1088">
        <v>0.61256038647342992</v>
      </c>
      <c r="R40" s="1088">
        <v>0.71244658408611461</v>
      </c>
      <c r="S40" s="1088">
        <v>0.54625806826772116</v>
      </c>
      <c r="T40" s="1088">
        <v>0.54165261382799323</v>
      </c>
      <c r="U40" s="1088">
        <v>0.54274950023066282</v>
      </c>
      <c r="V40" s="1088">
        <v>0.52886836027713624</v>
      </c>
      <c r="W40" s="1088">
        <v>0.54172542767796927</v>
      </c>
      <c r="X40" s="1088">
        <v>0.55086391475377183</v>
      </c>
      <c r="Y40" s="1088" t="e">
        <v>#DIV/0!</v>
      </c>
      <c r="Z40" s="1088">
        <v>0.51723611026220895</v>
      </c>
      <c r="AA40" s="1088">
        <v>0.53841046875272991</v>
      </c>
      <c r="AB40" s="1088">
        <v>0.56449056603773584</v>
      </c>
      <c r="AC40" s="1088">
        <v>0.57280228921275034</v>
      </c>
      <c r="AD40" s="1088" t="e">
        <v>#DIV/0!</v>
      </c>
      <c r="AE40" s="1088" t="e">
        <v>#DIV/0!</v>
      </c>
      <c r="AF40" s="1088" t="e">
        <v>#DIV/0!</v>
      </c>
      <c r="AG40" s="1088" t="e">
        <v>#DIV/0!</v>
      </c>
      <c r="AH40" s="1088" t="e">
        <v>#DIV/0!</v>
      </c>
      <c r="AI40" s="1091">
        <v>0.52900000000000003</v>
      </c>
      <c r="AJ40" s="1091">
        <v>0.47399999999999998</v>
      </c>
      <c r="AK40" s="1091">
        <v>0.49199999999999999</v>
      </c>
      <c r="AL40" s="1091">
        <v>0.54400000000000004</v>
      </c>
      <c r="AM40" s="1091">
        <v>0.50800000000000001</v>
      </c>
      <c r="AN40" s="1091">
        <v>0.48699999999999999</v>
      </c>
      <c r="AO40" s="1091">
        <v>0.52700000000000002</v>
      </c>
      <c r="AP40" s="992"/>
      <c r="AQ40" s="1088">
        <v>0.52183234669561718</v>
      </c>
      <c r="AR40" s="1088">
        <v>0.51354571247555303</v>
      </c>
      <c r="AS40" s="1087">
        <v>3.5660638811822523</v>
      </c>
      <c r="AT40" s="1084"/>
      <c r="AU40" s="992"/>
      <c r="AV40" s="1088">
        <v>0.53104369075537516</v>
      </c>
      <c r="AW40" s="1088">
        <v>0.49538305194355264</v>
      </c>
      <c r="AX40" s="1088">
        <v>0.53700890091617492</v>
      </c>
      <c r="AY40" s="1088">
        <v>0.58273155021009992</v>
      </c>
      <c r="AZ40" s="1088">
        <v>0.53981867650796933</v>
      </c>
      <c r="BA40" s="1088">
        <v>0.55133208370463693</v>
      </c>
      <c r="BB40" s="1091">
        <v>0.46335267534828994</v>
      </c>
      <c r="BC40" s="1091">
        <v>0.5192977045424505</v>
      </c>
      <c r="BD40" s="1091">
        <v>0.52591676352352823</v>
      </c>
      <c r="BE40" s="1092">
        <v>0.54668040140891871</v>
      </c>
      <c r="BF40" s="1092">
        <v>0.49978547284923452</v>
      </c>
      <c r="BG40" s="1092">
        <v>0.56799999999999995</v>
      </c>
      <c r="BH40" s="943"/>
      <c r="BJ40" s="943"/>
      <c r="BK40" s="943"/>
      <c r="BL40" s="943"/>
      <c r="BM40" s="943"/>
    </row>
    <row r="41" spans="1:65" ht="12.75" customHeight="1" x14ac:dyDescent="0.2">
      <c r="A41" s="727" t="s">
        <v>217</v>
      </c>
      <c r="B41" s="1090"/>
      <c r="C41" s="1087">
        <v>11.08576089977621</v>
      </c>
      <c r="D41" s="1084"/>
      <c r="E41" s="1084"/>
      <c r="F41" s="1088">
        <v>0.60334424489073701</v>
      </c>
      <c r="G41" s="1088">
        <v>0.60706320557331062</v>
      </c>
      <c r="H41" s="1088">
        <v>0.59806402476475939</v>
      </c>
      <c r="I41" s="1088">
        <v>0.52888646183003807</v>
      </c>
      <c r="J41" s="1088">
        <v>0.49248663589297492</v>
      </c>
      <c r="K41" s="1088">
        <v>0.5783629244442603</v>
      </c>
      <c r="L41" s="1088">
        <v>0.57920454545454547</v>
      </c>
      <c r="M41" s="1088">
        <v>0.54158245660427251</v>
      </c>
      <c r="N41" s="1088">
        <v>0.60527363624297659</v>
      </c>
      <c r="O41" s="1088">
        <v>0.55837873754152823</v>
      </c>
      <c r="P41" s="1088">
        <v>0.56903278107108479</v>
      </c>
      <c r="Q41" s="1088">
        <v>0.69513687600644125</v>
      </c>
      <c r="R41" s="1088">
        <v>0.78292854438253912</v>
      </c>
      <c r="S41" s="1088">
        <v>0.60719893004593828</v>
      </c>
      <c r="T41" s="1088">
        <v>0.60505902192242833</v>
      </c>
      <c r="U41" s="1088">
        <v>0.58476856835306779</v>
      </c>
      <c r="V41" s="1088">
        <v>0.57105225173210161</v>
      </c>
      <c r="W41" s="1088">
        <v>0.58004782635354712</v>
      </c>
      <c r="X41" s="1088">
        <v>0.61634217995319429</v>
      </c>
      <c r="Y41" s="1088" t="e">
        <v>#DIV/0!</v>
      </c>
      <c r="Z41" s="1088">
        <v>0.53972862294480772</v>
      </c>
      <c r="AA41" s="1088">
        <v>0.55773363383825147</v>
      </c>
      <c r="AB41" s="1088">
        <v>0.58128301886792455</v>
      </c>
      <c r="AC41" s="1088">
        <v>0.58840753310707394</v>
      </c>
      <c r="AD41" s="1088" t="e">
        <v>#DIV/0!</v>
      </c>
      <c r="AE41" s="1088" t="e">
        <v>#DIV/0!</v>
      </c>
      <c r="AF41" s="1088" t="e">
        <v>#DIV/0!</v>
      </c>
      <c r="AG41" s="1088" t="e">
        <v>#DIV/0!</v>
      </c>
      <c r="AH41" s="1088" t="e">
        <v>#DIV/0!</v>
      </c>
      <c r="AI41" s="1091">
        <v>0.55900000000000005</v>
      </c>
      <c r="AJ41" s="1091">
        <v>0.51</v>
      </c>
      <c r="AK41" s="1091">
        <v>0.51700000000000002</v>
      </c>
      <c r="AL41" s="1091">
        <v>0.56399999999999995</v>
      </c>
      <c r="AM41" s="1091">
        <v>0.53900000000000003</v>
      </c>
      <c r="AN41" s="1091">
        <v>0.51100000000000001</v>
      </c>
      <c r="AO41" s="1091">
        <v>0.55300000000000005</v>
      </c>
      <c r="AP41" s="992"/>
      <c r="AQ41" s="1088">
        <v>0.57132810312924609</v>
      </c>
      <c r="AR41" s="1088">
        <v>0.56520810952262901</v>
      </c>
      <c r="AS41" s="1087">
        <v>3.8476456506201298</v>
      </c>
      <c r="AT41" s="1084"/>
      <c r="AU41" s="992"/>
      <c r="AV41" s="1088">
        <v>0.58024259503773923</v>
      </c>
      <c r="AW41" s="1088">
        <v>0.54126613853153793</v>
      </c>
      <c r="AX41" s="1088">
        <v>0.60263441035505849</v>
      </c>
      <c r="AY41" s="1088">
        <v>0.64025111340361829</v>
      </c>
      <c r="AZ41" s="1088">
        <v>0.58614748773759873</v>
      </c>
      <c r="BA41" s="1088">
        <v>0.59586803101537456</v>
      </c>
      <c r="BB41" s="1091">
        <v>0.53236890659678582</v>
      </c>
      <c r="BC41" s="1091">
        <v>0.56867647706745383</v>
      </c>
      <c r="BD41" s="1091">
        <v>0.53576417397980403</v>
      </c>
      <c r="BE41" s="1092">
        <v>0.56272346647172189</v>
      </c>
      <c r="BF41" s="1092">
        <v>0.56988875982377385</v>
      </c>
      <c r="BG41" s="1092">
        <v>0.627</v>
      </c>
      <c r="BH41" s="943"/>
      <c r="BJ41" s="943"/>
      <c r="BK41" s="943"/>
      <c r="BL41" s="943"/>
      <c r="BM41" s="943"/>
    </row>
    <row r="42" spans="1:65" ht="12.75" customHeight="1" x14ac:dyDescent="0.2">
      <c r="A42" s="1089" t="s">
        <v>80</v>
      </c>
      <c r="B42" s="1090"/>
      <c r="C42" s="1087">
        <v>18.899793384601942</v>
      </c>
      <c r="D42" s="1084"/>
      <c r="E42" s="1084"/>
      <c r="F42" s="1088">
        <v>0.48065115456073609</v>
      </c>
      <c r="G42" s="1088">
        <v>0.51327799875842095</v>
      </c>
      <c r="H42" s="1088">
        <v>0.45723902415055401</v>
      </c>
      <c r="I42" s="1088">
        <v>0.33109008849841792</v>
      </c>
      <c r="J42" s="1088">
        <v>0.29165322071471667</v>
      </c>
      <c r="K42" s="1088">
        <v>0.34742795583086455</v>
      </c>
      <c r="L42" s="1088">
        <v>0.33327272727272728</v>
      </c>
      <c r="M42" s="1088">
        <v>0.33048750543036853</v>
      </c>
      <c r="N42" s="1088">
        <v>0.30422952705393091</v>
      </c>
      <c r="O42" s="1088">
        <v>0.47396677740863785</v>
      </c>
      <c r="P42" s="1088">
        <v>0.50412930029893099</v>
      </c>
      <c r="Q42" s="1088">
        <v>0.60731078904991953</v>
      </c>
      <c r="R42" s="1088">
        <v>0.63888137610212581</v>
      </c>
      <c r="S42" s="1088">
        <v>0.4943304064662441</v>
      </c>
      <c r="T42" s="1088">
        <v>0.5132096683530073</v>
      </c>
      <c r="U42" s="1088">
        <v>0.30881900661233275</v>
      </c>
      <c r="V42" s="1088">
        <v>0.25306726327944573</v>
      </c>
      <c r="W42" s="1088">
        <v>0.24351585014409222</v>
      </c>
      <c r="X42" s="1088">
        <v>0.37499377583030424</v>
      </c>
      <c r="Y42" s="1088" t="e">
        <v>#DIV/0!</v>
      </c>
      <c r="Z42" s="1088" t="e">
        <v>#DIV/0!</v>
      </c>
      <c r="AA42" s="1088" t="e">
        <v>#DIV/0!</v>
      </c>
      <c r="AB42" s="1088" t="e">
        <v>#DIV/0!</v>
      </c>
      <c r="AC42" s="1088" t="e">
        <v>#DIV/0!</v>
      </c>
      <c r="AD42" s="1088" t="e">
        <v>#DIV/0!</v>
      </c>
      <c r="AE42" s="1088" t="e">
        <v>#DIV/0!</v>
      </c>
      <c r="AF42" s="1088" t="e">
        <v>#DIV/0!</v>
      </c>
      <c r="AG42" s="1088" t="e">
        <v>#DIV/0!</v>
      </c>
      <c r="AH42" s="1088" t="e">
        <v>#DIV/0!</v>
      </c>
      <c r="AI42" s="1088" t="e">
        <v>#DIV/0!</v>
      </c>
      <c r="AJ42" s="1088" t="e">
        <v>#DIV/0!</v>
      </c>
      <c r="AK42" s="1088" t="e">
        <v>#DIV/0!</v>
      </c>
      <c r="AL42" s="1088" t="e">
        <v>#DIV/0!</v>
      </c>
      <c r="AM42" s="1088" t="e">
        <v>#DIV/0!</v>
      </c>
      <c r="AN42" s="1088" t="e">
        <v>#DIV/0!</v>
      </c>
      <c r="AO42" s="1088" t="e">
        <v>#DIV/0!</v>
      </c>
      <c r="AP42" s="1088"/>
      <c r="AQ42" s="1088">
        <v>0.42025304355544629</v>
      </c>
      <c r="AR42" s="1088">
        <v>0.33696250998540067</v>
      </c>
      <c r="AS42" s="1087">
        <v>11.502473044994415</v>
      </c>
      <c r="AT42" s="1084"/>
      <c r="AU42" s="992"/>
      <c r="AV42" s="1088">
        <v>0.43707013775299058</v>
      </c>
      <c r="AW42" s="1088">
        <v>0.32204540730304643</v>
      </c>
      <c r="AX42" s="1088">
        <v>0.45869388021257868</v>
      </c>
      <c r="AY42" s="1088">
        <v>0.47146667337644366</v>
      </c>
      <c r="AZ42" s="1088">
        <v>0.2784341784426515</v>
      </c>
      <c r="BA42" s="1088">
        <v>0.30111954439766875</v>
      </c>
      <c r="BB42" s="1088">
        <v>0.96666844934085627</v>
      </c>
      <c r="BC42" s="1088">
        <v>0.51245759351456144</v>
      </c>
      <c r="BD42" s="1091" t="e">
        <v>#REF!</v>
      </c>
      <c r="BE42" s="1092" t="e">
        <v>#REF!</v>
      </c>
      <c r="BF42" s="1092" t="e">
        <v>#REF!</v>
      </c>
      <c r="BG42" s="1092">
        <v>0.10299999999999998</v>
      </c>
      <c r="BH42" s="943"/>
      <c r="BJ42" s="943"/>
      <c r="BK42" s="943"/>
      <c r="BL42" s="943"/>
      <c r="BM42" s="943"/>
    </row>
    <row r="43" spans="1:65" ht="12.75" customHeight="1" x14ac:dyDescent="0.2">
      <c r="A43" s="1089" t="s">
        <v>81</v>
      </c>
      <c r="B43" s="1089"/>
      <c r="C43" s="1087">
        <v>29.985554284378146</v>
      </c>
      <c r="D43" s="1084"/>
      <c r="E43" s="1084"/>
      <c r="F43" s="1088">
        <v>1.0839953994514731</v>
      </c>
      <c r="G43" s="1088">
        <v>1.1203412043317316</v>
      </c>
      <c r="H43" s="1088">
        <v>1.0553030489153135</v>
      </c>
      <c r="I43" s="1088">
        <v>0.85997655032845599</v>
      </c>
      <c r="J43" s="1088">
        <v>0.78413985660769159</v>
      </c>
      <c r="K43" s="1088">
        <v>0.92579088027512479</v>
      </c>
      <c r="L43" s="1088">
        <v>0.91247727272727275</v>
      </c>
      <c r="M43" s="1088">
        <v>0.87206996203464104</v>
      </c>
      <c r="N43" s="1088">
        <v>0.9095031632969075</v>
      </c>
      <c r="O43" s="1088">
        <v>1.0323455149501661</v>
      </c>
      <c r="P43" s="1088">
        <v>1.0731620813700158</v>
      </c>
      <c r="Q43" s="1088">
        <v>1.3024476650563608</v>
      </c>
      <c r="R43" s="1088">
        <v>1.4218099204846648</v>
      </c>
      <c r="S43" s="1088">
        <v>1.1015293365121823</v>
      </c>
      <c r="T43" s="1088">
        <v>1.1182686902754357</v>
      </c>
      <c r="U43" s="1088">
        <v>0.89358757496540053</v>
      </c>
      <c r="V43" s="1088">
        <v>0.82411951501154734</v>
      </c>
      <c r="W43" s="1088">
        <v>0.82356367649763929</v>
      </c>
      <c r="X43" s="1088">
        <v>0.99133595578349853</v>
      </c>
      <c r="Y43" s="1088" t="e">
        <v>#DIV/0!</v>
      </c>
      <c r="Z43" s="1088">
        <v>0.84631135016197057</v>
      </c>
      <c r="AA43" s="1088">
        <v>0.66254345965022621</v>
      </c>
      <c r="AB43" s="1088">
        <v>0.73509433962264148</v>
      </c>
      <c r="AC43" s="1088">
        <v>0.73823783855726355</v>
      </c>
      <c r="AD43" s="1088" t="e">
        <v>#DIV/0!</v>
      </c>
      <c r="AE43" s="1088" t="e">
        <v>#DIV/0!</v>
      </c>
      <c r="AF43" s="1088" t="e">
        <v>#DIV/0!</v>
      </c>
      <c r="AG43" s="1088" t="e">
        <v>#DIV/0!</v>
      </c>
      <c r="AH43" s="1088" t="e">
        <v>#DIV/0!</v>
      </c>
      <c r="AI43" s="1091">
        <v>0.79800000000000004</v>
      </c>
      <c r="AJ43" s="1091">
        <v>0.83199999999999996</v>
      </c>
      <c r="AK43" s="1091">
        <v>0.68600000000000005</v>
      </c>
      <c r="AL43" s="1091">
        <v>0.77500000000000002</v>
      </c>
      <c r="AM43" s="1091">
        <v>0.74299999999999999</v>
      </c>
      <c r="AN43" s="1091">
        <v>0.76</v>
      </c>
      <c r="AO43" s="1091">
        <v>0.73199999999999998</v>
      </c>
      <c r="AP43" s="992"/>
      <c r="AQ43" s="1088">
        <v>0.99158114668469244</v>
      </c>
      <c r="AR43" s="1088">
        <v>0.90217061950802968</v>
      </c>
      <c r="AS43" s="1087">
        <v>15.400118695614529</v>
      </c>
      <c r="AT43" s="1084"/>
      <c r="AU43" s="992"/>
      <c r="AV43" s="1088">
        <v>1.0173127327907296</v>
      </c>
      <c r="AW43" s="1088">
        <v>0.86331154583458436</v>
      </c>
      <c r="AX43" s="1088">
        <v>1.0613282905676371</v>
      </c>
      <c r="AY43" s="1088">
        <v>1.1117177867800618</v>
      </c>
      <c r="AZ43" s="1088">
        <v>0.86458166618025023</v>
      </c>
      <c r="BA43" s="1088">
        <v>0.8969875754130433</v>
      </c>
      <c r="BB43" s="1091">
        <v>1.499037355937642</v>
      </c>
      <c r="BC43" s="1091">
        <v>1.0811340705820152</v>
      </c>
      <c r="BD43" s="1091">
        <v>0.66735799362344184</v>
      </c>
      <c r="BE43" s="1092">
        <v>0.70103675151192923</v>
      </c>
      <c r="BF43" s="1092">
        <v>0.70568967862786336</v>
      </c>
      <c r="BG43" s="1092">
        <v>0.73</v>
      </c>
      <c r="BH43" s="943"/>
      <c r="BJ43" s="943"/>
      <c r="BK43" s="943"/>
      <c r="BL43" s="943"/>
      <c r="BM43" s="943"/>
    </row>
    <row r="44" spans="1:65" ht="12.75" customHeight="1" x14ac:dyDescent="0.2">
      <c r="A44" s="1089" t="s">
        <v>82</v>
      </c>
      <c r="B44" s="1089"/>
      <c r="C44" s="1087">
        <v>-30.265285637823858</v>
      </c>
      <c r="D44" s="1084"/>
      <c r="E44" s="1084"/>
      <c r="F44" s="1088">
        <v>-9.7301601344775723E-2</v>
      </c>
      <c r="G44" s="1088">
        <v>-0.13763134297473156</v>
      </c>
      <c r="H44" s="1088">
        <v>-7.377834557649314E-2</v>
      </c>
      <c r="I44" s="1088">
        <v>0.12800950835996852</v>
      </c>
      <c r="J44" s="1088">
        <v>0.20535125503346288</v>
      </c>
      <c r="K44" s="1088">
        <v>6.0204271892933356E-2</v>
      </c>
      <c r="L44" s="1088">
        <v>7.045454545454545E-2</v>
      </c>
      <c r="M44" s="1088">
        <v>0.11801371286100146</v>
      </c>
      <c r="N44" s="1088">
        <v>9.0496836703092512E-2</v>
      </c>
      <c r="O44" s="1088">
        <v>-3.2345514950166111E-2</v>
      </c>
      <c r="P44" s="1088">
        <v>-7.3162081370015702E-2</v>
      </c>
      <c r="Q44" s="1088">
        <v>-0.30244766505636073</v>
      </c>
      <c r="R44" s="1088">
        <v>-0.42180992048466492</v>
      </c>
      <c r="S44" s="1088">
        <v>-0.10152933651218236</v>
      </c>
      <c r="T44" s="1088">
        <v>-0.11826869027543564</v>
      </c>
      <c r="U44" s="1088">
        <v>0.10641242503459941</v>
      </c>
      <c r="V44" s="1088">
        <v>0.17588048498845266</v>
      </c>
      <c r="W44" s="1088">
        <v>0.17643632350236066</v>
      </c>
      <c r="X44" s="1088">
        <v>8.6640442165015191E-3</v>
      </c>
      <c r="Y44" s="1088" t="e">
        <v>#DIV/0!</v>
      </c>
      <c r="Z44" s="1088">
        <v>9.9993887904162332E-2</v>
      </c>
      <c r="AA44" s="1088">
        <v>0.31154672676765027</v>
      </c>
      <c r="AB44" s="1088">
        <v>0.2130566037735849</v>
      </c>
      <c r="AC44" s="1088">
        <v>0.21321621082052306</v>
      </c>
      <c r="AD44" s="1088" t="e">
        <v>#DIV/0!</v>
      </c>
      <c r="AE44" s="1088" t="e">
        <v>#DIV/0!</v>
      </c>
      <c r="AF44" s="1088" t="e">
        <v>#DIV/0!</v>
      </c>
      <c r="AG44" s="1088" t="e">
        <v>#DIV/0!</v>
      </c>
      <c r="AH44" s="1088" t="e">
        <v>#DIV/0!</v>
      </c>
      <c r="AI44" s="1093" t="s">
        <v>186</v>
      </c>
      <c r="AJ44" s="1093" t="s">
        <v>186</v>
      </c>
      <c r="AK44" s="1084"/>
      <c r="AL44" s="1084"/>
      <c r="AM44" s="1084"/>
      <c r="AN44" s="1084"/>
      <c r="AO44" s="1084"/>
      <c r="AP44" s="1040"/>
      <c r="AQ44" s="1088">
        <v>-6.9576735833725943E-3</v>
      </c>
      <c r="AR44" s="1088">
        <v>8.4386965264578687E-2</v>
      </c>
      <c r="AS44" s="1087">
        <v>-15.632464289392336</v>
      </c>
      <c r="AT44" s="1084"/>
      <c r="AU44" s="1040"/>
      <c r="AV44" s="1088">
        <v>-3.2112803736475966E-2</v>
      </c>
      <c r="AW44" s="1088">
        <v>0.12421183915744739</v>
      </c>
      <c r="AX44" s="1088">
        <v>-6.1328290567637181E-2</v>
      </c>
      <c r="AY44" s="1088">
        <v>-0.1117177867800619</v>
      </c>
      <c r="AZ44" s="1088">
        <v>0.13541833381974977</v>
      </c>
      <c r="BA44" s="1088">
        <v>0.10301242458695674</v>
      </c>
      <c r="BB44" s="1091">
        <v>-0.49903735593764204</v>
      </c>
      <c r="BC44" s="1091">
        <v>-8.1134070582015244E-2</v>
      </c>
      <c r="BD44" s="1091">
        <v>0.33264200637655816</v>
      </c>
      <c r="BE44" s="1092">
        <v>0.29896324848807071</v>
      </c>
      <c r="BF44" s="1092">
        <v>0.29431032137213659</v>
      </c>
      <c r="BG44" s="1092"/>
      <c r="BH44" s="943"/>
      <c r="BJ44" s="943"/>
      <c r="BK44" s="943"/>
      <c r="BL44" s="943"/>
      <c r="BM44" s="943"/>
    </row>
    <row r="45" spans="1:65" ht="12.75" customHeight="1" x14ac:dyDescent="0.2">
      <c r="A45" s="1090"/>
      <c r="B45" s="1090"/>
      <c r="C45" s="1087"/>
      <c r="D45" s="1084"/>
      <c r="E45" s="1084"/>
      <c r="F45" s="1084"/>
      <c r="G45" s="1084"/>
      <c r="H45" s="1084"/>
      <c r="I45" s="1084"/>
      <c r="J45" s="1084"/>
      <c r="K45" s="1084"/>
      <c r="L45" s="1084"/>
      <c r="M45" s="1084"/>
      <c r="N45" s="1084"/>
      <c r="O45" s="1084"/>
      <c r="P45" s="1084"/>
      <c r="Q45" s="1084"/>
      <c r="R45" s="1084"/>
      <c r="S45" s="1084"/>
      <c r="T45" s="1084"/>
      <c r="U45" s="1084"/>
      <c r="V45" s="1084"/>
      <c r="W45" s="1084"/>
      <c r="X45" s="1084"/>
      <c r="Y45" s="1084"/>
      <c r="Z45" s="1084"/>
      <c r="AA45" s="1084"/>
      <c r="AB45" s="1084"/>
      <c r="AC45" s="1084"/>
      <c r="AD45" s="1084"/>
      <c r="AE45" s="1084"/>
      <c r="AF45" s="1084"/>
      <c r="AG45" s="1088"/>
      <c r="AH45" s="1088"/>
      <c r="AI45" s="996"/>
      <c r="AJ45" s="996"/>
      <c r="AK45" s="996"/>
      <c r="AL45" s="1088"/>
      <c r="AM45" s="1088"/>
      <c r="AN45" s="1088"/>
      <c r="AO45" s="1088"/>
      <c r="AP45" s="992"/>
      <c r="AQ45" s="992"/>
      <c r="AR45" s="992"/>
      <c r="AS45" s="1010"/>
      <c r="AT45" s="1084"/>
      <c r="AU45" s="992"/>
      <c r="AV45" s="1091"/>
      <c r="AW45" s="1091"/>
      <c r="AX45" s="1091"/>
      <c r="AY45" s="1091"/>
      <c r="AZ45" s="1091"/>
      <c r="BA45" s="1091"/>
      <c r="BB45" s="1091"/>
      <c r="BC45" s="1091"/>
      <c r="BD45" s="1094"/>
      <c r="BE45" s="1095"/>
      <c r="BF45" s="1095"/>
      <c r="BG45" s="1095"/>
      <c r="BH45" s="943"/>
      <c r="BJ45" s="943"/>
      <c r="BK45" s="943"/>
      <c r="BL45" s="943"/>
      <c r="BM45" s="943"/>
    </row>
    <row r="46" spans="1:65" ht="12.75" customHeight="1" x14ac:dyDescent="0.2">
      <c r="A46" s="952"/>
      <c r="B46" s="952"/>
      <c r="C46" s="992"/>
      <c r="D46" s="992"/>
      <c r="E46" s="992"/>
      <c r="F46" s="992"/>
      <c r="G46" s="992"/>
      <c r="H46" s="992"/>
      <c r="I46" s="992"/>
      <c r="J46" s="992"/>
      <c r="K46" s="992"/>
      <c r="L46" s="992"/>
      <c r="M46" s="992"/>
      <c r="N46" s="992"/>
      <c r="O46" s="992"/>
      <c r="P46" s="992"/>
      <c r="Q46" s="992"/>
      <c r="R46" s="992"/>
      <c r="S46" s="992"/>
      <c r="T46" s="992"/>
      <c r="U46" s="992"/>
      <c r="V46" s="992"/>
      <c r="W46" s="992"/>
      <c r="X46" s="992"/>
      <c r="Y46" s="992"/>
      <c r="Z46" s="992"/>
      <c r="AA46" s="992"/>
      <c r="AB46" s="992"/>
      <c r="AC46" s="992"/>
      <c r="AD46" s="992"/>
      <c r="AE46" s="992"/>
      <c r="AF46" s="992"/>
      <c r="AG46" s="992"/>
      <c r="AH46" s="992"/>
      <c r="AI46" s="992"/>
      <c r="AJ46" s="992"/>
      <c r="AK46" s="992"/>
      <c r="AL46" s="992"/>
      <c r="AM46" s="992"/>
      <c r="AN46" s="992"/>
      <c r="AO46" s="992"/>
      <c r="AP46" s="992"/>
      <c r="AQ46" s="992"/>
      <c r="AR46" s="992"/>
      <c r="AS46" s="1096"/>
      <c r="AT46" s="1096"/>
      <c r="AU46" s="992"/>
      <c r="AV46" s="992"/>
      <c r="AW46" s="992"/>
      <c r="AX46" s="992"/>
      <c r="AY46" s="992"/>
      <c r="AZ46" s="992"/>
      <c r="BA46" s="992"/>
      <c r="BB46" s="992"/>
      <c r="BC46" s="992"/>
      <c r="BD46" s="992"/>
      <c r="BE46" s="1097"/>
      <c r="BF46" s="1097"/>
      <c r="BG46" s="1097"/>
      <c r="BH46" s="943"/>
      <c r="BJ46" s="943"/>
      <c r="BK46" s="943"/>
      <c r="BL46" s="943"/>
      <c r="BM46" s="943"/>
    </row>
    <row r="47" spans="1:65" ht="12.75" customHeight="1" x14ac:dyDescent="0.2">
      <c r="A47" s="1090" t="s">
        <v>94</v>
      </c>
      <c r="B47" s="1090"/>
      <c r="C47" s="750">
        <v>-17</v>
      </c>
      <c r="D47" s="1084">
        <v>-5.944055944055944E-2</v>
      </c>
      <c r="E47" s="1084"/>
      <c r="F47" s="750">
        <v>269</v>
      </c>
      <c r="G47" s="750">
        <v>294</v>
      </c>
      <c r="H47" s="750">
        <v>295</v>
      </c>
      <c r="I47" s="750">
        <v>291</v>
      </c>
      <c r="J47" s="750">
        <v>286</v>
      </c>
      <c r="K47" s="750">
        <v>279</v>
      </c>
      <c r="L47" s="750">
        <v>275</v>
      </c>
      <c r="M47" s="750">
        <v>264</v>
      </c>
      <c r="N47" s="750">
        <v>253</v>
      </c>
      <c r="O47" s="750">
        <v>259</v>
      </c>
      <c r="P47" s="750">
        <v>252</v>
      </c>
      <c r="Q47" s="750">
        <v>304</v>
      </c>
      <c r="R47" s="750">
        <v>302</v>
      </c>
      <c r="S47" s="750">
        <v>176</v>
      </c>
      <c r="T47" s="750">
        <v>186</v>
      </c>
      <c r="U47" s="750"/>
      <c r="V47" s="750"/>
      <c r="W47" s="750"/>
      <c r="X47" s="750"/>
      <c r="Y47" s="750"/>
      <c r="Z47" s="750"/>
      <c r="AA47" s="750"/>
      <c r="AB47" s="750"/>
      <c r="AC47" s="750"/>
      <c r="AD47" s="750"/>
      <c r="AE47" s="750"/>
      <c r="AF47" s="750"/>
      <c r="AG47" s="536"/>
      <c r="AH47" s="536"/>
      <c r="AI47" s="678"/>
      <c r="AJ47" s="678"/>
      <c r="AK47" s="678"/>
      <c r="AL47" s="536"/>
      <c r="AM47" s="536"/>
      <c r="AN47" s="536"/>
      <c r="AO47" s="536"/>
      <c r="AP47" s="536"/>
      <c r="AQ47" s="536">
        <v>294</v>
      </c>
      <c r="AR47" s="536">
        <v>279</v>
      </c>
      <c r="AS47" s="1010">
        <v>-17</v>
      </c>
      <c r="AT47" s="1084">
        <v>-5.944055944055944E-2</v>
      </c>
      <c r="AU47" s="992"/>
      <c r="AV47" s="421">
        <v>269</v>
      </c>
      <c r="AW47" s="421">
        <v>286</v>
      </c>
      <c r="AX47" s="421">
        <v>253</v>
      </c>
      <c r="AY47" s="421">
        <v>302</v>
      </c>
      <c r="AZ47" s="421">
        <v>175</v>
      </c>
      <c r="BA47" s="421">
        <v>163</v>
      </c>
      <c r="BB47" s="421">
        <v>151</v>
      </c>
      <c r="BC47" s="1091"/>
      <c r="BD47" s="1094"/>
      <c r="BE47" s="1095"/>
      <c r="BF47" s="1095"/>
      <c r="BG47" s="1095"/>
      <c r="BH47" s="943"/>
      <c r="BJ47" s="943"/>
      <c r="BK47" s="943"/>
      <c r="BL47" s="943"/>
      <c r="BM47" s="943"/>
    </row>
    <row r="48" spans="1:65" ht="12.75" customHeight="1" x14ac:dyDescent="0.2">
      <c r="A48" s="1090"/>
      <c r="B48" s="1090"/>
      <c r="C48" s="1087"/>
      <c r="D48" s="1084"/>
      <c r="E48" s="1084"/>
      <c r="F48" s="1084"/>
      <c r="G48" s="1084"/>
      <c r="H48" s="1084"/>
      <c r="I48" s="750"/>
      <c r="J48" s="1084"/>
      <c r="K48" s="1084"/>
      <c r="L48" s="1084"/>
      <c r="M48" s="750"/>
      <c r="N48" s="750"/>
      <c r="O48" s="750"/>
      <c r="P48" s="750"/>
      <c r="Q48" s="750"/>
      <c r="R48" s="750"/>
      <c r="S48" s="750"/>
      <c r="T48" s="750"/>
      <c r="U48" s="750"/>
      <c r="V48" s="750"/>
      <c r="W48" s="750"/>
      <c r="X48" s="750"/>
      <c r="Y48" s="750"/>
      <c r="Z48" s="750"/>
      <c r="AA48" s="750"/>
      <c r="AB48" s="750"/>
      <c r="AC48" s="750"/>
      <c r="AD48" s="750"/>
      <c r="AE48" s="750"/>
      <c r="AF48" s="750"/>
      <c r="AG48" s="536"/>
      <c r="AH48" s="536"/>
      <c r="AI48" s="678"/>
      <c r="AJ48" s="678"/>
      <c r="AK48" s="678"/>
      <c r="AL48" s="536"/>
      <c r="AM48" s="536"/>
      <c r="AN48" s="536"/>
      <c r="AO48" s="536"/>
      <c r="AP48" s="536"/>
      <c r="AQ48" s="536"/>
      <c r="AR48" s="536"/>
      <c r="AS48" s="1010"/>
      <c r="AT48" s="1084"/>
      <c r="AU48" s="992"/>
      <c r="AV48" s="421"/>
      <c r="AW48" s="421"/>
      <c r="AX48" s="421"/>
      <c r="AY48" s="421"/>
      <c r="AZ48" s="421"/>
      <c r="BA48" s="421"/>
      <c r="BB48" s="421"/>
      <c r="BC48" s="1091"/>
      <c r="BD48" s="1094"/>
      <c r="BE48" s="1095"/>
      <c r="BF48" s="1095"/>
      <c r="BG48" s="1095"/>
      <c r="BH48" s="943"/>
      <c r="BJ48" s="943"/>
      <c r="BK48" s="943"/>
      <c r="BL48" s="943"/>
      <c r="BM48" s="943"/>
    </row>
    <row r="49" spans="1:65" ht="18" customHeight="1" x14ac:dyDescent="0.2">
      <c r="A49" s="1098" t="s">
        <v>267</v>
      </c>
      <c r="B49" s="952"/>
      <c r="C49" s="996"/>
      <c r="D49" s="996"/>
      <c r="E49" s="992"/>
      <c r="F49" s="992"/>
      <c r="G49" s="992"/>
      <c r="H49" s="992"/>
      <c r="I49" s="992"/>
      <c r="J49" s="992"/>
      <c r="K49" s="992"/>
      <c r="L49" s="992"/>
      <c r="M49" s="992"/>
      <c r="N49" s="992"/>
      <c r="O49" s="992"/>
      <c r="P49" s="992"/>
      <c r="Q49" s="992"/>
      <c r="R49" s="992"/>
      <c r="S49" s="992"/>
      <c r="T49" s="992"/>
      <c r="U49" s="992"/>
      <c r="V49" s="992"/>
      <c r="W49" s="992"/>
      <c r="X49" s="992"/>
      <c r="Y49" s="992"/>
      <c r="Z49" s="992"/>
      <c r="AA49" s="992"/>
      <c r="AB49" s="992"/>
      <c r="AC49" s="992"/>
      <c r="AD49" s="992"/>
      <c r="AE49" s="992"/>
      <c r="AF49" s="992"/>
      <c r="AG49" s="992"/>
      <c r="AH49" s="992"/>
      <c r="AI49" s="992"/>
      <c r="AJ49" s="996"/>
      <c r="AK49" s="996"/>
      <c r="AL49" s="996"/>
      <c r="AM49" s="996"/>
      <c r="AN49" s="996"/>
      <c r="AO49" s="996"/>
      <c r="AP49" s="996"/>
      <c r="AQ49" s="996"/>
      <c r="AR49" s="996"/>
      <c r="AS49" s="1096"/>
      <c r="AT49" s="1096"/>
      <c r="AU49" s="996"/>
      <c r="AV49" s="996"/>
      <c r="AW49" s="996"/>
      <c r="AX49" s="996"/>
      <c r="AY49" s="996"/>
      <c r="AZ49" s="996"/>
      <c r="BA49" s="996"/>
      <c r="BB49" s="996"/>
      <c r="BC49" s="996"/>
      <c r="BD49" s="996"/>
      <c r="BE49" s="1099"/>
      <c r="BF49" s="1099"/>
      <c r="BG49" s="1099"/>
      <c r="BH49" s="943"/>
      <c r="BJ49" s="943"/>
      <c r="BK49" s="943"/>
      <c r="BL49" s="943"/>
      <c r="BM49" s="943"/>
    </row>
    <row r="50" spans="1:65" ht="12.75" customHeight="1" x14ac:dyDescent="0.2">
      <c r="A50" s="1100"/>
      <c r="B50" s="952"/>
      <c r="C50" s="996"/>
      <c r="D50" s="996"/>
      <c r="E50" s="992"/>
      <c r="F50" s="992"/>
      <c r="G50" s="992"/>
      <c r="H50" s="1101"/>
      <c r="I50" s="992"/>
      <c r="J50" s="992"/>
      <c r="K50" s="992"/>
      <c r="L50" s="1101"/>
      <c r="M50" s="992"/>
      <c r="N50" s="992"/>
      <c r="O50" s="992"/>
      <c r="P50" s="1101"/>
      <c r="Q50" s="992"/>
      <c r="R50" s="992"/>
      <c r="S50" s="992"/>
      <c r="T50" s="1101"/>
      <c r="U50" s="992"/>
      <c r="V50" s="1101"/>
      <c r="W50" s="992"/>
      <c r="X50" s="1101"/>
      <c r="Y50" s="992"/>
      <c r="Z50" s="1101"/>
      <c r="AA50" s="992"/>
      <c r="AB50" s="1101"/>
      <c r="AC50" s="992"/>
      <c r="AD50" s="1101"/>
      <c r="AE50" s="992"/>
      <c r="AF50" s="992"/>
      <c r="AG50" s="992"/>
      <c r="AH50" s="992"/>
      <c r="AI50" s="992"/>
      <c r="AJ50" s="996"/>
      <c r="AK50" s="996"/>
      <c r="AL50" s="996"/>
      <c r="AM50" s="996"/>
      <c r="AN50" s="996"/>
      <c r="AO50" s="996"/>
      <c r="AP50" s="996"/>
      <c r="AQ50" s="996"/>
      <c r="AR50" s="996"/>
      <c r="AS50" s="1096"/>
      <c r="AT50" s="1096"/>
      <c r="AU50" s="996"/>
      <c r="AV50" s="996"/>
      <c r="AW50" s="996"/>
      <c r="AX50" s="996"/>
      <c r="AY50" s="996"/>
      <c r="AZ50" s="996"/>
      <c r="BA50" s="996"/>
      <c r="BB50" s="996"/>
      <c r="BC50" s="996"/>
      <c r="BD50" s="996"/>
      <c r="BE50" s="1099"/>
      <c r="BF50" s="1099"/>
      <c r="BG50" s="1099"/>
      <c r="BH50" s="943"/>
      <c r="BJ50" s="943"/>
      <c r="BK50" s="943"/>
      <c r="BL50" s="943"/>
      <c r="BM50" s="943"/>
    </row>
    <row r="51" spans="1:65" ht="12.75" customHeight="1" x14ac:dyDescent="0.2">
      <c r="A51" s="951"/>
      <c r="B51" s="952"/>
      <c r="C51" s="1495" t="s">
        <v>447</v>
      </c>
      <c r="D51" s="1496"/>
      <c r="E51" s="953"/>
      <c r="F51" s="954"/>
      <c r="G51" s="954"/>
      <c r="H51" s="993"/>
      <c r="I51" s="1205"/>
      <c r="J51" s="954"/>
      <c r="K51" s="954"/>
      <c r="L51" s="993"/>
      <c r="M51" s="1205"/>
      <c r="N51" s="993"/>
      <c r="O51" s="993"/>
      <c r="P51" s="993"/>
      <c r="Q51" s="1205"/>
      <c r="R51" s="993"/>
      <c r="S51" s="993"/>
      <c r="T51" s="993"/>
      <c r="U51" s="993"/>
      <c r="V51" s="1102"/>
      <c r="W51" s="993"/>
      <c r="X51" s="993"/>
      <c r="Y51" s="993"/>
      <c r="Z51" s="1102"/>
      <c r="AA51" s="993"/>
      <c r="AB51" s="993"/>
      <c r="AC51" s="993"/>
      <c r="AD51" s="1102"/>
      <c r="AE51" s="993"/>
      <c r="AF51" s="1205"/>
      <c r="AG51" s="1205"/>
      <c r="AH51" s="1205"/>
      <c r="AI51" s="992"/>
      <c r="AJ51" s="992"/>
      <c r="AK51" s="952"/>
      <c r="AL51" s="992"/>
      <c r="AM51" s="952"/>
      <c r="AN51" s="952"/>
      <c r="AO51" s="992"/>
      <c r="AP51" s="991"/>
      <c r="AQ51" s="661" t="s">
        <v>340</v>
      </c>
      <c r="AR51" s="647"/>
      <c r="AS51" s="647" t="s">
        <v>432</v>
      </c>
      <c r="AT51" s="648"/>
      <c r="AU51" s="958"/>
      <c r="AV51" s="959"/>
      <c r="AW51" s="959"/>
      <c r="AX51" s="959"/>
      <c r="AY51" s="959"/>
      <c r="AZ51" s="959"/>
      <c r="BA51" s="959"/>
      <c r="BB51" s="959"/>
      <c r="BC51" s="1103"/>
      <c r="BD51" s="1103"/>
      <c r="BE51" s="959"/>
      <c r="BF51" s="959"/>
      <c r="BG51" s="959"/>
      <c r="BH51" s="962"/>
      <c r="BJ51" s="943"/>
      <c r="BK51" s="943"/>
      <c r="BL51" s="943"/>
      <c r="BM51" s="943"/>
    </row>
    <row r="52" spans="1:65" ht="12.75" customHeight="1" x14ac:dyDescent="0.2">
      <c r="A52" s="951" t="s">
        <v>101</v>
      </c>
      <c r="B52" s="952"/>
      <c r="C52" s="1487" t="s">
        <v>39</v>
      </c>
      <c r="D52" s="1488"/>
      <c r="E52" s="963"/>
      <c r="F52" s="21" t="s">
        <v>425</v>
      </c>
      <c r="G52" s="21" t="s">
        <v>426</v>
      </c>
      <c r="H52" s="21" t="s">
        <v>427</v>
      </c>
      <c r="I52" s="14" t="s">
        <v>428</v>
      </c>
      <c r="J52" s="964" t="s">
        <v>363</v>
      </c>
      <c r="K52" s="964" t="s">
        <v>362</v>
      </c>
      <c r="L52" s="964" t="s">
        <v>361</v>
      </c>
      <c r="M52" s="965" t="s">
        <v>359</v>
      </c>
      <c r="N52" s="964" t="s">
        <v>302</v>
      </c>
      <c r="O52" s="964" t="s">
        <v>303</v>
      </c>
      <c r="P52" s="964" t="s">
        <v>304</v>
      </c>
      <c r="Q52" s="965" t="s">
        <v>305</v>
      </c>
      <c r="R52" s="964" t="s">
        <v>231</v>
      </c>
      <c r="S52" s="964" t="s">
        <v>232</v>
      </c>
      <c r="T52" s="964" t="s">
        <v>233</v>
      </c>
      <c r="U52" s="965" t="s">
        <v>230</v>
      </c>
      <c r="V52" s="966" t="s">
        <v>194</v>
      </c>
      <c r="W52" s="964" t="s">
        <v>195</v>
      </c>
      <c r="X52" s="964" t="s">
        <v>196</v>
      </c>
      <c r="Y52" s="964">
        <v>0</v>
      </c>
      <c r="Z52" s="966" t="s">
        <v>126</v>
      </c>
      <c r="AA52" s="964" t="s">
        <v>125</v>
      </c>
      <c r="AB52" s="964" t="s">
        <v>124</v>
      </c>
      <c r="AC52" s="964" t="s">
        <v>123</v>
      </c>
      <c r="AD52" s="966" t="s">
        <v>86</v>
      </c>
      <c r="AE52" s="964" t="s">
        <v>87</v>
      </c>
      <c r="AF52" s="965" t="s">
        <v>88</v>
      </c>
      <c r="AG52" s="965" t="s">
        <v>30</v>
      </c>
      <c r="AH52" s="965" t="s">
        <v>30</v>
      </c>
      <c r="AI52" s="992"/>
      <c r="AJ52" s="992"/>
      <c r="AK52" s="952"/>
      <c r="AL52" s="992"/>
      <c r="AM52" s="952"/>
      <c r="AN52" s="952"/>
      <c r="AO52" s="992"/>
      <c r="AP52" s="991"/>
      <c r="AQ52" s="21" t="s">
        <v>426</v>
      </c>
      <c r="AR52" s="21" t="s">
        <v>362</v>
      </c>
      <c r="AS52" s="1494" t="s">
        <v>39</v>
      </c>
      <c r="AT52" s="1482"/>
      <c r="AU52" s="1104"/>
      <c r="AV52" s="20" t="s">
        <v>446</v>
      </c>
      <c r="AW52" s="20" t="s">
        <v>365</v>
      </c>
      <c r="AX52" s="966" t="s">
        <v>307</v>
      </c>
      <c r="AY52" s="966" t="s">
        <v>235</v>
      </c>
      <c r="AZ52" s="966" t="s">
        <v>128</v>
      </c>
      <c r="BA52" s="966" t="s">
        <v>127</v>
      </c>
      <c r="BB52" s="966" t="s">
        <v>43</v>
      </c>
      <c r="BC52" s="968" t="s">
        <v>40</v>
      </c>
      <c r="BD52" s="968" t="s">
        <v>41</v>
      </c>
      <c r="BE52" s="968" t="s">
        <v>146</v>
      </c>
      <c r="BF52" s="968" t="s">
        <v>147</v>
      </c>
      <c r="BG52" s="968" t="s">
        <v>148</v>
      </c>
      <c r="BH52" s="962"/>
      <c r="BJ52" s="943"/>
      <c r="BK52" s="943"/>
      <c r="BL52" s="943"/>
      <c r="BM52" s="943"/>
    </row>
    <row r="53" spans="1:65" ht="12.75" customHeight="1" x14ac:dyDescent="0.2">
      <c r="A53" s="1105"/>
      <c r="B53" s="992" t="s">
        <v>4</v>
      </c>
      <c r="C53" s="1106">
        <v>-14758</v>
      </c>
      <c r="D53" s="1000">
        <v>-0.2070629831773603</v>
      </c>
      <c r="E53" s="991"/>
      <c r="F53" s="1108">
        <v>56515</v>
      </c>
      <c r="G53" s="1108">
        <v>43493</v>
      </c>
      <c r="H53" s="1108">
        <v>40703</v>
      </c>
      <c r="I53" s="1130">
        <v>62261</v>
      </c>
      <c r="J53" s="1108">
        <v>71273</v>
      </c>
      <c r="K53" s="1108">
        <v>48269</v>
      </c>
      <c r="L53" s="1108">
        <v>44000</v>
      </c>
      <c r="M53" s="1130">
        <v>52943</v>
      </c>
      <c r="N53" s="1108">
        <v>45206</v>
      </c>
      <c r="O53" s="1108">
        <v>37625</v>
      </c>
      <c r="P53" s="1108">
        <v>39474</v>
      </c>
      <c r="Q53" s="1130">
        <v>31050</v>
      </c>
      <c r="R53" s="1108">
        <v>18487</v>
      </c>
      <c r="S53" s="1108">
        <v>17197</v>
      </c>
      <c r="T53" s="1108">
        <v>17790</v>
      </c>
      <c r="U53" s="1109">
        <v>26012</v>
      </c>
      <c r="V53" s="1108">
        <v>27712</v>
      </c>
      <c r="W53" s="1110">
        <v>32618</v>
      </c>
      <c r="X53" s="1108">
        <v>20083</v>
      </c>
      <c r="Y53" s="1109">
        <v>0</v>
      </c>
      <c r="Z53" s="1108">
        <v>32806</v>
      </c>
      <c r="AA53" s="1110">
        <v>58040</v>
      </c>
      <c r="AB53" s="1108">
        <v>27314</v>
      </c>
      <c r="AC53" s="1109">
        <v>30054</v>
      </c>
      <c r="AD53" s="1110">
        <v>25033</v>
      </c>
      <c r="AE53" s="1110">
        <v>12639</v>
      </c>
      <c r="AF53" s="1108">
        <v>23461</v>
      </c>
      <c r="AG53" s="1109">
        <v>34352</v>
      </c>
      <c r="AH53" s="1022">
        <v>31944</v>
      </c>
      <c r="AI53" s="1022">
        <v>42952</v>
      </c>
      <c r="AJ53" s="1022">
        <v>39210</v>
      </c>
      <c r="AK53" s="1022">
        <v>62549</v>
      </c>
      <c r="AL53" s="1065">
        <v>57382</v>
      </c>
      <c r="AM53" s="1003">
        <v>48897</v>
      </c>
      <c r="AN53" s="1003">
        <v>38533</v>
      </c>
      <c r="AO53" s="1021">
        <v>42750</v>
      </c>
      <c r="AP53" s="991"/>
      <c r="AQ53" s="1005">
        <v>146457</v>
      </c>
      <c r="AR53" s="1005">
        <v>145212</v>
      </c>
      <c r="AS53" s="1066">
        <v>-13513</v>
      </c>
      <c r="AT53" s="1000">
        <v>-6.2420029101323417E-2</v>
      </c>
      <c r="AU53" s="996"/>
      <c r="AV53" s="1112">
        <v>202972</v>
      </c>
      <c r="AW53" s="1112">
        <v>216485</v>
      </c>
      <c r="AX53" s="1112">
        <v>153355</v>
      </c>
      <c r="AY53" s="1112">
        <v>79486</v>
      </c>
      <c r="AZ53" s="1112">
        <v>106219</v>
      </c>
      <c r="BA53" s="1112">
        <v>97629</v>
      </c>
      <c r="BB53" s="1112">
        <v>74794</v>
      </c>
      <c r="BC53" s="1112">
        <v>90788</v>
      </c>
      <c r="BD53" s="1113">
        <v>187562</v>
      </c>
      <c r="BE53" s="1069">
        <v>150470</v>
      </c>
      <c r="BF53" s="1069">
        <v>95559</v>
      </c>
      <c r="BG53" s="1069">
        <v>211758</v>
      </c>
      <c r="BH53" s="962"/>
      <c r="BJ53" s="943"/>
      <c r="BK53" s="943"/>
      <c r="BL53" s="943"/>
      <c r="BM53" s="943"/>
    </row>
    <row r="54" spans="1:65" ht="12.75" customHeight="1" x14ac:dyDescent="0.2">
      <c r="A54" s="996"/>
      <c r="B54" s="992" t="s">
        <v>85</v>
      </c>
      <c r="C54" s="1106">
        <v>-1975</v>
      </c>
      <c r="D54" s="1107">
        <v>-3.5339166532467298E-2</v>
      </c>
      <c r="E54" s="1114"/>
      <c r="F54" s="1108">
        <v>53912</v>
      </c>
      <c r="G54" s="1108">
        <v>48726</v>
      </c>
      <c r="H54" s="1108">
        <v>42953</v>
      </c>
      <c r="I54" s="1109">
        <v>53542</v>
      </c>
      <c r="J54" s="1108">
        <v>55887</v>
      </c>
      <c r="K54" s="1108">
        <v>44686</v>
      </c>
      <c r="L54" s="1108">
        <v>40148</v>
      </c>
      <c r="M54" s="1109">
        <v>46169</v>
      </c>
      <c r="N54" s="1108">
        <v>41114</v>
      </c>
      <c r="O54" s="1108">
        <v>35855</v>
      </c>
      <c r="P54" s="1108">
        <v>38539</v>
      </c>
      <c r="Q54" s="1109">
        <v>40439</v>
      </c>
      <c r="R54" s="1108">
        <v>23089</v>
      </c>
      <c r="S54" s="1108">
        <v>18535</v>
      </c>
      <c r="T54" s="1108">
        <v>19894</v>
      </c>
      <c r="U54" s="1109">
        <v>23244</v>
      </c>
      <c r="V54" s="1108">
        <v>22838</v>
      </c>
      <c r="W54" s="1108">
        <v>26863</v>
      </c>
      <c r="X54" s="1108">
        <v>19909</v>
      </c>
      <c r="Y54" s="1109" t="e">
        <v>#REF!</v>
      </c>
      <c r="Z54" s="1108">
        <v>22693</v>
      </c>
      <c r="AA54" s="1108">
        <v>37922</v>
      </c>
      <c r="AB54" s="1108">
        <v>19480</v>
      </c>
      <c r="AC54" s="1109">
        <v>22187</v>
      </c>
      <c r="AD54" s="1108">
        <v>0</v>
      </c>
      <c r="AE54" s="1108">
        <v>0</v>
      </c>
      <c r="AF54" s="1108">
        <v>0</v>
      </c>
      <c r="AG54" s="1109">
        <v>0</v>
      </c>
      <c r="AH54" s="1022">
        <v>0</v>
      </c>
      <c r="AI54" s="1022">
        <v>86348</v>
      </c>
      <c r="AJ54" s="1022">
        <v>72982</v>
      </c>
      <c r="AK54" s="1022">
        <v>106349</v>
      </c>
      <c r="AL54" s="1023">
        <v>100905</v>
      </c>
      <c r="AM54" s="1003">
        <v>75317</v>
      </c>
      <c r="AN54" s="1003">
        <v>70703</v>
      </c>
      <c r="AO54" s="1003">
        <v>91522</v>
      </c>
      <c r="AP54" s="991"/>
      <c r="AQ54" s="1050">
        <v>145221</v>
      </c>
      <c r="AR54" s="1005">
        <v>131003</v>
      </c>
      <c r="AS54" s="1115">
        <v>12243</v>
      </c>
      <c r="AT54" s="1116">
        <v>6.5509123013537368E-2</v>
      </c>
      <c r="AU54" s="996"/>
      <c r="AV54" s="1112">
        <v>199133</v>
      </c>
      <c r="AW54" s="1112">
        <v>186890</v>
      </c>
      <c r="AX54" s="1112">
        <v>155947</v>
      </c>
      <c r="AY54" s="1112">
        <v>84762</v>
      </c>
      <c r="AZ54" s="1112">
        <v>91835</v>
      </c>
      <c r="BA54" s="1112">
        <v>87572</v>
      </c>
      <c r="BB54" s="1211">
        <v>84553</v>
      </c>
      <c r="BC54" s="1112">
        <v>98154</v>
      </c>
      <c r="BD54" s="1117">
        <v>125171</v>
      </c>
      <c r="BE54" s="1025">
        <v>105485</v>
      </c>
      <c r="BF54" s="1025">
        <v>67435</v>
      </c>
      <c r="BG54" s="1025">
        <v>154490</v>
      </c>
      <c r="BH54" s="962"/>
      <c r="BJ54" s="943"/>
      <c r="BK54" s="943"/>
      <c r="BL54" s="943"/>
      <c r="BM54" s="943"/>
    </row>
    <row r="55" spans="1:65" ht="24.75" customHeight="1" x14ac:dyDescent="0.2">
      <c r="A55" s="996"/>
      <c r="B55" s="1076" t="s">
        <v>188</v>
      </c>
      <c r="C55" s="1106">
        <v>-12783</v>
      </c>
      <c r="D55" s="1207">
        <v>-0.83082022617964379</v>
      </c>
      <c r="E55" s="1114"/>
      <c r="F55" s="421">
        <v>2603</v>
      </c>
      <c r="G55" s="421">
        <v>-5233</v>
      </c>
      <c r="H55" s="421">
        <v>-2250</v>
      </c>
      <c r="I55" s="1109">
        <v>8719</v>
      </c>
      <c r="J55" s="1108">
        <v>15386</v>
      </c>
      <c r="K55" s="1108">
        <v>3583</v>
      </c>
      <c r="L55" s="1108">
        <v>3852</v>
      </c>
      <c r="M55" s="1109">
        <v>6774</v>
      </c>
      <c r="N55" s="1108">
        <v>4092</v>
      </c>
      <c r="O55" s="1108">
        <v>1770</v>
      </c>
      <c r="P55" s="1108">
        <v>935</v>
      </c>
      <c r="Q55" s="832">
        <v>-9389</v>
      </c>
      <c r="R55" s="421">
        <v>-4602</v>
      </c>
      <c r="S55" s="421">
        <v>-1338</v>
      </c>
      <c r="T55" s="421">
        <v>-2104</v>
      </c>
      <c r="U55" s="832">
        <v>2768</v>
      </c>
      <c r="V55" s="421">
        <v>4874</v>
      </c>
      <c r="W55" s="421">
        <v>5755</v>
      </c>
      <c r="X55" s="421">
        <v>174</v>
      </c>
      <c r="Y55" s="832" t="e">
        <v>#REF!</v>
      </c>
      <c r="Z55" s="421">
        <v>10113</v>
      </c>
      <c r="AA55" s="421">
        <v>20118</v>
      </c>
      <c r="AB55" s="421">
        <v>7834</v>
      </c>
      <c r="AC55" s="832">
        <v>7867</v>
      </c>
      <c r="AD55" s="421">
        <v>25033</v>
      </c>
      <c r="AE55" s="421">
        <v>12639</v>
      </c>
      <c r="AF55" s="421">
        <v>23461</v>
      </c>
      <c r="AG55" s="832">
        <v>34352</v>
      </c>
      <c r="AH55" s="421">
        <v>31944</v>
      </c>
      <c r="AI55" s="421">
        <v>23235</v>
      </c>
      <c r="AJ55" s="421">
        <v>16089</v>
      </c>
      <c r="AK55" s="421">
        <v>48674</v>
      </c>
      <c r="AL55" s="1337">
        <v>29246</v>
      </c>
      <c r="AM55" s="703">
        <v>26110</v>
      </c>
      <c r="AN55" s="703">
        <v>22330</v>
      </c>
      <c r="AO55" s="703">
        <v>33584</v>
      </c>
      <c r="AP55" s="751"/>
      <c r="AQ55" s="750">
        <v>1236</v>
      </c>
      <c r="AR55" s="750">
        <v>14209</v>
      </c>
      <c r="AS55" s="587">
        <v>-25756</v>
      </c>
      <c r="AT55" s="1207">
        <v>-0.87028214225375911</v>
      </c>
      <c r="AU55" s="996"/>
      <c r="AV55" s="1112">
        <v>3839</v>
      </c>
      <c r="AW55" s="1112">
        <v>29595</v>
      </c>
      <c r="AX55" s="751">
        <v>-2592</v>
      </c>
      <c r="AY55" s="751">
        <v>-5276</v>
      </c>
      <c r="AZ55" s="751">
        <v>14384</v>
      </c>
      <c r="BA55" s="751">
        <v>10057</v>
      </c>
      <c r="BB55" s="751">
        <v>-9759</v>
      </c>
      <c r="BC55" s="1118">
        <v>-7366</v>
      </c>
      <c r="BD55" s="1119">
        <v>62391</v>
      </c>
      <c r="BE55" s="1120">
        <v>44985</v>
      </c>
      <c r="BF55" s="1120">
        <v>28124</v>
      </c>
      <c r="BG55" s="1120">
        <v>57268</v>
      </c>
      <c r="BH55" s="962"/>
      <c r="BJ55" s="943"/>
      <c r="BK55" s="943"/>
      <c r="BL55" s="943"/>
      <c r="BM55" s="943"/>
    </row>
    <row r="56" spans="1:65" ht="24.75" customHeight="1" x14ac:dyDescent="0.2">
      <c r="A56" s="996"/>
      <c r="B56" s="1076" t="s">
        <v>386</v>
      </c>
      <c r="C56" s="1121">
        <v>-12786</v>
      </c>
      <c r="D56" s="1122">
        <v>-0.87353965976634551</v>
      </c>
      <c r="E56" s="1114"/>
      <c r="F56" s="1322">
        <v>1851</v>
      </c>
      <c r="G56" s="1322">
        <v>-5985</v>
      </c>
      <c r="H56" s="1322">
        <v>-3002</v>
      </c>
      <c r="I56" s="1123">
        <v>7971</v>
      </c>
      <c r="J56" s="1004">
        <v>14637</v>
      </c>
      <c r="K56" s="1004">
        <v>2907</v>
      </c>
      <c r="L56" s="1004">
        <v>3101</v>
      </c>
      <c r="M56" s="1123">
        <v>6249</v>
      </c>
      <c r="N56" s="1004">
        <v>4092</v>
      </c>
      <c r="O56" s="1004">
        <v>1770</v>
      </c>
      <c r="P56" s="1004">
        <v>935</v>
      </c>
      <c r="Q56" s="1310">
        <v>-9389</v>
      </c>
      <c r="R56" s="1322">
        <v>-4602</v>
      </c>
      <c r="S56" s="1322">
        <v>-1338</v>
      </c>
      <c r="T56" s="1322">
        <v>-2104</v>
      </c>
      <c r="U56" s="1310">
        <v>2768</v>
      </c>
      <c r="V56" s="1322"/>
      <c r="W56" s="1322"/>
      <c r="X56" s="1322"/>
      <c r="Y56" s="1310"/>
      <c r="Z56" s="1322"/>
      <c r="AA56" s="1322"/>
      <c r="AB56" s="1322"/>
      <c r="AC56" s="1310"/>
      <c r="AD56" s="1322"/>
      <c r="AE56" s="1322"/>
      <c r="AF56" s="1322"/>
      <c r="AG56" s="1310"/>
      <c r="AH56" s="1322"/>
      <c r="AI56" s="1322"/>
      <c r="AJ56" s="1322"/>
      <c r="AK56" s="1322"/>
      <c r="AL56" s="1338"/>
      <c r="AM56" s="837"/>
      <c r="AN56" s="837"/>
      <c r="AO56" s="837"/>
      <c r="AP56" s="751"/>
      <c r="AQ56" s="1322">
        <v>-1016</v>
      </c>
      <c r="AR56" s="537">
        <v>12257</v>
      </c>
      <c r="AS56" s="1339">
        <v>-26059</v>
      </c>
      <c r="AT56" s="1122">
        <v>-0.96895218264296867</v>
      </c>
      <c r="AU56" s="996"/>
      <c r="AV56" s="1124">
        <v>835</v>
      </c>
      <c r="AW56" s="1124">
        <v>26894</v>
      </c>
      <c r="AX56" s="1309">
        <v>-2592</v>
      </c>
      <c r="AY56" s="1309">
        <v>-5276</v>
      </c>
      <c r="AZ56" s="1309">
        <v>14384</v>
      </c>
      <c r="BA56" s="1309">
        <v>10057</v>
      </c>
      <c r="BB56" s="1309">
        <v>-9759</v>
      </c>
      <c r="BC56" s="1022"/>
      <c r="BD56" s="1022"/>
      <c r="BE56" s="1036"/>
      <c r="BF56" s="1036"/>
      <c r="BG56" s="1036"/>
      <c r="BH56" s="943"/>
      <c r="BJ56" s="943"/>
      <c r="BK56" s="943"/>
      <c r="BL56" s="943"/>
      <c r="BM56" s="943"/>
    </row>
    <row r="57" spans="1:65" ht="12.75" customHeight="1" x14ac:dyDescent="0.2">
      <c r="A57" s="996"/>
      <c r="B57" s="992"/>
      <c r="C57" s="1125"/>
      <c r="D57" s="1094"/>
      <c r="E57" s="1094"/>
      <c r="F57" s="1094"/>
      <c r="G57" s="952"/>
      <c r="H57" s="952"/>
      <c r="I57" s="992"/>
      <c r="J57" s="1094"/>
      <c r="K57" s="1094"/>
      <c r="L57" s="952"/>
      <c r="M57" s="992"/>
      <c r="N57" s="1094"/>
      <c r="O57" s="1094"/>
      <c r="P57" s="952"/>
      <c r="Q57" s="992"/>
      <c r="R57" s="1094"/>
      <c r="S57" s="1094"/>
      <c r="T57" s="952"/>
      <c r="U57" s="992"/>
      <c r="V57" s="1094"/>
      <c r="W57" s="1094"/>
      <c r="X57" s="1094"/>
      <c r="Y57" s="992"/>
      <c r="Z57" s="1094"/>
      <c r="AA57" s="1094"/>
      <c r="AB57" s="1094"/>
      <c r="AC57" s="992"/>
      <c r="AD57" s="1094"/>
      <c r="AE57" s="1094"/>
      <c r="AF57" s="1094"/>
      <c r="AG57" s="992"/>
      <c r="AH57" s="996"/>
      <c r="AI57" s="996"/>
      <c r="AJ57" s="996"/>
      <c r="AK57" s="996"/>
      <c r="AL57" s="996"/>
      <c r="AM57" s="996"/>
      <c r="AN57" s="996"/>
      <c r="AO57" s="996"/>
      <c r="AP57" s="992"/>
      <c r="AQ57" s="1094"/>
      <c r="AR57" s="1094"/>
      <c r="AS57" s="1126"/>
      <c r="AT57" s="1127"/>
      <c r="AU57" s="992"/>
      <c r="AV57" s="992"/>
      <c r="AW57" s="992"/>
      <c r="AX57" s="992"/>
      <c r="AY57" s="992"/>
      <c r="AZ57" s="992"/>
      <c r="BA57" s="992"/>
      <c r="BB57" s="992"/>
      <c r="BC57" s="996"/>
      <c r="BD57" s="996"/>
      <c r="BE57" s="1036"/>
      <c r="BF57" s="1036"/>
      <c r="BG57" s="1036"/>
      <c r="BH57" s="943"/>
      <c r="BJ57" s="943"/>
      <c r="BK57" s="943"/>
      <c r="BL57" s="943"/>
      <c r="BM57" s="943"/>
    </row>
    <row r="58" spans="1:65" ht="12.75" customHeight="1" x14ac:dyDescent="0.2">
      <c r="A58" s="996"/>
      <c r="B58" s="1089" t="s">
        <v>80</v>
      </c>
      <c r="C58" s="1087">
        <v>5.8957996431471482</v>
      </c>
      <c r="D58" s="1094"/>
      <c r="E58" s="1094"/>
      <c r="F58" s="1094">
        <v>0.35059718658763162</v>
      </c>
      <c r="G58" s="1094">
        <v>0.51325500655277856</v>
      </c>
      <c r="H58" s="1094">
        <v>0.45721445593690885</v>
      </c>
      <c r="I58" s="1094">
        <v>0.33107402707955219</v>
      </c>
      <c r="J58" s="1094">
        <v>0.29163919015616013</v>
      </c>
      <c r="K58" s="1094">
        <v>0.34740723860034389</v>
      </c>
      <c r="L58" s="1094">
        <v>0.33324999999999999</v>
      </c>
      <c r="M58" s="1094">
        <v>0.33046861719207449</v>
      </c>
      <c r="N58" s="1094">
        <v>0.30420740609653585</v>
      </c>
      <c r="O58" s="1094">
        <v>0.394578073089701</v>
      </c>
      <c r="P58" s="1094">
        <v>0.40728074175406598</v>
      </c>
      <c r="Q58" s="1094">
        <v>0.60724637681159421</v>
      </c>
      <c r="R58" s="1094">
        <v>0.46600313733975224</v>
      </c>
      <c r="S58" s="1094">
        <v>0.47060533814037331</v>
      </c>
      <c r="T58" s="1094">
        <v>0.5132096683530073</v>
      </c>
      <c r="U58" s="1094">
        <v>0.30881900661233275</v>
      </c>
      <c r="V58" s="1094">
        <v>0.25306726327944573</v>
      </c>
      <c r="W58" s="1094">
        <v>0.24351585014409222</v>
      </c>
      <c r="X58" s="1094">
        <v>0.37499377583030424</v>
      </c>
      <c r="Y58" s="1094" t="e">
        <v>#REF!</v>
      </c>
      <c r="Z58" s="1094">
        <v>0.1537803312755944</v>
      </c>
      <c r="AA58" s="1094">
        <v>0.10480982581197477</v>
      </c>
      <c r="AB58" s="1094">
        <v>0.15381132075471698</v>
      </c>
      <c r="AC58" s="1094">
        <v>0.14983030545018966</v>
      </c>
      <c r="AD58" s="1094" t="e">
        <v>#DIV/0!</v>
      </c>
      <c r="AE58" s="1094" t="e">
        <v>#DIV/0!</v>
      </c>
      <c r="AF58" s="1094" t="e">
        <v>#DIV/0!</v>
      </c>
      <c r="AG58" s="1094" t="e">
        <v>#DIV/0!</v>
      </c>
      <c r="AH58" s="1094" t="e">
        <v>#DIV/0!</v>
      </c>
      <c r="AI58" s="1091">
        <v>0.22941514650995137</v>
      </c>
      <c r="AJ58" s="1091">
        <v>0.30967430476810637</v>
      </c>
      <c r="AK58" s="1091">
        <v>0.16900000000000004</v>
      </c>
      <c r="AL58" s="1091">
        <v>0.21100000000000008</v>
      </c>
      <c r="AM58" s="1091">
        <v>0.20399999999999996</v>
      </c>
      <c r="AN58" s="1091">
        <v>0.249</v>
      </c>
      <c r="AO58" s="1091">
        <v>0.17899999999999994</v>
      </c>
      <c r="AP58" s="992"/>
      <c r="AQ58" s="1094">
        <v>0.42023255972742851</v>
      </c>
      <c r="AR58" s="1094">
        <v>0.33694185053576842</v>
      </c>
      <c r="AS58" s="1087">
        <v>7.8816535821540246</v>
      </c>
      <c r="AT58" s="1127"/>
      <c r="AU58" s="992"/>
      <c r="AV58" s="1094">
        <v>0.40084346609384547</v>
      </c>
      <c r="AW58" s="1094">
        <v>0.32202693027230522</v>
      </c>
      <c r="AX58" s="1094">
        <v>0.41426754915066349</v>
      </c>
      <c r="AY58" s="1094">
        <v>0.42612535540849961</v>
      </c>
      <c r="AZ58" s="1094">
        <v>0.2784341784426515</v>
      </c>
      <c r="BA58" s="1094">
        <v>0.30111954439766875</v>
      </c>
      <c r="BB58" s="1091">
        <v>0.59810947402198034</v>
      </c>
      <c r="BC58" s="1091">
        <v>0.51245759351456144</v>
      </c>
      <c r="BD58" s="1091">
        <v>0.13159381964363784</v>
      </c>
      <c r="BE58" s="1089">
        <v>0.13831328504020735</v>
      </c>
      <c r="BF58" s="1089">
        <v>0.13580091880408962</v>
      </c>
      <c r="BG58" s="1089">
        <v>0.10299999999999998</v>
      </c>
      <c r="BH58" s="943"/>
      <c r="BJ58" s="943"/>
      <c r="BK58" s="943"/>
      <c r="BL58" s="943"/>
      <c r="BM58" s="943"/>
    </row>
    <row r="59" spans="1:65" ht="12.75" customHeight="1" x14ac:dyDescent="0.2">
      <c r="A59" s="996"/>
      <c r="B59" s="1089" t="s">
        <v>81</v>
      </c>
      <c r="C59" s="1087">
        <v>16.981560542923358</v>
      </c>
      <c r="D59" s="1094"/>
      <c r="E59" s="1094"/>
      <c r="F59" s="1094">
        <v>0.95394143147836863</v>
      </c>
      <c r="G59" s="1094">
        <v>1.1203182121260893</v>
      </c>
      <c r="H59" s="1094">
        <v>1.0552784807016682</v>
      </c>
      <c r="I59" s="1094">
        <v>0.85996048890959031</v>
      </c>
      <c r="J59" s="1094">
        <v>0.78412582604913506</v>
      </c>
      <c r="K59" s="1094">
        <v>0.92577016304460424</v>
      </c>
      <c r="L59" s="1094">
        <v>0.91245454545454541</v>
      </c>
      <c r="M59" s="1094">
        <v>0.87205107379634705</v>
      </c>
      <c r="N59" s="1094">
        <v>0.90948104233951244</v>
      </c>
      <c r="O59" s="1094">
        <v>0.95295681063122928</v>
      </c>
      <c r="P59" s="1094">
        <v>0.97631352282515071</v>
      </c>
      <c r="Q59" s="1094">
        <v>1.3023832528180355</v>
      </c>
      <c r="R59" s="1094">
        <v>1.2489316817222913</v>
      </c>
      <c r="S59" s="1094">
        <v>1.0778042681863116</v>
      </c>
      <c r="T59" s="1094">
        <v>1.1182686902754357</v>
      </c>
      <c r="U59" s="1094">
        <v>0.89358757496540053</v>
      </c>
      <c r="V59" s="1094">
        <v>0.82411951501154734</v>
      </c>
      <c r="W59" s="1094">
        <v>0.82356367649763929</v>
      </c>
      <c r="X59" s="1094">
        <v>0.99133595578349853</v>
      </c>
      <c r="Y59" s="1094" t="e">
        <v>#REF!</v>
      </c>
      <c r="Z59" s="1094">
        <v>0.69350895422040215</v>
      </c>
      <c r="AA59" s="1094">
        <v>0.66254345965022621</v>
      </c>
      <c r="AB59" s="1094">
        <v>0.73509433962264148</v>
      </c>
      <c r="AC59" s="1094">
        <v>0.73823783855726355</v>
      </c>
      <c r="AD59" s="1094">
        <v>0</v>
      </c>
      <c r="AE59" s="1094">
        <v>0</v>
      </c>
      <c r="AF59" s="1094">
        <v>0</v>
      </c>
      <c r="AG59" s="1094">
        <v>0</v>
      </c>
      <c r="AH59" s="1094">
        <v>0</v>
      </c>
      <c r="AI59" s="1091">
        <v>0.78796893678764046</v>
      </c>
      <c r="AJ59" s="1091">
        <v>0.81936881813384832</v>
      </c>
      <c r="AK59" s="1091">
        <v>0.68600000000000005</v>
      </c>
      <c r="AL59" s="1091">
        <v>0.77500000000000002</v>
      </c>
      <c r="AM59" s="1091">
        <v>0.74299999999999999</v>
      </c>
      <c r="AN59" s="1091">
        <v>0.76</v>
      </c>
      <c r="AO59" s="1091">
        <v>0.73199999999999998</v>
      </c>
      <c r="AP59" s="992"/>
      <c r="AQ59" s="1094">
        <v>0.99156066285667466</v>
      </c>
      <c r="AR59" s="1094">
        <v>0.90214996005839743</v>
      </c>
      <c r="AS59" s="1087">
        <v>11.779299232774143</v>
      </c>
      <c r="AT59" s="1127"/>
      <c r="AU59" s="992"/>
      <c r="AV59" s="1094">
        <v>0.9810860611315847</v>
      </c>
      <c r="AW59" s="1094">
        <v>0.86329306880384327</v>
      </c>
      <c r="AX59" s="1094">
        <v>1.016901959505722</v>
      </c>
      <c r="AY59" s="1094">
        <v>1.0663764688121178</v>
      </c>
      <c r="AZ59" s="1094">
        <v>0.86458166618025023</v>
      </c>
      <c r="BA59" s="1094">
        <v>0.8969875754130433</v>
      </c>
      <c r="BB59" s="1091">
        <v>1.1304783806187662</v>
      </c>
      <c r="BC59" s="1091">
        <v>1.0811340705820152</v>
      </c>
      <c r="BD59" s="1091">
        <v>0.66735799362344184</v>
      </c>
      <c r="BE59" s="1089">
        <v>0.70103675151192923</v>
      </c>
      <c r="BF59" s="1089">
        <v>0.70568967862786336</v>
      </c>
      <c r="BG59" s="1089">
        <v>0.73</v>
      </c>
      <c r="BH59" s="943"/>
      <c r="BJ59" s="943"/>
      <c r="BK59" s="943"/>
      <c r="BL59" s="943"/>
      <c r="BM59" s="943"/>
    </row>
    <row r="60" spans="1:65" ht="12.75" customHeight="1" x14ac:dyDescent="0.2">
      <c r="A60" s="996"/>
      <c r="B60" s="1089" t="s">
        <v>187</v>
      </c>
      <c r="C60" s="1087">
        <v>-16.981560542923354</v>
      </c>
      <c r="D60" s="1094"/>
      <c r="E60" s="1094"/>
      <c r="F60" s="1094">
        <v>4.6058568521631427E-2</v>
      </c>
      <c r="G60" s="1094">
        <v>-0.12031821212608926</v>
      </c>
      <c r="H60" s="1094">
        <v>-5.527848070166818E-2</v>
      </c>
      <c r="I60" s="1094">
        <v>0.14003951109040974</v>
      </c>
      <c r="J60" s="1094">
        <v>0.21587417395086497</v>
      </c>
      <c r="K60" s="1094">
        <v>7.4229836955395798E-2</v>
      </c>
      <c r="L60" s="1094">
        <v>8.7545454545454551E-2</v>
      </c>
      <c r="M60" s="1094">
        <v>0.12794892620365297</v>
      </c>
      <c r="N60" s="1094">
        <v>9.0518957660487551E-2</v>
      </c>
      <c r="O60" s="1094">
        <v>4.7043189368770763E-2</v>
      </c>
      <c r="P60" s="1094">
        <v>2.3686477174849268E-2</v>
      </c>
      <c r="Q60" s="1094">
        <v>-0.30238325281803541</v>
      </c>
      <c r="R60" s="1094">
        <v>-0.24893168172229135</v>
      </c>
      <c r="S60" s="1094">
        <v>-7.7804268186311559E-2</v>
      </c>
      <c r="T60" s="1094">
        <v>-0.11826869027543564</v>
      </c>
      <c r="U60" s="1094">
        <v>0.10641242503459941</v>
      </c>
      <c r="V60" s="1094">
        <v>0.17588048498845266</v>
      </c>
      <c r="W60" s="1094">
        <v>0.17643632350236066</v>
      </c>
      <c r="X60" s="1094">
        <v>8.6640442165015191E-3</v>
      </c>
      <c r="Y60" s="1094" t="e">
        <v>#REF!</v>
      </c>
      <c r="Z60" s="1094">
        <v>0.30649104577959785</v>
      </c>
      <c r="AA60" s="1094">
        <v>0.33745654034977374</v>
      </c>
      <c r="AB60" s="1094">
        <v>0.26490566037735847</v>
      </c>
      <c r="AC60" s="1094">
        <v>0.2617621614427364</v>
      </c>
      <c r="AD60" s="1094">
        <v>1</v>
      </c>
      <c r="AE60" s="1094">
        <v>1</v>
      </c>
      <c r="AF60" s="1094">
        <v>1</v>
      </c>
      <c r="AG60" s="1094">
        <v>1</v>
      </c>
      <c r="AH60" s="1094">
        <v>1</v>
      </c>
      <c r="AI60" s="1091">
        <v>0.21203106321235959</v>
      </c>
      <c r="AJ60" s="1091">
        <v>0.18063118186615174</v>
      </c>
      <c r="AK60" s="1091">
        <v>0.31399999999999995</v>
      </c>
      <c r="AL60" s="1091">
        <v>0.22500000000000001</v>
      </c>
      <c r="AM60" s="1091">
        <v>0.25700000000000001</v>
      </c>
      <c r="AN60" s="1091">
        <v>0.24</v>
      </c>
      <c r="AO60" s="1091">
        <v>0.26800000000000002</v>
      </c>
      <c r="AP60" s="992"/>
      <c r="AQ60" s="1094">
        <v>8.4393371433253445E-3</v>
      </c>
      <c r="AR60" s="1094">
        <v>9.7850039941602629E-2</v>
      </c>
      <c r="AS60" s="1087">
        <v>-11.779299232774145</v>
      </c>
      <c r="AT60" s="1127"/>
      <c r="AU60" s="992"/>
      <c r="AV60" s="1094">
        <v>1.8913938868415348E-2</v>
      </c>
      <c r="AW60" s="1094">
        <v>0.13670693119615679</v>
      </c>
      <c r="AX60" s="1094">
        <v>-1.6901959505722017E-2</v>
      </c>
      <c r="AY60" s="1094">
        <v>-6.6376468812117853E-2</v>
      </c>
      <c r="AZ60" s="1094">
        <v>0.13541833381974977</v>
      </c>
      <c r="BA60" s="1094">
        <v>0.10301242458695674</v>
      </c>
      <c r="BB60" s="1091">
        <v>-0.13047838061876621</v>
      </c>
      <c r="BC60" s="1091">
        <v>-8.1134070582015244E-2</v>
      </c>
      <c r="BD60" s="1091">
        <v>0.33264200637655816</v>
      </c>
      <c r="BE60" s="1089">
        <v>0.29896324848807071</v>
      </c>
      <c r="BF60" s="1089">
        <v>0.29431032137213659</v>
      </c>
      <c r="BG60" s="1089">
        <v>0.27</v>
      </c>
    </row>
    <row r="61" spans="1:65" ht="12.75" customHeight="1" x14ac:dyDescent="0.2">
      <c r="A61" s="996"/>
      <c r="B61" s="1089"/>
      <c r="C61" s="1128"/>
      <c r="D61" s="1094"/>
      <c r="E61" s="1094"/>
      <c r="F61" s="1094"/>
      <c r="G61" s="1094"/>
      <c r="H61" s="1094"/>
      <c r="I61" s="1094"/>
      <c r="J61" s="1094"/>
      <c r="K61" s="1094"/>
      <c r="L61" s="1094"/>
      <c r="M61" s="1094"/>
      <c r="N61" s="1094"/>
      <c r="O61" s="1094"/>
      <c r="P61" s="1094"/>
      <c r="Q61" s="1094"/>
      <c r="R61" s="1094"/>
      <c r="S61" s="1094"/>
      <c r="T61" s="1094"/>
      <c r="U61" s="1094"/>
      <c r="V61" s="1094"/>
      <c r="W61" s="1094"/>
      <c r="X61" s="1094"/>
      <c r="Y61" s="1094"/>
      <c r="Z61" s="1094"/>
      <c r="AA61" s="1094"/>
      <c r="AB61" s="1094"/>
      <c r="AC61" s="1094"/>
      <c r="AD61" s="1094"/>
      <c r="AE61" s="1094"/>
      <c r="AF61" s="1094"/>
      <c r="AG61" s="1094"/>
      <c r="AH61" s="1094"/>
      <c r="AI61" s="1091"/>
      <c r="AJ61" s="1091"/>
      <c r="AK61" s="1091"/>
      <c r="AL61" s="1091"/>
      <c r="AM61" s="1091"/>
      <c r="AN61" s="1091"/>
      <c r="AO61" s="1091"/>
      <c r="AP61" s="992"/>
      <c r="AQ61" s="1094"/>
      <c r="AR61" s="1094"/>
      <c r="AS61" s="1087"/>
      <c r="AT61" s="1127"/>
      <c r="AU61" s="992"/>
      <c r="AV61" s="1091"/>
      <c r="AW61" s="1091"/>
      <c r="AX61" s="1091"/>
      <c r="AY61" s="1091"/>
      <c r="AZ61" s="1091"/>
      <c r="BA61" s="1091"/>
      <c r="BB61" s="1091"/>
      <c r="BC61" s="1091"/>
      <c r="BD61" s="1091"/>
      <c r="BE61" s="1089"/>
      <c r="BF61" s="1089"/>
      <c r="BG61" s="1089"/>
    </row>
    <row r="62" spans="1:65" ht="12.75" customHeight="1" x14ac:dyDescent="0.2">
      <c r="A62" s="1129" t="s">
        <v>199</v>
      </c>
      <c r="B62" s="1089"/>
      <c r="C62" s="992"/>
      <c r="D62" s="992"/>
      <c r="E62" s="992"/>
      <c r="F62" s="992"/>
      <c r="G62" s="992"/>
      <c r="H62" s="992"/>
      <c r="I62" s="992"/>
      <c r="J62" s="992"/>
      <c r="K62" s="992"/>
      <c r="L62" s="992"/>
      <c r="M62" s="992"/>
      <c r="N62" s="992"/>
      <c r="O62" s="992"/>
      <c r="P62" s="992"/>
      <c r="Q62" s="992"/>
      <c r="R62" s="992"/>
      <c r="S62" s="992"/>
      <c r="T62" s="992"/>
      <c r="U62" s="992"/>
      <c r="V62" s="992"/>
      <c r="W62" s="992"/>
      <c r="X62" s="992"/>
      <c r="Y62" s="992"/>
      <c r="Z62" s="992"/>
      <c r="AA62" s="992"/>
      <c r="AB62" s="992"/>
      <c r="AC62" s="992"/>
      <c r="AD62" s="992"/>
      <c r="AE62" s="992"/>
      <c r="AF62" s="992"/>
      <c r="AG62" s="992"/>
      <c r="AH62" s="992"/>
      <c r="AI62" s="992"/>
      <c r="AJ62" s="992"/>
      <c r="AK62" s="952"/>
      <c r="AL62" s="992"/>
      <c r="AM62" s="952"/>
      <c r="AN62" s="952"/>
      <c r="AO62" s="992"/>
      <c r="AP62" s="992"/>
      <c r="AQ62" s="992"/>
      <c r="AR62" s="992"/>
      <c r="AS62" s="1096"/>
      <c r="AT62" s="1096"/>
      <c r="AU62" s="992"/>
      <c r="AV62" s="992"/>
      <c r="AW62" s="992"/>
      <c r="AX62" s="992"/>
      <c r="AY62" s="992"/>
      <c r="AZ62" s="992"/>
      <c r="BA62" s="992"/>
      <c r="BB62" s="992"/>
      <c r="BC62" s="992"/>
      <c r="BD62" s="992"/>
      <c r="BE62" s="1036"/>
      <c r="BF62" s="1089"/>
      <c r="BG62" s="1089"/>
    </row>
    <row r="63" spans="1:65" ht="12.75" customHeight="1" x14ac:dyDescent="0.2">
      <c r="C63" s="1495" t="s">
        <v>447</v>
      </c>
      <c r="D63" s="1496"/>
      <c r="E63" s="953"/>
      <c r="F63" s="954"/>
      <c r="G63" s="954"/>
      <c r="H63" s="993"/>
      <c r="I63" s="1205"/>
      <c r="J63" s="954"/>
      <c r="K63" s="954"/>
      <c r="L63" s="993"/>
      <c r="M63" s="1205"/>
      <c r="N63" s="993"/>
      <c r="O63" s="993"/>
      <c r="P63" s="993"/>
      <c r="Q63" s="1205"/>
      <c r="R63" s="993"/>
      <c r="S63" s="993"/>
      <c r="T63" s="993"/>
      <c r="U63" s="993"/>
      <c r="V63" s="1102"/>
      <c r="W63" s="993"/>
      <c r="X63" s="993"/>
      <c r="Y63" s="993"/>
      <c r="Z63" s="1102"/>
      <c r="AA63" s="993"/>
      <c r="AB63" s="993"/>
      <c r="AC63" s="993"/>
      <c r="AD63" s="1102"/>
      <c r="AE63" s="993"/>
      <c r="AF63" s="1205"/>
      <c r="AG63" s="1205"/>
      <c r="AH63" s="1205"/>
      <c r="AI63" s="992"/>
      <c r="AJ63" s="992"/>
      <c r="AK63" s="952"/>
      <c r="AL63" s="992"/>
      <c r="AM63" s="952"/>
      <c r="AN63" s="952"/>
      <c r="AO63" s="992"/>
      <c r="AP63" s="991"/>
      <c r="AQ63" s="661" t="s">
        <v>340</v>
      </c>
      <c r="AR63" s="647"/>
      <c r="AS63" s="647" t="s">
        <v>432</v>
      </c>
      <c r="AT63" s="648"/>
      <c r="AU63" s="992"/>
      <c r="AV63" s="959"/>
      <c r="AW63" s="959"/>
      <c r="AX63" s="959"/>
      <c r="AY63" s="959"/>
      <c r="AZ63" s="959"/>
      <c r="BA63" s="959"/>
      <c r="BB63" s="959"/>
      <c r="BC63" s="1103"/>
      <c r="BD63" s="1103"/>
      <c r="BE63" s="959"/>
      <c r="BF63" s="1089"/>
      <c r="BG63" s="1089"/>
      <c r="BH63" s="962"/>
    </row>
    <row r="64" spans="1:65" ht="12.75" customHeight="1" x14ac:dyDescent="0.2">
      <c r="C64" s="1487" t="s">
        <v>39</v>
      </c>
      <c r="D64" s="1488"/>
      <c r="E64" s="963"/>
      <c r="F64" s="21" t="s">
        <v>425</v>
      </c>
      <c r="G64" s="21" t="s">
        <v>426</v>
      </c>
      <c r="H64" s="21" t="s">
        <v>427</v>
      </c>
      <c r="I64" s="14" t="s">
        <v>428</v>
      </c>
      <c r="J64" s="964" t="s">
        <v>363</v>
      </c>
      <c r="K64" s="964" t="s">
        <v>362</v>
      </c>
      <c r="L64" s="964" t="s">
        <v>361</v>
      </c>
      <c r="M64" s="965" t="s">
        <v>359</v>
      </c>
      <c r="N64" s="964" t="s">
        <v>302</v>
      </c>
      <c r="O64" s="964" t="s">
        <v>303</v>
      </c>
      <c r="P64" s="964" t="s">
        <v>304</v>
      </c>
      <c r="Q64" s="965" t="s">
        <v>305</v>
      </c>
      <c r="R64" s="964" t="s">
        <v>231</v>
      </c>
      <c r="S64" s="964" t="s">
        <v>232</v>
      </c>
      <c r="T64" s="964" t="s">
        <v>233</v>
      </c>
      <c r="U64" s="965" t="s">
        <v>230</v>
      </c>
      <c r="V64" s="966" t="s">
        <v>194</v>
      </c>
      <c r="W64" s="964" t="s">
        <v>195</v>
      </c>
      <c r="X64" s="964" t="s">
        <v>196</v>
      </c>
      <c r="Y64" s="964">
        <v>0</v>
      </c>
      <c r="Z64" s="966" t="s">
        <v>126</v>
      </c>
      <c r="AA64" s="964" t="s">
        <v>125</v>
      </c>
      <c r="AB64" s="964" t="s">
        <v>124</v>
      </c>
      <c r="AC64" s="964" t="s">
        <v>123</v>
      </c>
      <c r="AD64" s="966" t="s">
        <v>86</v>
      </c>
      <c r="AE64" s="964" t="s">
        <v>87</v>
      </c>
      <c r="AF64" s="965" t="s">
        <v>88</v>
      </c>
      <c r="AG64" s="965" t="s">
        <v>30</v>
      </c>
      <c r="AH64" s="965" t="s">
        <v>30</v>
      </c>
      <c r="AI64" s="992"/>
      <c r="AJ64" s="992"/>
      <c r="AK64" s="952"/>
      <c r="AL64" s="992"/>
      <c r="AM64" s="952"/>
      <c r="AN64" s="952"/>
      <c r="AO64" s="992"/>
      <c r="AP64" s="991"/>
      <c r="AQ64" s="21" t="s">
        <v>426</v>
      </c>
      <c r="AR64" s="21" t="s">
        <v>362</v>
      </c>
      <c r="AS64" s="1494" t="s">
        <v>39</v>
      </c>
      <c r="AT64" s="1482"/>
      <c r="AU64" s="992"/>
      <c r="AV64" s="20" t="s">
        <v>446</v>
      </c>
      <c r="AW64" s="20" t="s">
        <v>365</v>
      </c>
      <c r="AX64" s="966" t="s">
        <v>307</v>
      </c>
      <c r="AY64" s="966" t="s">
        <v>235</v>
      </c>
      <c r="AZ64" s="966" t="s">
        <v>128</v>
      </c>
      <c r="BA64" s="966" t="s">
        <v>127</v>
      </c>
      <c r="BB64" s="966" t="s">
        <v>43</v>
      </c>
      <c r="BC64" s="968" t="s">
        <v>40</v>
      </c>
      <c r="BD64" s="968" t="s">
        <v>41</v>
      </c>
      <c r="BE64" s="968" t="s">
        <v>146</v>
      </c>
      <c r="BF64" s="1089"/>
      <c r="BG64" s="1089"/>
      <c r="BH64" s="962"/>
    </row>
    <row r="65" spans="1:60" ht="12.75" customHeight="1" x14ac:dyDescent="0.2">
      <c r="A65" s="996"/>
      <c r="B65" s="7" t="s">
        <v>399</v>
      </c>
      <c r="C65" s="1106">
        <v>-864</v>
      </c>
      <c r="D65" s="1107">
        <v>-4.3920292801952011E-2</v>
      </c>
      <c r="E65" s="991"/>
      <c r="F65" s="1108">
        <v>18808</v>
      </c>
      <c r="G65" s="1108">
        <v>19612</v>
      </c>
      <c r="H65" s="1108">
        <v>12417</v>
      </c>
      <c r="I65" s="1130">
        <v>17090</v>
      </c>
      <c r="J65" s="1108">
        <v>19672</v>
      </c>
      <c r="K65" s="1108">
        <v>18459</v>
      </c>
      <c r="L65" s="1108">
        <v>17132</v>
      </c>
      <c r="M65" s="1130">
        <v>17578</v>
      </c>
      <c r="N65" s="1108">
        <v>15504</v>
      </c>
      <c r="O65" s="1108">
        <v>16119</v>
      </c>
      <c r="P65" s="1108">
        <v>16627</v>
      </c>
      <c r="Q65" s="1130">
        <v>17628</v>
      </c>
      <c r="R65" s="421">
        <v>11285</v>
      </c>
      <c r="S65" s="421">
        <v>10987</v>
      </c>
      <c r="T65" s="421">
        <v>11236</v>
      </c>
      <c r="U65" s="1108">
        <v>11678</v>
      </c>
      <c r="V65" s="1131">
        <v>13847</v>
      </c>
      <c r="W65" s="1108">
        <v>13861</v>
      </c>
      <c r="X65" s="1108">
        <v>12994</v>
      </c>
      <c r="Y65" s="1108">
        <v>6975</v>
      </c>
      <c r="Z65" s="1131">
        <v>8215</v>
      </c>
      <c r="AA65" s="1108">
        <v>9418</v>
      </c>
      <c r="AB65" s="1108">
        <v>9547</v>
      </c>
      <c r="AC65" s="1108">
        <v>8802</v>
      </c>
      <c r="AD65" s="1132">
        <v>7648</v>
      </c>
      <c r="AE65" s="1110">
        <v>7035</v>
      </c>
      <c r="AF65" s="1133">
        <v>8214</v>
      </c>
      <c r="AG65" s="1130">
        <v>8390</v>
      </c>
      <c r="AH65" s="1109">
        <v>29584</v>
      </c>
      <c r="AI65" s="992"/>
      <c r="AJ65" s="992"/>
      <c r="AK65" s="952"/>
      <c r="AL65" s="992"/>
      <c r="AM65" s="952"/>
      <c r="AN65" s="952"/>
      <c r="AO65" s="992"/>
      <c r="AP65" s="991"/>
      <c r="AQ65" s="1050">
        <v>49119</v>
      </c>
      <c r="AR65" s="1005">
        <v>53169</v>
      </c>
      <c r="AS65" s="1134">
        <v>-4914</v>
      </c>
      <c r="AT65" s="1000">
        <v>-6.7462006287667658E-2</v>
      </c>
      <c r="AU65" s="992"/>
      <c r="AV65" s="1112">
        <v>67927</v>
      </c>
      <c r="AW65" s="1112">
        <v>72841</v>
      </c>
      <c r="AX65" s="1112">
        <v>65878</v>
      </c>
      <c r="AY65" s="1112">
        <v>45186</v>
      </c>
      <c r="AZ65" s="564">
        <v>53682</v>
      </c>
      <c r="BA65" s="43">
        <v>39936</v>
      </c>
      <c r="BB65" s="43">
        <v>46210</v>
      </c>
      <c r="BC65" s="43">
        <v>43776</v>
      </c>
      <c r="BD65" s="1113">
        <v>45773</v>
      </c>
      <c r="BE65" s="1069">
        <v>41570</v>
      </c>
      <c r="BF65" s="1089"/>
      <c r="BG65" s="1089"/>
      <c r="BH65" s="962"/>
    </row>
    <row r="66" spans="1:60" ht="12.75" customHeight="1" x14ac:dyDescent="0.2">
      <c r="A66" s="996"/>
      <c r="B66" s="7" t="s">
        <v>65</v>
      </c>
      <c r="C66" s="1106">
        <v>-10379</v>
      </c>
      <c r="D66" s="1107">
        <v>-0.45835541423776716</v>
      </c>
      <c r="E66" s="991"/>
      <c r="F66" s="1108">
        <v>12265</v>
      </c>
      <c r="G66" s="1108">
        <v>6097</v>
      </c>
      <c r="H66" s="1108">
        <v>10224</v>
      </c>
      <c r="I66" s="1130">
        <v>27776</v>
      </c>
      <c r="J66" s="1108">
        <v>22644</v>
      </c>
      <c r="K66" s="1108">
        <v>12445</v>
      </c>
      <c r="L66" s="1108">
        <v>14009</v>
      </c>
      <c r="M66" s="1130">
        <v>12951</v>
      </c>
      <c r="N66" s="1108">
        <v>9745</v>
      </c>
      <c r="O66" s="1108">
        <v>3573</v>
      </c>
      <c r="P66" s="1108">
        <v>6814</v>
      </c>
      <c r="Q66" s="1130">
        <v>3882</v>
      </c>
      <c r="R66" s="421">
        <v>3882</v>
      </c>
      <c r="S66" s="421">
        <v>5322</v>
      </c>
      <c r="T66" s="421">
        <v>4626</v>
      </c>
      <c r="U66" s="1108">
        <v>11414</v>
      </c>
      <c r="V66" s="1131">
        <v>10987</v>
      </c>
      <c r="W66" s="1108">
        <v>15691</v>
      </c>
      <c r="X66" s="1108">
        <v>6165</v>
      </c>
      <c r="Y66" s="1108">
        <v>31749</v>
      </c>
      <c r="Z66" s="1131">
        <v>23306</v>
      </c>
      <c r="AA66" s="1108">
        <v>46294</v>
      </c>
      <c r="AB66" s="1108">
        <v>16811</v>
      </c>
      <c r="AC66" s="1108">
        <v>19402</v>
      </c>
      <c r="AD66" s="1132">
        <v>15250</v>
      </c>
      <c r="AE66" s="1108">
        <v>4569</v>
      </c>
      <c r="AF66" s="1130">
        <v>12638</v>
      </c>
      <c r="AG66" s="1130">
        <v>17564</v>
      </c>
      <c r="AH66" s="1109">
        <v>0</v>
      </c>
      <c r="AI66" s="992">
        <v>0</v>
      </c>
      <c r="AJ66" s="992">
        <v>0</v>
      </c>
      <c r="AK66" s="952">
        <v>0</v>
      </c>
      <c r="AL66" s="992">
        <v>0</v>
      </c>
      <c r="AM66" s="952">
        <v>0</v>
      </c>
      <c r="AN66" s="952">
        <v>0</v>
      </c>
      <c r="AO66" s="992">
        <v>0</v>
      </c>
      <c r="AP66" s="991"/>
      <c r="AQ66" s="1050">
        <v>44097</v>
      </c>
      <c r="AR66" s="1005">
        <v>39405</v>
      </c>
      <c r="AS66" s="1051">
        <v>-5687</v>
      </c>
      <c r="AT66" s="1000">
        <v>-9.1653370723138158E-2</v>
      </c>
      <c r="AU66" s="992"/>
      <c r="AV66" s="1112">
        <v>56362</v>
      </c>
      <c r="AW66" s="1112">
        <v>62049</v>
      </c>
      <c r="AX66" s="1112">
        <v>24014</v>
      </c>
      <c r="AY66" s="1112">
        <v>25244</v>
      </c>
      <c r="AZ66" s="565">
        <v>42700</v>
      </c>
      <c r="BA66" s="43">
        <v>37147</v>
      </c>
      <c r="BB66" s="43">
        <v>12860</v>
      </c>
      <c r="BC66" s="43">
        <v>34024</v>
      </c>
      <c r="BD66" s="1117">
        <v>128763</v>
      </c>
      <c r="BE66" s="1025">
        <v>99263</v>
      </c>
      <c r="BF66" s="1089"/>
      <c r="BG66" s="1089"/>
      <c r="BH66" s="962"/>
    </row>
    <row r="67" spans="1:60" ht="12.75" customHeight="1" x14ac:dyDescent="0.2">
      <c r="A67" s="996"/>
      <c r="B67" s="7" t="s">
        <v>213</v>
      </c>
      <c r="C67" s="1106">
        <v>602</v>
      </c>
      <c r="D67" s="1207">
        <v>0.10422437673130194</v>
      </c>
      <c r="E67" s="991"/>
      <c r="F67" s="1108">
        <v>6378</v>
      </c>
      <c r="G67" s="1108">
        <v>4674</v>
      </c>
      <c r="H67" s="1108">
        <v>6474</v>
      </c>
      <c r="I67" s="1130">
        <v>2520</v>
      </c>
      <c r="J67" s="1108">
        <v>5776</v>
      </c>
      <c r="K67" s="1108">
        <v>3243</v>
      </c>
      <c r="L67" s="1108">
        <v>1601</v>
      </c>
      <c r="M67" s="1130">
        <v>6603</v>
      </c>
      <c r="N67" s="1108">
        <v>6074</v>
      </c>
      <c r="O67" s="1108">
        <v>5988</v>
      </c>
      <c r="P67" s="1108">
        <v>5624</v>
      </c>
      <c r="Q67" s="1130">
        <v>3598</v>
      </c>
      <c r="R67" s="421">
        <v>1320</v>
      </c>
      <c r="S67" s="421">
        <v>837</v>
      </c>
      <c r="T67" s="421">
        <v>1962</v>
      </c>
      <c r="U67" s="1108">
        <v>2960</v>
      </c>
      <c r="V67" s="1131">
        <v>2860</v>
      </c>
      <c r="W67" s="1108">
        <v>2925</v>
      </c>
      <c r="X67" s="1108">
        <v>740</v>
      </c>
      <c r="Y67" s="1108">
        <v>14504</v>
      </c>
      <c r="Z67" s="1131">
        <v>1297</v>
      </c>
      <c r="AA67" s="1108">
        <v>1601</v>
      </c>
      <c r="AB67" s="1108">
        <v>1211</v>
      </c>
      <c r="AC67" s="1108">
        <v>1444</v>
      </c>
      <c r="AD67" s="1132">
        <v>2473</v>
      </c>
      <c r="AE67" s="1108">
        <v>1215</v>
      </c>
      <c r="AF67" s="1130">
        <v>2659</v>
      </c>
      <c r="AG67" s="1130">
        <v>8562</v>
      </c>
      <c r="AH67" s="1109"/>
      <c r="AI67" s="992"/>
      <c r="AJ67" s="992"/>
      <c r="AK67" s="952"/>
      <c r="AL67" s="992"/>
      <c r="AM67" s="952"/>
      <c r="AN67" s="952"/>
      <c r="AO67" s="992"/>
      <c r="AP67" s="991"/>
      <c r="AQ67" s="1050">
        <v>13668</v>
      </c>
      <c r="AR67" s="1005">
        <v>11447</v>
      </c>
      <c r="AS67" s="1135">
        <v>2823</v>
      </c>
      <c r="AT67" s="1000">
        <v>0.16390872670266504</v>
      </c>
      <c r="AU67" s="992"/>
      <c r="AV67" s="1112">
        <v>20046</v>
      </c>
      <c r="AW67" s="1112">
        <v>17223</v>
      </c>
      <c r="AX67" s="1112">
        <v>21284</v>
      </c>
      <c r="AY67" s="1112">
        <v>7079</v>
      </c>
      <c r="AZ67" s="565">
        <v>9588</v>
      </c>
      <c r="BA67" s="43">
        <v>21890</v>
      </c>
      <c r="BB67" s="43">
        <v>15171</v>
      </c>
      <c r="BC67" s="43">
        <v>11589</v>
      </c>
      <c r="BD67" s="1136">
        <v>12713</v>
      </c>
      <c r="BE67" s="1025">
        <v>4636</v>
      </c>
      <c r="BF67" s="1089"/>
      <c r="BG67" s="1089"/>
      <c r="BH67" s="962"/>
    </row>
    <row r="68" spans="1:60" ht="12.75" customHeight="1" x14ac:dyDescent="0.2">
      <c r="A68" s="996"/>
      <c r="B68" s="7" t="s">
        <v>66</v>
      </c>
      <c r="C68" s="1106">
        <v>-4415</v>
      </c>
      <c r="D68" s="1107">
        <v>-0.19505191075767617</v>
      </c>
      <c r="E68" s="991"/>
      <c r="F68" s="1108">
        <v>18220</v>
      </c>
      <c r="G68" s="1125">
        <v>12524</v>
      </c>
      <c r="H68" s="1108">
        <v>10773</v>
      </c>
      <c r="I68" s="1130">
        <v>13453</v>
      </c>
      <c r="J68" s="1108">
        <v>22635</v>
      </c>
      <c r="K68" s="1125">
        <v>13357</v>
      </c>
      <c r="L68" s="1108">
        <v>10547</v>
      </c>
      <c r="M68" s="1130">
        <v>14502</v>
      </c>
      <c r="N68" s="1108">
        <v>13382</v>
      </c>
      <c r="O68" s="1125">
        <v>11455</v>
      </c>
      <c r="P68" s="1108">
        <v>9853</v>
      </c>
      <c r="Q68" s="1130">
        <v>5436</v>
      </c>
      <c r="R68" s="421">
        <v>1678</v>
      </c>
      <c r="S68" s="421">
        <v>0</v>
      </c>
      <c r="T68" s="421">
        <v>0</v>
      </c>
      <c r="U68" s="1125">
        <v>0</v>
      </c>
      <c r="V68" s="1106">
        <v>0</v>
      </c>
      <c r="W68" s="1125">
        <v>0</v>
      </c>
      <c r="X68" s="1125">
        <v>0</v>
      </c>
      <c r="Y68" s="1108">
        <v>-262</v>
      </c>
      <c r="Z68" s="1131">
        <v>-115</v>
      </c>
      <c r="AA68" s="1108">
        <v>-132</v>
      </c>
      <c r="AB68" s="1108">
        <v>-255</v>
      </c>
      <c r="AC68" s="1108">
        <v>-45</v>
      </c>
      <c r="AD68" s="1132">
        <v>-388</v>
      </c>
      <c r="AE68" s="1108">
        <v>-274</v>
      </c>
      <c r="AF68" s="1130">
        <v>-218</v>
      </c>
      <c r="AG68" s="1130">
        <v>-343</v>
      </c>
      <c r="AH68" s="1109">
        <v>5363</v>
      </c>
      <c r="AI68" s="992"/>
      <c r="AJ68" s="992"/>
      <c r="AK68" s="952"/>
      <c r="AL68" s="992"/>
      <c r="AM68" s="952"/>
      <c r="AN68" s="952"/>
      <c r="AO68" s="992"/>
      <c r="AP68" s="991"/>
      <c r="AQ68" s="1050">
        <v>36750</v>
      </c>
      <c r="AR68" s="1125">
        <v>38406</v>
      </c>
      <c r="AS68" s="1135">
        <v>-6071</v>
      </c>
      <c r="AT68" s="1000">
        <v>-9.9457741517996107E-2</v>
      </c>
      <c r="AU68" s="992"/>
      <c r="AV68" s="1112">
        <v>54970</v>
      </c>
      <c r="AW68" s="1112">
        <v>61041</v>
      </c>
      <c r="AX68" s="1112">
        <v>40126</v>
      </c>
      <c r="AY68" s="1112">
        <v>1678</v>
      </c>
      <c r="AZ68" s="565">
        <v>0</v>
      </c>
      <c r="BA68" s="43">
        <v>0</v>
      </c>
      <c r="BB68" s="43">
        <v>0</v>
      </c>
      <c r="BC68" s="43">
        <v>0</v>
      </c>
      <c r="BD68" s="1117">
        <v>-524</v>
      </c>
      <c r="BE68" s="1025">
        <v>4647</v>
      </c>
      <c r="BF68" s="1089"/>
      <c r="BG68" s="1089"/>
      <c r="BH68" s="962"/>
    </row>
    <row r="69" spans="1:60" ht="12.75" customHeight="1" x14ac:dyDescent="0.2">
      <c r="A69" s="996"/>
      <c r="B69" s="7" t="s">
        <v>67</v>
      </c>
      <c r="C69" s="1106">
        <v>-152</v>
      </c>
      <c r="D69" s="1107">
        <v>-0.43930635838150289</v>
      </c>
      <c r="E69" s="991"/>
      <c r="F69" s="1108">
        <v>194</v>
      </c>
      <c r="G69" s="1137">
        <v>217</v>
      </c>
      <c r="H69" s="1022">
        <v>281</v>
      </c>
      <c r="I69" s="1130">
        <v>466</v>
      </c>
      <c r="J69" s="1108">
        <v>346</v>
      </c>
      <c r="K69" s="1137">
        <v>294</v>
      </c>
      <c r="L69" s="1022">
        <v>380</v>
      </c>
      <c r="M69" s="1130">
        <v>473</v>
      </c>
      <c r="N69" s="1108">
        <v>418</v>
      </c>
      <c r="O69" s="1137">
        <v>454</v>
      </c>
      <c r="P69" s="1022">
        <v>398</v>
      </c>
      <c r="Q69" s="1130">
        <v>340</v>
      </c>
      <c r="R69" s="421">
        <v>25</v>
      </c>
      <c r="S69" s="421">
        <v>13</v>
      </c>
      <c r="T69" s="421">
        <v>15</v>
      </c>
      <c r="U69" s="1108">
        <v>7</v>
      </c>
      <c r="V69" s="1131">
        <v>14</v>
      </c>
      <c r="W69" s="1137">
        <v>3</v>
      </c>
      <c r="X69" s="1137">
        <v>5</v>
      </c>
      <c r="Y69" s="1108">
        <v>46</v>
      </c>
      <c r="Z69" s="1131">
        <v>102</v>
      </c>
      <c r="AA69" s="1138">
        <v>0</v>
      </c>
      <c r="AB69" s="1138">
        <v>0</v>
      </c>
      <c r="AC69" s="1108">
        <v>37</v>
      </c>
      <c r="AD69" s="1132">
        <v>50</v>
      </c>
      <c r="AE69" s="1108">
        <v>93</v>
      </c>
      <c r="AF69" s="1130">
        <v>168</v>
      </c>
      <c r="AG69" s="1130">
        <v>178</v>
      </c>
      <c r="AH69" s="1109">
        <v>-3063</v>
      </c>
      <c r="AI69" s="992">
        <v>42952</v>
      </c>
      <c r="AJ69" s="992">
        <v>39210</v>
      </c>
      <c r="AK69" s="952">
        <v>62549</v>
      </c>
      <c r="AL69" s="992">
        <v>57382</v>
      </c>
      <c r="AM69" s="952">
        <v>48897</v>
      </c>
      <c r="AN69" s="952">
        <v>38533</v>
      </c>
      <c r="AO69" s="992">
        <v>42750</v>
      </c>
      <c r="AP69" s="991"/>
      <c r="AQ69" s="1050">
        <v>964</v>
      </c>
      <c r="AR69" s="1005">
        <v>1147</v>
      </c>
      <c r="AS69" s="1135">
        <v>-335</v>
      </c>
      <c r="AT69" s="1000">
        <v>-0.22438044206296048</v>
      </c>
      <c r="AU69" s="992"/>
      <c r="AV69" s="1112">
        <v>1158</v>
      </c>
      <c r="AW69" s="1112">
        <v>1493</v>
      </c>
      <c r="AX69" s="1112">
        <v>1610</v>
      </c>
      <c r="AY69" s="1112">
        <v>60</v>
      </c>
      <c r="AZ69" s="565">
        <v>27</v>
      </c>
      <c r="BA69" s="43">
        <v>-1652</v>
      </c>
      <c r="BB69" s="43">
        <v>368</v>
      </c>
      <c r="BC69" s="43">
        <v>1120</v>
      </c>
      <c r="BD69" s="1117">
        <v>543</v>
      </c>
      <c r="BE69" s="1025">
        <v>236</v>
      </c>
      <c r="BF69" s="1089"/>
      <c r="BG69" s="1089"/>
      <c r="BH69" s="962"/>
    </row>
    <row r="70" spans="1:60" ht="12.75" customHeight="1" x14ac:dyDescent="0.2">
      <c r="A70" s="1100"/>
      <c r="B70" s="7" t="s">
        <v>68</v>
      </c>
      <c r="C70" s="1106">
        <v>450</v>
      </c>
      <c r="D70" s="1207">
        <v>2.25</v>
      </c>
      <c r="E70" s="1139"/>
      <c r="F70" s="1108">
        <v>650</v>
      </c>
      <c r="G70" s="1137">
        <v>369</v>
      </c>
      <c r="H70" s="1002">
        <v>534</v>
      </c>
      <c r="I70" s="1140">
        <v>956</v>
      </c>
      <c r="J70" s="1108">
        <v>200</v>
      </c>
      <c r="K70" s="1137">
        <v>471</v>
      </c>
      <c r="L70" s="1002">
        <v>331</v>
      </c>
      <c r="M70" s="1140">
        <v>836</v>
      </c>
      <c r="N70" s="1108">
        <v>83</v>
      </c>
      <c r="O70" s="1137">
        <v>36</v>
      </c>
      <c r="P70" s="1002">
        <v>158</v>
      </c>
      <c r="Q70" s="1140">
        <v>166</v>
      </c>
      <c r="R70" s="421">
        <v>297</v>
      </c>
      <c r="S70" s="421">
        <v>38</v>
      </c>
      <c r="T70" s="1322">
        <v>-49</v>
      </c>
      <c r="U70" s="1004">
        <v>-47</v>
      </c>
      <c r="V70" s="1131">
        <v>4</v>
      </c>
      <c r="W70" s="1137">
        <v>138</v>
      </c>
      <c r="X70" s="1141">
        <v>179</v>
      </c>
      <c r="Y70" s="1004">
        <v>45</v>
      </c>
      <c r="Z70" s="1131">
        <v>1</v>
      </c>
      <c r="AA70" s="1138">
        <v>0</v>
      </c>
      <c r="AB70" s="1142">
        <v>0</v>
      </c>
      <c r="AC70" s="1004">
        <v>414</v>
      </c>
      <c r="AD70" s="1047">
        <v>0</v>
      </c>
      <c r="AE70" s="1004">
        <v>1</v>
      </c>
      <c r="AF70" s="1143">
        <v>0</v>
      </c>
      <c r="AG70" s="1140">
        <v>1</v>
      </c>
      <c r="AH70" s="1123">
        <v>60</v>
      </c>
      <c r="AI70" s="958"/>
      <c r="AJ70" s="958"/>
      <c r="AK70" s="958"/>
      <c r="AL70" s="958"/>
      <c r="AM70" s="958"/>
      <c r="AN70" s="958"/>
      <c r="AO70" s="958"/>
      <c r="AP70" s="991"/>
      <c r="AQ70" s="1050">
        <v>1859</v>
      </c>
      <c r="AR70" s="1005">
        <v>1638</v>
      </c>
      <c r="AS70" s="1135">
        <v>671</v>
      </c>
      <c r="AT70" s="1000">
        <v>0.36507072905331883</v>
      </c>
      <c r="AU70" s="996"/>
      <c r="AV70" s="1112">
        <v>2509</v>
      </c>
      <c r="AW70" s="1112">
        <v>1838</v>
      </c>
      <c r="AX70" s="1112">
        <v>443</v>
      </c>
      <c r="AY70" s="1112">
        <v>239</v>
      </c>
      <c r="AZ70" s="566">
        <v>222</v>
      </c>
      <c r="BA70" s="43">
        <v>308</v>
      </c>
      <c r="BB70" s="43">
        <v>185</v>
      </c>
      <c r="BC70" s="43">
        <v>279</v>
      </c>
      <c r="BD70" s="1119">
        <v>294</v>
      </c>
      <c r="BE70" s="1120">
        <v>118</v>
      </c>
      <c r="BF70" s="1089"/>
      <c r="BG70" s="1089"/>
      <c r="BH70" s="962"/>
    </row>
    <row r="71" spans="1:60" ht="12.75" customHeight="1" x14ac:dyDescent="0.2">
      <c r="A71" s="1100"/>
      <c r="B71" s="7"/>
      <c r="C71" s="1144">
        <v>-14758</v>
      </c>
      <c r="D71" s="1145">
        <v>-0.2070629831773603</v>
      </c>
      <c r="E71" s="957"/>
      <c r="F71" s="1146">
        <v>56515</v>
      </c>
      <c r="G71" s="1146">
        <v>43493</v>
      </c>
      <c r="H71" s="1146">
        <v>40703</v>
      </c>
      <c r="I71" s="1147">
        <v>62261</v>
      </c>
      <c r="J71" s="1146">
        <v>71273</v>
      </c>
      <c r="K71" s="1146">
        <v>48269</v>
      </c>
      <c r="L71" s="1146">
        <v>44000</v>
      </c>
      <c r="M71" s="1147">
        <v>52943</v>
      </c>
      <c r="N71" s="1146">
        <v>45206</v>
      </c>
      <c r="O71" s="1146">
        <v>37625</v>
      </c>
      <c r="P71" s="1146">
        <v>39474</v>
      </c>
      <c r="Q71" s="1147">
        <v>31050</v>
      </c>
      <c r="R71" s="512">
        <v>18487</v>
      </c>
      <c r="S71" s="512">
        <v>17197</v>
      </c>
      <c r="T71" s="512">
        <v>17790</v>
      </c>
      <c r="U71" s="1146">
        <v>26012</v>
      </c>
      <c r="V71" s="1148">
        <v>27712</v>
      </c>
      <c r="W71" s="1146">
        <v>32618</v>
      </c>
      <c r="X71" s="1146">
        <v>20083</v>
      </c>
      <c r="Y71" s="1146">
        <v>53057</v>
      </c>
      <c r="Z71" s="1148">
        <v>32806</v>
      </c>
      <c r="AA71" s="1146">
        <v>57181</v>
      </c>
      <c r="AB71" s="1146">
        <v>27314</v>
      </c>
      <c r="AC71" s="1146">
        <v>30054</v>
      </c>
      <c r="AD71" s="1148">
        <v>25033</v>
      </c>
      <c r="AE71" s="1146">
        <v>12639</v>
      </c>
      <c r="AF71" s="1147">
        <v>23461</v>
      </c>
      <c r="AG71" s="1147">
        <v>34352</v>
      </c>
      <c r="AH71" s="1147">
        <v>31944</v>
      </c>
      <c r="AI71" s="948"/>
      <c r="AJ71" s="948"/>
      <c r="AK71" s="948"/>
      <c r="AL71" s="948"/>
      <c r="AM71" s="948"/>
      <c r="AN71" s="948"/>
      <c r="AO71" s="948"/>
      <c r="AP71" s="957"/>
      <c r="AQ71" s="1148">
        <v>146457</v>
      </c>
      <c r="AR71" s="1146">
        <v>145212</v>
      </c>
      <c r="AS71" s="1149">
        <v>-13513</v>
      </c>
      <c r="AT71" s="1150">
        <v>-6.2420029101323417E-2</v>
      </c>
      <c r="AV71" s="1151">
        <v>202972</v>
      </c>
      <c r="AW71" s="1151">
        <v>216485</v>
      </c>
      <c r="AX71" s="1151">
        <v>153355</v>
      </c>
      <c r="AY71" s="1151">
        <v>79486</v>
      </c>
      <c r="AZ71" s="1151">
        <v>106219</v>
      </c>
      <c r="BA71" s="1151">
        <v>97629</v>
      </c>
      <c r="BB71" s="1152">
        <v>74794</v>
      </c>
      <c r="BC71" s="1151">
        <v>90788</v>
      </c>
      <c r="BD71" s="1152">
        <v>187562</v>
      </c>
      <c r="BE71" s="1152">
        <v>150470</v>
      </c>
      <c r="BF71" s="1089"/>
      <c r="BG71" s="1089"/>
    </row>
    <row r="72" spans="1:60" ht="12.75" customHeight="1" x14ac:dyDescent="0.2">
      <c r="A72" s="1100"/>
      <c r="B72" s="7"/>
      <c r="C72" s="1121"/>
      <c r="D72" s="1153"/>
      <c r="E72" s="957"/>
      <c r="F72" s="1154"/>
      <c r="G72" s="1146"/>
      <c r="H72" s="1155"/>
      <c r="I72" s="1123"/>
      <c r="J72" s="1154"/>
      <c r="K72" s="1146"/>
      <c r="L72" s="1155"/>
      <c r="M72" s="1123"/>
      <c r="N72" s="1154"/>
      <c r="O72" s="1146"/>
      <c r="P72" s="1155"/>
      <c r="Q72" s="1123"/>
      <c r="R72" s="536"/>
      <c r="S72" s="512"/>
      <c r="T72" s="537"/>
      <c r="U72" s="1155"/>
      <c r="V72" s="1156"/>
      <c r="W72" s="1155"/>
      <c r="X72" s="1155"/>
      <c r="Y72" s="1155"/>
      <c r="Z72" s="1156"/>
      <c r="AA72" s="1155"/>
      <c r="AB72" s="1155"/>
      <c r="AC72" s="1155"/>
      <c r="AD72" s="1154"/>
      <c r="AE72" s="1154"/>
      <c r="AF72" s="1154"/>
      <c r="AG72" s="1154"/>
      <c r="AH72" s="1154"/>
      <c r="AI72" s="948"/>
      <c r="AJ72" s="948"/>
      <c r="AK72" s="948"/>
      <c r="AL72" s="948"/>
      <c r="AM72" s="948"/>
      <c r="AN72" s="948"/>
      <c r="AO72" s="948"/>
      <c r="AP72" s="957"/>
      <c r="AQ72" s="1156"/>
      <c r="AR72" s="1155"/>
      <c r="AS72" s="1157"/>
      <c r="AT72" s="1158"/>
      <c r="AV72" s="1159"/>
      <c r="AW72" s="1159"/>
      <c r="AX72" s="1159"/>
      <c r="AY72" s="1159"/>
      <c r="AZ72" s="1159"/>
      <c r="BA72" s="1159"/>
      <c r="BB72" s="1160"/>
      <c r="BC72" s="1159"/>
      <c r="BD72" s="1160"/>
      <c r="BE72" s="1006"/>
      <c r="BF72" s="1089"/>
      <c r="BG72" s="1089"/>
    </row>
    <row r="73" spans="1:60" ht="12.75" customHeight="1" x14ac:dyDescent="0.2">
      <c r="A73" s="952"/>
      <c r="B73" s="7" t="s">
        <v>400</v>
      </c>
      <c r="C73" s="1144">
        <v>-442</v>
      </c>
      <c r="D73" s="1145">
        <v>-0.61645746164574622</v>
      </c>
      <c r="E73" s="1229"/>
      <c r="F73" s="1230">
        <v>-1159</v>
      </c>
      <c r="G73" s="1230">
        <v>-1037</v>
      </c>
      <c r="H73" s="1230">
        <v>-1076</v>
      </c>
      <c r="I73" s="1231">
        <v>-782</v>
      </c>
      <c r="J73" s="1230">
        <v>-717</v>
      </c>
      <c r="K73" s="1230">
        <v>-371</v>
      </c>
      <c r="L73" s="1230">
        <v>-922</v>
      </c>
      <c r="M73" s="1231">
        <v>-956</v>
      </c>
      <c r="N73" s="1230">
        <v>-541</v>
      </c>
      <c r="O73" s="1230">
        <v>-674</v>
      </c>
      <c r="P73" s="1230">
        <v>-320</v>
      </c>
      <c r="Q73" s="1231">
        <v>-1245</v>
      </c>
      <c r="R73" s="1230">
        <v>-1385</v>
      </c>
      <c r="S73" s="1230">
        <v>-1519</v>
      </c>
      <c r="T73" s="1230">
        <v>-1327</v>
      </c>
      <c r="U73" s="1231">
        <v>-1714</v>
      </c>
      <c r="V73" s="1232">
        <v>-1639</v>
      </c>
      <c r="W73" s="1233">
        <v>-1628</v>
      </c>
      <c r="X73" s="1233">
        <v>-1323</v>
      </c>
      <c r="Y73" s="1231">
        <v>-6918</v>
      </c>
      <c r="Z73" s="1234" t="s">
        <v>186</v>
      </c>
      <c r="AA73" s="1235" t="s">
        <v>186</v>
      </c>
      <c r="AB73" s="1236" t="s">
        <v>186</v>
      </c>
      <c r="AC73" s="1236" t="s">
        <v>186</v>
      </c>
      <c r="AD73" s="1237"/>
      <c r="AE73" s="1237"/>
      <c r="AF73" s="1237"/>
      <c r="AG73" s="1237"/>
      <c r="AH73" s="1237"/>
      <c r="AI73" s="1238"/>
      <c r="AJ73" s="1238"/>
      <c r="AK73" s="1238"/>
      <c r="AL73" s="1238"/>
      <c r="AM73" s="1238"/>
      <c r="AN73" s="1238"/>
      <c r="AO73" s="1238"/>
      <c r="AP73" s="1239"/>
      <c r="AQ73" s="1232">
        <v>-2895</v>
      </c>
      <c r="AR73" s="1233">
        <v>-2249</v>
      </c>
      <c r="AS73" s="537">
        <v>-1088</v>
      </c>
      <c r="AT73" s="1240">
        <v>-0.36682400539447069</v>
      </c>
      <c r="AU73" s="1241"/>
      <c r="AV73" s="513">
        <v>-4054</v>
      </c>
      <c r="AW73" s="513">
        <v>-2966</v>
      </c>
      <c r="AX73" s="644">
        <v>-2780</v>
      </c>
      <c r="AY73" s="644">
        <v>-5945</v>
      </c>
      <c r="AZ73" s="644">
        <v>-5913</v>
      </c>
      <c r="BA73" s="644" t="s">
        <v>186</v>
      </c>
      <c r="BB73" s="1242" t="s">
        <v>186</v>
      </c>
      <c r="BC73" s="644" t="s">
        <v>186</v>
      </c>
      <c r="BD73" s="644" t="s">
        <v>186</v>
      </c>
      <c r="BE73" s="1243"/>
      <c r="BF73" s="1244"/>
      <c r="BG73" s="1244"/>
      <c r="BH73" s="1245"/>
    </row>
    <row r="74" spans="1:60" x14ac:dyDescent="0.2">
      <c r="H74" s="1181"/>
      <c r="I74" s="1036"/>
      <c r="L74" s="1181"/>
      <c r="M74" s="1036"/>
      <c r="P74" s="1181"/>
      <c r="Q74" s="1036"/>
      <c r="T74" s="1181"/>
      <c r="U74" s="1036"/>
      <c r="Y74" s="1036"/>
      <c r="AC74" s="1036"/>
      <c r="AG74" s="1036"/>
      <c r="AO74" s="1036"/>
      <c r="AP74" s="943"/>
      <c r="AQ74" s="943"/>
      <c r="AR74" s="943"/>
      <c r="BC74" s="1036"/>
      <c r="BD74" s="1036"/>
    </row>
    <row r="75" spans="1:60" x14ac:dyDescent="0.2">
      <c r="A75" s="7" t="s">
        <v>439</v>
      </c>
      <c r="C75" s="1246"/>
      <c r="F75" s="1036"/>
      <c r="G75" s="1036"/>
      <c r="H75" s="1036"/>
      <c r="I75" s="1036"/>
      <c r="J75" s="1036"/>
      <c r="K75" s="1036"/>
      <c r="L75" s="1036"/>
      <c r="M75" s="1036"/>
      <c r="N75" s="1036"/>
      <c r="O75" s="1036"/>
      <c r="P75" s="1036"/>
      <c r="Q75" s="1036"/>
      <c r="R75" s="1036"/>
      <c r="S75" s="1036"/>
      <c r="T75" s="1036"/>
      <c r="U75" s="1036"/>
      <c r="V75" s="1036"/>
      <c r="W75" s="1036"/>
      <c r="X75" s="1036"/>
      <c r="Y75" s="1036"/>
      <c r="Z75" s="1036"/>
      <c r="AA75" s="1036"/>
      <c r="AB75" s="1036"/>
      <c r="AC75" s="1036"/>
      <c r="AD75" s="1036"/>
      <c r="AE75" s="1036"/>
      <c r="AF75" s="1036"/>
      <c r="AG75" s="1036"/>
      <c r="AH75" s="1036"/>
      <c r="AI75" s="1036"/>
      <c r="AJ75" s="1036"/>
      <c r="AK75" s="1036"/>
      <c r="AL75" s="1036"/>
      <c r="AM75" s="1036"/>
      <c r="AN75" s="1036"/>
      <c r="AO75" s="1036"/>
      <c r="AP75" s="1036"/>
      <c r="AQ75" s="1036"/>
      <c r="AR75" s="1036"/>
      <c r="AS75" s="1010"/>
      <c r="AT75" s="1010"/>
      <c r="AU75" s="1036"/>
      <c r="AV75" s="1036"/>
      <c r="AW75" s="1036"/>
      <c r="AX75" s="1036"/>
      <c r="AY75" s="1036"/>
      <c r="AZ75" s="1036"/>
      <c r="BA75" s="1036"/>
      <c r="BB75" s="1036"/>
      <c r="BC75" s="1036"/>
      <c r="BD75" s="1036"/>
      <c r="BE75" s="1036"/>
    </row>
    <row r="76" spans="1:60" x14ac:dyDescent="0.2">
      <c r="A76" s="1" t="s">
        <v>29</v>
      </c>
      <c r="F76" s="944"/>
      <c r="G76" s="944"/>
      <c r="H76" s="944"/>
      <c r="I76" s="944"/>
      <c r="J76" s="944"/>
      <c r="K76" s="944"/>
      <c r="L76" s="944"/>
      <c r="M76" s="944"/>
      <c r="N76" s="944"/>
      <c r="O76" s="944"/>
      <c r="P76" s="944"/>
      <c r="Q76" s="944"/>
      <c r="R76" s="944"/>
      <c r="S76" s="944"/>
      <c r="T76" s="944"/>
      <c r="U76" s="944"/>
      <c r="V76" s="944"/>
      <c r="W76" s="944"/>
      <c r="X76" s="944"/>
      <c r="Y76" s="944"/>
      <c r="Z76" s="944"/>
      <c r="AA76" s="944"/>
      <c r="AB76" s="944"/>
      <c r="AC76" s="944"/>
      <c r="AD76" s="944"/>
      <c r="AE76" s="944"/>
      <c r="AF76" s="944"/>
      <c r="AG76" s="944"/>
      <c r="AH76" s="944"/>
      <c r="AI76" s="944"/>
      <c r="AJ76" s="944"/>
      <c r="AK76" s="944"/>
      <c r="AL76" s="944"/>
      <c r="AM76" s="944"/>
      <c r="AN76" s="944"/>
      <c r="AO76" s="944"/>
      <c r="AP76" s="944"/>
      <c r="AQ76" s="944"/>
      <c r="AR76" s="944"/>
      <c r="AS76" s="1182"/>
      <c r="AT76" s="1182"/>
      <c r="AU76" s="944"/>
      <c r="AV76" s="944"/>
      <c r="AW76" s="944"/>
      <c r="AX76" s="944"/>
      <c r="AY76" s="944"/>
      <c r="AZ76" s="944"/>
      <c r="BA76" s="944"/>
      <c r="BB76" s="944"/>
      <c r="BC76" s="944"/>
      <c r="BD76" s="944"/>
      <c r="BE76" s="944"/>
      <c r="BF76" s="944">
        <v>0</v>
      </c>
      <c r="BG76" s="944">
        <v>0</v>
      </c>
      <c r="BH76" s="944">
        <v>0</v>
      </c>
    </row>
    <row r="77" spans="1:60" x14ac:dyDescent="0.2">
      <c r="A77" s="2"/>
      <c r="H77" s="944"/>
      <c r="I77" s="944"/>
      <c r="L77" s="944"/>
      <c r="M77" s="944"/>
      <c r="P77" s="944"/>
      <c r="Q77" s="944"/>
      <c r="T77" s="944"/>
      <c r="U77" s="944"/>
      <c r="Y77" s="944"/>
      <c r="AC77" s="944"/>
      <c r="AD77" s="944"/>
      <c r="AE77" s="944"/>
      <c r="AF77" s="944"/>
      <c r="AG77" s="944"/>
      <c r="AH77" s="944"/>
      <c r="AI77" s="944"/>
      <c r="AJ77" s="944"/>
      <c r="AK77" s="944"/>
      <c r="AL77" s="944"/>
      <c r="AM77" s="944"/>
      <c r="AN77" s="944"/>
      <c r="AO77" s="944"/>
      <c r="AP77" s="944"/>
      <c r="AQ77" s="944"/>
      <c r="AR77" s="944"/>
      <c r="AS77" s="1182"/>
      <c r="AT77" s="1182"/>
      <c r="AU77" s="944"/>
      <c r="AV77" s="944"/>
      <c r="AW77" s="944"/>
      <c r="AX77" s="944"/>
      <c r="AY77" s="944"/>
      <c r="AZ77" s="944"/>
      <c r="BA77" s="944"/>
      <c r="BB77" s="944"/>
      <c r="BC77" s="944"/>
      <c r="BD77" s="1183"/>
      <c r="BE77" s="1183"/>
    </row>
    <row r="78" spans="1:60" x14ac:dyDescent="0.2">
      <c r="A78" s="7" t="s">
        <v>339</v>
      </c>
      <c r="F78" s="944"/>
      <c r="G78" s="944"/>
      <c r="H78" s="944"/>
      <c r="I78" s="944"/>
      <c r="J78" s="944"/>
      <c r="K78" s="944"/>
      <c r="L78" s="944"/>
      <c r="M78" s="944"/>
      <c r="N78" s="944"/>
      <c r="O78" s="944"/>
      <c r="P78" s="944"/>
      <c r="Q78" s="944"/>
      <c r="R78" s="944"/>
      <c r="S78" s="944"/>
      <c r="T78" s="944"/>
      <c r="U78" s="944"/>
      <c r="V78" s="944"/>
      <c r="W78" s="944"/>
      <c r="X78" s="944"/>
      <c r="Y78" s="944"/>
      <c r="Z78" s="944"/>
      <c r="AA78" s="944"/>
      <c r="AB78" s="944"/>
      <c r="AC78" s="944"/>
      <c r="AD78" s="944"/>
      <c r="AE78" s="944"/>
      <c r="AF78" s="944"/>
      <c r="AG78" s="944"/>
      <c r="AH78" s="944"/>
      <c r="AI78" s="944"/>
      <c r="AJ78" s="944"/>
      <c r="AK78" s="944"/>
      <c r="AL78" s="944"/>
      <c r="AM78" s="944"/>
      <c r="AN78" s="944"/>
      <c r="AO78" s="944"/>
      <c r="AP78" s="944"/>
      <c r="AQ78" s="944"/>
      <c r="AR78" s="944"/>
      <c r="AS78" s="1182"/>
      <c r="AT78" s="1182"/>
      <c r="AU78" s="944"/>
      <c r="AV78" s="944"/>
      <c r="AW78" s="944"/>
      <c r="AX78" s="944"/>
      <c r="AY78" s="944"/>
      <c r="AZ78" s="944"/>
      <c r="BA78" s="944"/>
      <c r="BB78" s="944"/>
      <c r="BC78" s="944"/>
      <c r="BD78" s="944"/>
      <c r="BE78" s="944"/>
    </row>
    <row r="79" spans="1:60" x14ac:dyDescent="0.2">
      <c r="F79" s="944"/>
      <c r="G79" s="944"/>
      <c r="H79" s="944"/>
      <c r="I79" s="944"/>
      <c r="J79" s="944"/>
      <c r="K79" s="944"/>
      <c r="L79" s="944"/>
      <c r="M79" s="944"/>
      <c r="N79" s="944"/>
      <c r="O79" s="944"/>
      <c r="P79" s="944"/>
      <c r="Q79" s="944"/>
      <c r="R79" s="944"/>
      <c r="S79" s="944"/>
      <c r="T79" s="944"/>
      <c r="U79" s="944"/>
      <c r="V79" s="944"/>
      <c r="W79" s="944"/>
      <c r="X79" s="944"/>
      <c r="Y79" s="944"/>
      <c r="Z79" s="944"/>
      <c r="AA79" s="944"/>
      <c r="AB79" s="944"/>
      <c r="AC79" s="944"/>
      <c r="AD79" s="944"/>
      <c r="AE79" s="944"/>
      <c r="AF79" s="944"/>
      <c r="AG79" s="944"/>
      <c r="AH79" s="944"/>
      <c r="AI79" s="944"/>
      <c r="AJ79" s="944"/>
      <c r="AK79" s="944"/>
      <c r="AL79" s="944"/>
      <c r="AM79" s="944"/>
      <c r="AN79" s="944"/>
      <c r="AO79" s="944"/>
      <c r="AP79" s="944"/>
      <c r="AQ79" s="944"/>
      <c r="AR79" s="944"/>
      <c r="AS79" s="1182"/>
      <c r="AT79" s="1182"/>
      <c r="AU79" s="944"/>
      <c r="AV79" s="944"/>
      <c r="AW79" s="944"/>
      <c r="AX79" s="944"/>
      <c r="AY79" s="944"/>
      <c r="AZ79" s="944"/>
      <c r="BA79" s="944"/>
      <c r="BB79" s="944"/>
      <c r="BC79" s="944"/>
      <c r="BD79" s="944"/>
      <c r="BE79" s="944"/>
    </row>
    <row r="80" spans="1:60" x14ac:dyDescent="0.2">
      <c r="A80" s="943"/>
      <c r="B80" s="943"/>
      <c r="C80" s="943"/>
      <c r="D80" s="943"/>
      <c r="F80" s="1007"/>
      <c r="G80" s="1007"/>
      <c r="H80" s="1007"/>
      <c r="I80" s="1007"/>
      <c r="J80" s="1007"/>
      <c r="K80" s="1007"/>
      <c r="L80" s="1007"/>
      <c r="M80" s="1007"/>
      <c r="N80" s="1007"/>
      <c r="O80" s="1007"/>
      <c r="P80" s="1007"/>
      <c r="Q80" s="1007"/>
      <c r="R80" s="1007"/>
      <c r="S80" s="1007"/>
      <c r="T80" s="1007"/>
      <c r="U80" s="1007"/>
      <c r="V80" s="1007"/>
      <c r="W80" s="1007"/>
      <c r="X80" s="1007"/>
      <c r="Y80" s="1007"/>
      <c r="Z80" s="1007"/>
      <c r="AA80" s="1007"/>
      <c r="AB80" s="1007"/>
      <c r="AC80" s="1007"/>
      <c r="AD80" s="1007"/>
      <c r="AE80" s="1007"/>
      <c r="AF80" s="1007"/>
      <c r="AG80" s="1007"/>
      <c r="AH80" s="1007"/>
      <c r="AI80" s="1007"/>
      <c r="AJ80" s="1007"/>
      <c r="AK80" s="1007"/>
      <c r="AL80" s="1007"/>
      <c r="AM80" s="1007"/>
      <c r="AN80" s="1007"/>
      <c r="AO80" s="1007"/>
      <c r="AP80" s="1007"/>
      <c r="AQ80" s="1007"/>
      <c r="AR80" s="1007"/>
      <c r="AS80" s="1184"/>
      <c r="AT80" s="1184"/>
      <c r="AU80" s="1007"/>
      <c r="AV80" s="1007"/>
      <c r="AW80" s="1007"/>
      <c r="AX80" s="1007"/>
      <c r="AY80" s="1007"/>
      <c r="AZ80" s="1007"/>
      <c r="BA80" s="1007"/>
      <c r="BB80" s="1007"/>
      <c r="BC80" s="1007"/>
      <c r="BD80" s="1007"/>
      <c r="BE80" s="1007"/>
    </row>
    <row r="81" spans="6:57" x14ac:dyDescent="0.2">
      <c r="F81" s="944"/>
      <c r="G81" s="944"/>
      <c r="H81" s="944"/>
      <c r="I81" s="944"/>
      <c r="J81" s="944"/>
      <c r="K81" s="944"/>
      <c r="L81" s="944"/>
      <c r="M81" s="944"/>
      <c r="N81" s="944"/>
      <c r="O81" s="944"/>
      <c r="P81" s="944"/>
      <c r="Q81" s="944"/>
      <c r="R81" s="944"/>
      <c r="S81" s="944"/>
      <c r="T81" s="944"/>
      <c r="U81" s="944"/>
      <c r="V81" s="944"/>
      <c r="W81" s="944"/>
      <c r="X81" s="944"/>
      <c r="Y81" s="944"/>
      <c r="Z81" s="944"/>
      <c r="AA81" s="944"/>
      <c r="AB81" s="944"/>
      <c r="AC81" s="944"/>
      <c r="AD81" s="944"/>
      <c r="AE81" s="944"/>
      <c r="AF81" s="944"/>
      <c r="AG81" s="944"/>
      <c r="AH81" s="944"/>
      <c r="AI81" s="944"/>
      <c r="AJ81" s="944"/>
      <c r="AK81" s="944"/>
      <c r="AL81" s="944"/>
      <c r="AM81" s="944"/>
      <c r="AN81" s="944"/>
      <c r="AO81" s="944"/>
      <c r="AP81" s="944"/>
      <c r="AQ81" s="944"/>
      <c r="AR81" s="944"/>
      <c r="AS81" s="944"/>
      <c r="AT81" s="944"/>
      <c r="AU81" s="944"/>
      <c r="AV81" s="944"/>
      <c r="AW81" s="944"/>
      <c r="AX81" s="944"/>
      <c r="AY81" s="944"/>
      <c r="AZ81" s="944"/>
      <c r="BA81" s="944"/>
      <c r="BB81" s="944"/>
      <c r="BC81" s="943"/>
      <c r="BD81" s="943"/>
      <c r="BE81" s="943"/>
    </row>
    <row r="82" spans="6:57" x14ac:dyDescent="0.2">
      <c r="F82" s="944"/>
      <c r="G82" s="944"/>
      <c r="H82" s="944"/>
      <c r="I82" s="944"/>
      <c r="J82" s="944"/>
      <c r="K82" s="944"/>
      <c r="L82" s="944"/>
      <c r="M82" s="944"/>
      <c r="N82" s="944"/>
      <c r="O82" s="944"/>
      <c r="P82" s="944"/>
      <c r="Q82" s="944"/>
      <c r="R82" s="944"/>
      <c r="S82" s="944"/>
      <c r="T82" s="944"/>
      <c r="U82" s="944"/>
      <c r="V82" s="944"/>
      <c r="W82" s="944"/>
      <c r="X82" s="944"/>
      <c r="Y82" s="944"/>
      <c r="Z82" s="944"/>
      <c r="AA82" s="944"/>
      <c r="AB82" s="944"/>
      <c r="AC82" s="944"/>
      <c r="AD82" s="944"/>
      <c r="AE82" s="944"/>
      <c r="AF82" s="944"/>
      <c r="AG82" s="944"/>
      <c r="AH82" s="944"/>
      <c r="AI82" s="944"/>
      <c r="AJ82" s="944"/>
      <c r="AK82" s="944"/>
      <c r="AL82" s="944"/>
      <c r="AM82" s="944"/>
      <c r="AN82" s="944"/>
      <c r="AO82" s="944"/>
      <c r="AP82" s="944"/>
      <c r="AQ82" s="944"/>
      <c r="AR82" s="944"/>
      <c r="AS82" s="1182"/>
      <c r="AT82" s="1182"/>
      <c r="AU82" s="944"/>
      <c r="AV82" s="944"/>
      <c r="AW82" s="944"/>
      <c r="AX82" s="944"/>
      <c r="AY82" s="944"/>
      <c r="AZ82" s="944"/>
      <c r="BA82" s="944"/>
      <c r="BB82" s="944"/>
      <c r="BC82" s="944"/>
      <c r="BD82" s="944"/>
      <c r="BE82" s="944"/>
    </row>
    <row r="83" spans="6:57" x14ac:dyDescent="0.2">
      <c r="AG83" s="1185"/>
      <c r="AO83" s="1185"/>
      <c r="AP83" s="943"/>
      <c r="AQ83" s="943"/>
      <c r="AR83" s="943"/>
      <c r="BC83" s="948"/>
      <c r="BD83" s="948"/>
    </row>
    <row r="84" spans="6:57" x14ac:dyDescent="0.2">
      <c r="AG84" s="948"/>
      <c r="AO84" s="1186"/>
      <c r="AP84" s="943"/>
      <c r="AQ84" s="943"/>
      <c r="AR84" s="943"/>
      <c r="BC84" s="948"/>
      <c r="BD84" s="948"/>
    </row>
    <row r="85" spans="6:57" x14ac:dyDescent="0.2">
      <c r="AG85" s="948"/>
      <c r="AH85" s="948"/>
      <c r="AK85" s="948"/>
      <c r="AM85" s="948"/>
      <c r="AN85" s="948"/>
      <c r="AO85" s="948"/>
      <c r="AP85" s="943"/>
      <c r="AQ85" s="943"/>
      <c r="AR85" s="943"/>
      <c r="BC85" s="1188"/>
      <c r="BD85" s="1188"/>
    </row>
    <row r="86" spans="6:57" x14ac:dyDescent="0.2">
      <c r="AG86" s="1188"/>
      <c r="AH86" s="1189"/>
      <c r="AI86" s="1188"/>
      <c r="AJ86" s="1188"/>
      <c r="AK86" s="1188"/>
      <c r="AL86" s="1190"/>
      <c r="AM86" s="1190"/>
      <c r="AN86" s="1191"/>
      <c r="AO86" s="952"/>
      <c r="AP86" s="943"/>
      <c r="AQ86" s="943"/>
      <c r="AR86" s="943"/>
      <c r="BC86" s="1188"/>
      <c r="BD86" s="1188"/>
    </row>
    <row r="87" spans="6:57" x14ac:dyDescent="0.2">
      <c r="AG87" s="1188"/>
      <c r="AH87" s="1188"/>
      <c r="AI87" s="1188"/>
      <c r="AJ87" s="1188"/>
      <c r="AK87" s="1188"/>
      <c r="AL87" s="1192"/>
      <c r="AM87" s="1188"/>
      <c r="AN87" s="1188"/>
      <c r="AO87" s="1188"/>
      <c r="AP87" s="943"/>
      <c r="AQ87" s="943"/>
      <c r="AR87" s="943"/>
      <c r="BC87" s="1094"/>
      <c r="BD87" s="1094"/>
    </row>
    <row r="88" spans="6:57" x14ac:dyDescent="0.2">
      <c r="AG88" s="1094"/>
      <c r="AH88" s="1193"/>
      <c r="AI88" s="1091"/>
      <c r="AJ88" s="1091"/>
      <c r="AK88" s="1091"/>
      <c r="AL88" s="1193"/>
      <c r="AM88" s="1091"/>
      <c r="AN88" s="1091"/>
      <c r="AO88" s="1084"/>
      <c r="AP88" s="943"/>
      <c r="AQ88" s="943"/>
      <c r="AR88" s="943"/>
      <c r="BC88" s="1091"/>
      <c r="BD88" s="1091"/>
    </row>
    <row r="89" spans="6:57" x14ac:dyDescent="0.2">
      <c r="AG89" s="1094"/>
      <c r="AH89" s="1091"/>
      <c r="AI89" s="1091"/>
      <c r="AJ89" s="1091"/>
      <c r="AK89" s="1091"/>
      <c r="AL89" s="1091"/>
      <c r="AM89" s="1091"/>
      <c r="AN89" s="1091"/>
      <c r="AO89" s="1084"/>
      <c r="AP89" s="943"/>
      <c r="AQ89" s="943"/>
      <c r="AR89" s="943"/>
      <c r="BC89" s="1091"/>
      <c r="BD89" s="1091"/>
    </row>
    <row r="90" spans="6:57" x14ac:dyDescent="0.2">
      <c r="AG90" s="1094"/>
      <c r="AH90" s="1091"/>
      <c r="AI90" s="1091"/>
      <c r="AJ90" s="1091"/>
      <c r="AK90" s="1091"/>
      <c r="AL90" s="1091"/>
      <c r="AM90" s="1091"/>
      <c r="AN90" s="1091"/>
      <c r="AO90" s="1084"/>
      <c r="AP90" s="943"/>
      <c r="AQ90" s="943"/>
      <c r="AR90" s="943"/>
      <c r="BC90" s="1091"/>
      <c r="BD90" s="1091"/>
    </row>
    <row r="91" spans="6:57" x14ac:dyDescent="0.2">
      <c r="AG91" s="1091"/>
      <c r="AH91" s="1091"/>
      <c r="AI91" s="1091"/>
      <c r="AJ91" s="1091"/>
      <c r="AK91" s="1091"/>
      <c r="AL91" s="1091"/>
      <c r="AM91" s="1091"/>
      <c r="AN91" s="1091"/>
      <c r="AO91" s="1091"/>
      <c r="AP91" s="943"/>
      <c r="AQ91" s="943"/>
      <c r="AR91" s="943"/>
      <c r="BC91" s="1194"/>
      <c r="BD91" s="1194"/>
    </row>
    <row r="92" spans="6:57" x14ac:dyDescent="0.2">
      <c r="AG92" s="1194"/>
      <c r="AH92" s="1194"/>
      <c r="AI92" s="1194"/>
      <c r="AJ92" s="1194"/>
      <c r="AK92" s="1194"/>
      <c r="AL92" s="1194"/>
      <c r="AM92" s="1194"/>
      <c r="AN92" s="1194"/>
      <c r="AO92" s="1194"/>
      <c r="AP92" s="943"/>
      <c r="AQ92" s="943"/>
      <c r="AR92" s="943"/>
      <c r="BC92" s="1194"/>
      <c r="BD92" s="1194"/>
    </row>
    <row r="93" spans="6:57" x14ac:dyDescent="0.2">
      <c r="AG93" s="1194"/>
      <c r="AH93" s="1194"/>
      <c r="AI93" s="1194"/>
      <c r="AJ93" s="1194"/>
      <c r="AK93" s="1194"/>
      <c r="AL93" s="1194"/>
      <c r="AM93" s="1194"/>
      <c r="AN93" s="1194"/>
      <c r="AO93" s="1194"/>
      <c r="AP93" s="943"/>
      <c r="AQ93" s="943"/>
      <c r="AR93" s="943"/>
      <c r="BC93" s="943"/>
      <c r="BD93" s="943"/>
    </row>
    <row r="94" spans="6:57" x14ac:dyDescent="0.2">
      <c r="AG94" s="943"/>
      <c r="AH94" s="943"/>
      <c r="AI94" s="943"/>
      <c r="AJ94" s="943"/>
      <c r="AK94" s="943"/>
      <c r="AL94" s="943"/>
      <c r="AM94" s="943"/>
      <c r="AN94" s="943"/>
      <c r="AO94" s="943"/>
      <c r="AP94" s="943"/>
      <c r="AQ94" s="943"/>
      <c r="AR94" s="943"/>
      <c r="BC94" s="943"/>
      <c r="BD94" s="943"/>
    </row>
    <row r="95" spans="6:57" x14ac:dyDescent="0.2">
      <c r="AG95" s="943"/>
      <c r="AH95" s="943"/>
      <c r="AI95" s="943"/>
      <c r="AJ95" s="943"/>
      <c r="AK95" s="943"/>
      <c r="AL95" s="943"/>
      <c r="AM95" s="943"/>
      <c r="AN95" s="943"/>
      <c r="AO95" s="943"/>
      <c r="AP95" s="943"/>
      <c r="AQ95" s="943"/>
      <c r="AR95" s="943"/>
      <c r="BC95" s="943"/>
      <c r="BD95" s="943"/>
    </row>
    <row r="96" spans="6:57" x14ac:dyDescent="0.2">
      <c r="AG96" s="943"/>
      <c r="AH96" s="943"/>
      <c r="AI96" s="943"/>
      <c r="AJ96" s="943"/>
      <c r="AK96" s="943"/>
      <c r="AL96" s="943"/>
      <c r="AM96" s="943"/>
      <c r="AN96" s="943"/>
      <c r="AO96" s="943"/>
      <c r="AP96" s="943"/>
      <c r="AQ96" s="943"/>
      <c r="AR96" s="943"/>
      <c r="BC96" s="943"/>
      <c r="BD96" s="943"/>
    </row>
    <row r="97" spans="1:90" x14ac:dyDescent="0.2">
      <c r="AG97" s="943"/>
      <c r="AH97" s="943"/>
      <c r="AI97" s="943"/>
      <c r="AJ97" s="943"/>
      <c r="AK97" s="943"/>
      <c r="AL97" s="943"/>
      <c r="AM97" s="943"/>
      <c r="AN97" s="943"/>
      <c r="AO97" s="943"/>
      <c r="AP97" s="943"/>
      <c r="AQ97" s="943"/>
      <c r="AR97" s="943"/>
      <c r="BC97" s="943"/>
      <c r="BD97" s="943"/>
    </row>
    <row r="98" spans="1:90" s="945" customFormat="1" x14ac:dyDescent="0.2">
      <c r="A98" s="942"/>
      <c r="B98" s="942"/>
      <c r="C98" s="942"/>
      <c r="D98" s="942"/>
      <c r="E98" s="943"/>
      <c r="F98" s="943"/>
      <c r="G98" s="943"/>
      <c r="H98" s="943"/>
      <c r="I98" s="943"/>
      <c r="J98" s="943"/>
      <c r="K98" s="943"/>
      <c r="L98" s="943"/>
      <c r="M98" s="943"/>
      <c r="N98" s="943"/>
      <c r="O98" s="943"/>
      <c r="P98" s="943"/>
      <c r="Q98" s="943"/>
      <c r="R98" s="943"/>
      <c r="S98" s="943"/>
      <c r="T98" s="943"/>
      <c r="U98" s="943"/>
      <c r="V98" s="943"/>
      <c r="W98" s="943"/>
      <c r="X98" s="943"/>
      <c r="Y98" s="943"/>
      <c r="Z98" s="943"/>
      <c r="AA98" s="943"/>
      <c r="AB98" s="943"/>
      <c r="AC98" s="943"/>
      <c r="AD98" s="943"/>
      <c r="AE98" s="943"/>
      <c r="AF98" s="943"/>
      <c r="AG98" s="943"/>
      <c r="AH98" s="943"/>
      <c r="AI98" s="943"/>
      <c r="AJ98" s="943"/>
      <c r="AK98" s="943"/>
      <c r="AL98" s="943"/>
      <c r="AM98" s="943"/>
      <c r="AN98" s="943"/>
      <c r="AO98" s="943"/>
      <c r="AP98" s="943"/>
      <c r="AQ98" s="943"/>
      <c r="AR98" s="943"/>
      <c r="AU98" s="942"/>
      <c r="AV98" s="942"/>
      <c r="AW98" s="942"/>
      <c r="AX98" s="942"/>
      <c r="AY98" s="942"/>
      <c r="AZ98" s="942"/>
      <c r="BA98" s="942"/>
      <c r="BB98" s="942"/>
      <c r="BC98" s="942"/>
      <c r="BD98" s="942"/>
      <c r="BE98" s="942"/>
      <c r="BF98" s="942"/>
      <c r="BG98" s="942"/>
      <c r="BH98" s="942"/>
      <c r="BI98" s="942"/>
      <c r="BJ98" s="942"/>
      <c r="BK98" s="942"/>
      <c r="BL98" s="942"/>
      <c r="BM98" s="942"/>
      <c r="BN98" s="942"/>
      <c r="BO98" s="942"/>
      <c r="BP98" s="942"/>
      <c r="BQ98" s="942"/>
      <c r="BR98" s="942"/>
      <c r="BS98" s="942"/>
      <c r="BT98" s="942"/>
      <c r="BU98" s="942"/>
      <c r="BV98" s="942"/>
      <c r="BW98" s="942"/>
      <c r="BX98" s="942"/>
      <c r="BY98" s="942"/>
      <c r="BZ98" s="942"/>
      <c r="CA98" s="942"/>
      <c r="CB98" s="942"/>
      <c r="CC98" s="942"/>
      <c r="CD98" s="942"/>
      <c r="CE98" s="942"/>
      <c r="CF98" s="942"/>
      <c r="CG98" s="942"/>
      <c r="CH98" s="942"/>
      <c r="CI98" s="942"/>
      <c r="CJ98" s="942"/>
      <c r="CK98" s="942"/>
      <c r="CL98" s="942"/>
    </row>
  </sheetData>
  <mergeCells count="11">
    <mergeCell ref="C51:D51"/>
    <mergeCell ref="C10:D10"/>
    <mergeCell ref="C11:D11"/>
    <mergeCell ref="AS11:AT11"/>
    <mergeCell ref="A34:B34"/>
    <mergeCell ref="A36:B36"/>
    <mergeCell ref="C52:D52"/>
    <mergeCell ref="AS52:AT52"/>
    <mergeCell ref="C63:D63"/>
    <mergeCell ref="C64:D64"/>
    <mergeCell ref="AS64:AT64"/>
  </mergeCells>
  <conditionalFormatting sqref="A49:A50 AI58:AO61 A70:A72 A62 AI43:AJ43 AK43:AO44 AI40:AO41 BD40:BD44 A37 A40:A41 BC39 B37:B41 AX61:BD61 BB43:BC44 BB40:BC41 BB58:BD60">
    <cfRule type="cellIs" dxfId="36" priority="4" stopIfTrue="1" operator="equal">
      <formula>0</formula>
    </cfRule>
  </conditionalFormatting>
  <conditionalFormatting sqref="AX61">
    <cfRule type="cellIs" dxfId="35" priority="3" stopIfTrue="1" operator="equal">
      <formula>0</formula>
    </cfRule>
  </conditionalFormatting>
  <conditionalFormatting sqref="AW61">
    <cfRule type="cellIs" dxfId="34" priority="2" stopIfTrue="1" operator="equal">
      <formula>0</formula>
    </cfRule>
  </conditionalFormatting>
  <conditionalFormatting sqref="AV61">
    <cfRule type="cellIs" dxfId="33" priority="1" stopIfTrue="1" operator="equal">
      <formula>0</formula>
    </cfRule>
  </conditionalFormatting>
  <printOptions horizontalCentered="1"/>
  <pageMargins left="0.3" right="0.3" top="0.4" bottom="0.53" header="0" footer="0.3"/>
  <pageSetup scale="54" orientation="landscape" r:id="rId1"/>
  <headerFooter alignWithMargins="0">
    <oddFooter>&amp;CPage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O83"/>
  <sheetViews>
    <sheetView zoomScaleNormal="100" zoomScaleSheetLayoutView="80" workbookViewId="0">
      <selection activeCell="A41" sqref="A41:XFD43"/>
    </sheetView>
  </sheetViews>
  <sheetFormatPr defaultRowHeight="12.75" x14ac:dyDescent="0.2"/>
  <cols>
    <col min="1" max="1" width="2.7109375" style="942" customWidth="1"/>
    <col min="2" max="2" width="47.85546875" style="942" customWidth="1"/>
    <col min="3" max="3" width="10.7109375" style="942" customWidth="1"/>
    <col min="4" max="4" width="9.7109375" style="942" customWidth="1"/>
    <col min="5" max="5" width="1.5703125" style="943" customWidth="1"/>
    <col min="6" max="6" width="9.7109375" style="943" customWidth="1"/>
    <col min="7" max="7" width="8.42578125" style="943" bestFit="1" customWidth="1"/>
    <col min="8" max="14" width="8.7109375" style="943" customWidth="1"/>
    <col min="15" max="25" width="8.7109375" style="943" hidden="1" customWidth="1"/>
    <col min="26" max="32" width="9.7109375" style="943" hidden="1" customWidth="1"/>
    <col min="33" max="41" width="9.7109375" style="942" hidden="1" customWidth="1"/>
    <col min="42" max="42" width="1.5703125" style="942" customWidth="1"/>
    <col min="43" max="43" width="9.42578125" style="942" hidden="1" customWidth="1"/>
    <col min="44" max="44" width="9" style="942" hidden="1" customWidth="1"/>
    <col min="45" max="46" width="9.7109375" style="945" customWidth="1"/>
    <col min="47" max="47" width="1.5703125" style="942" customWidth="1"/>
    <col min="48" max="52" width="9.7109375" style="942" customWidth="1"/>
    <col min="53" max="59" width="9.7109375" style="942" hidden="1" customWidth="1"/>
    <col min="60" max="60" width="1.5703125" style="942" customWidth="1"/>
    <col min="61" max="16384" width="9.140625" style="942"/>
  </cols>
  <sheetData>
    <row r="2" spans="1:67" x14ac:dyDescent="0.2">
      <c r="G2" s="944"/>
      <c r="H2" s="944"/>
      <c r="I2" s="944"/>
      <c r="K2" s="944"/>
      <c r="L2" s="944"/>
      <c r="M2" s="944"/>
      <c r="P2" s="944"/>
      <c r="Q2" s="944"/>
      <c r="T2" s="944"/>
      <c r="U2" s="944"/>
      <c r="X2" s="944"/>
      <c r="Y2" s="944"/>
      <c r="AB2" s="944"/>
      <c r="AC2" s="944"/>
    </row>
    <row r="5" spans="1:67" x14ac:dyDescent="0.2">
      <c r="A5" s="943"/>
      <c r="B5" s="943"/>
      <c r="C5" s="943"/>
      <c r="D5" s="943"/>
      <c r="AG5" s="943"/>
      <c r="AH5" s="943"/>
      <c r="AI5" s="943"/>
    </row>
    <row r="6" spans="1:67" ht="18" customHeight="1" x14ac:dyDescent="0.2">
      <c r="A6" s="1195" t="s">
        <v>443</v>
      </c>
      <c r="B6" s="943"/>
      <c r="C6" s="943"/>
      <c r="D6" s="943"/>
      <c r="AG6" s="943"/>
      <c r="AH6" s="943"/>
      <c r="AI6" s="943"/>
    </row>
    <row r="7" spans="1:67" ht="18" customHeight="1" x14ac:dyDescent="0.2">
      <c r="A7" s="1195" t="s">
        <v>412</v>
      </c>
      <c r="B7" s="943"/>
      <c r="C7" s="943"/>
      <c r="D7" s="943"/>
      <c r="AG7" s="943"/>
      <c r="AH7" s="943"/>
      <c r="AI7" s="943"/>
      <c r="AR7" s="943"/>
    </row>
    <row r="8" spans="1:67" ht="18" customHeight="1" x14ac:dyDescent="0.2">
      <c r="A8" s="946" t="s">
        <v>409</v>
      </c>
      <c r="B8" s="947"/>
      <c r="C8" s="947"/>
      <c r="D8" s="947"/>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c r="AE8" s="947"/>
      <c r="AF8" s="947"/>
      <c r="AG8" s="943"/>
      <c r="AH8" s="943"/>
      <c r="AI8" s="943"/>
    </row>
    <row r="9" spans="1:67" ht="9.75" customHeight="1" x14ac:dyDescent="0.2">
      <c r="A9" s="948"/>
      <c r="B9" s="948"/>
      <c r="C9" s="948"/>
      <c r="D9" s="948"/>
      <c r="E9" s="948"/>
      <c r="F9" s="948"/>
      <c r="G9" s="949"/>
      <c r="H9" s="949"/>
      <c r="I9" s="948"/>
      <c r="J9" s="948"/>
      <c r="K9" s="949"/>
      <c r="L9" s="949"/>
      <c r="M9" s="948"/>
      <c r="N9" s="948"/>
      <c r="O9" s="948"/>
      <c r="P9" s="949"/>
      <c r="Q9" s="948"/>
      <c r="R9" s="948"/>
      <c r="S9" s="948"/>
      <c r="T9" s="949"/>
      <c r="U9" s="948"/>
      <c r="V9" s="949"/>
      <c r="W9" s="948"/>
      <c r="X9" s="949"/>
      <c r="Y9" s="948"/>
      <c r="Z9" s="949"/>
      <c r="AA9" s="948"/>
      <c r="AB9" s="949"/>
      <c r="AC9" s="948"/>
      <c r="AD9" s="949"/>
      <c r="AE9" s="948"/>
      <c r="AF9" s="948"/>
      <c r="AG9" s="943"/>
      <c r="AH9" s="943"/>
      <c r="AI9" s="943"/>
      <c r="AS9" s="950"/>
      <c r="AT9" s="950"/>
    </row>
    <row r="10" spans="1:67" x14ac:dyDescent="0.2">
      <c r="A10" s="951" t="s">
        <v>1</v>
      </c>
      <c r="B10" s="952"/>
      <c r="C10" s="1497" t="s">
        <v>447</v>
      </c>
      <c r="D10" s="1498"/>
      <c r="E10" s="953"/>
      <c r="F10" s="954"/>
      <c r="I10" s="955"/>
      <c r="J10" s="954"/>
      <c r="M10" s="955"/>
      <c r="N10" s="954"/>
      <c r="O10" s="954"/>
      <c r="Q10" s="955"/>
      <c r="R10" s="954"/>
      <c r="S10" s="954"/>
      <c r="U10" s="955"/>
      <c r="V10" s="954"/>
      <c r="W10" s="954"/>
      <c r="Y10" s="955"/>
      <c r="Z10" s="954"/>
      <c r="AA10" s="954"/>
      <c r="AC10" s="955"/>
      <c r="AE10" s="954"/>
      <c r="AF10" s="954"/>
      <c r="AG10" s="955"/>
      <c r="AH10" s="954"/>
      <c r="AI10" s="954"/>
      <c r="AJ10" s="954"/>
      <c r="AK10" s="954"/>
      <c r="AL10" s="956"/>
      <c r="AM10" s="955"/>
      <c r="AN10" s="955"/>
      <c r="AO10" s="955"/>
      <c r="AP10" s="957"/>
      <c r="AQ10" s="661" t="s">
        <v>340</v>
      </c>
      <c r="AR10" s="647"/>
      <c r="AS10" s="647" t="s">
        <v>432</v>
      </c>
      <c r="AT10" s="648"/>
      <c r="AU10" s="958"/>
      <c r="AV10" s="959"/>
      <c r="AW10" s="959"/>
      <c r="AX10" s="959"/>
      <c r="AY10" s="959"/>
      <c r="AZ10" s="959"/>
      <c r="BA10" s="959"/>
      <c r="BB10" s="959"/>
      <c r="BC10" s="956"/>
      <c r="BD10" s="960"/>
      <c r="BE10" s="959"/>
      <c r="BF10" s="961"/>
      <c r="BG10" s="961"/>
      <c r="BH10" s="962"/>
    </row>
    <row r="11" spans="1:67" ht="13.5" x14ac:dyDescent="0.2">
      <c r="A11" s="951" t="s">
        <v>2</v>
      </c>
      <c r="B11" s="952"/>
      <c r="C11" s="1487" t="s">
        <v>39</v>
      </c>
      <c r="D11" s="1488"/>
      <c r="E11" s="963"/>
      <c r="F11" s="21" t="s">
        <v>425</v>
      </c>
      <c r="G11" s="21" t="s">
        <v>426</v>
      </c>
      <c r="H11" s="21" t="s">
        <v>427</v>
      </c>
      <c r="I11" s="14" t="s">
        <v>428</v>
      </c>
      <c r="J11" s="964" t="s">
        <v>363</v>
      </c>
      <c r="K11" s="964" t="s">
        <v>362</v>
      </c>
      <c r="L11" s="964" t="s">
        <v>361</v>
      </c>
      <c r="M11" s="965" t="s">
        <v>359</v>
      </c>
      <c r="N11" s="964" t="s">
        <v>302</v>
      </c>
      <c r="O11" s="964" t="s">
        <v>303</v>
      </c>
      <c r="P11" s="964" t="s">
        <v>304</v>
      </c>
      <c r="Q11" s="965" t="s">
        <v>305</v>
      </c>
      <c r="R11" s="964" t="s">
        <v>231</v>
      </c>
      <c r="S11" s="964" t="s">
        <v>232</v>
      </c>
      <c r="T11" s="964" t="s">
        <v>233</v>
      </c>
      <c r="U11" s="965" t="s">
        <v>230</v>
      </c>
      <c r="V11" s="964" t="s">
        <v>194</v>
      </c>
      <c r="W11" s="964" t="s">
        <v>195</v>
      </c>
      <c r="X11" s="964" t="s">
        <v>196</v>
      </c>
      <c r="Y11" s="965" t="s">
        <v>197</v>
      </c>
      <c r="Z11" s="964" t="s">
        <v>126</v>
      </c>
      <c r="AA11" s="964" t="s">
        <v>125</v>
      </c>
      <c r="AB11" s="964" t="s">
        <v>124</v>
      </c>
      <c r="AC11" s="965" t="s">
        <v>123</v>
      </c>
      <c r="AD11" s="964" t="s">
        <v>86</v>
      </c>
      <c r="AE11" s="964" t="s">
        <v>87</v>
      </c>
      <c r="AF11" s="964" t="s">
        <v>88</v>
      </c>
      <c r="AG11" s="965" t="s">
        <v>30</v>
      </c>
      <c r="AH11" s="964" t="s">
        <v>31</v>
      </c>
      <c r="AI11" s="964" t="s">
        <v>32</v>
      </c>
      <c r="AJ11" s="964" t="s">
        <v>33</v>
      </c>
      <c r="AK11" s="964" t="s">
        <v>34</v>
      </c>
      <c r="AL11" s="966" t="s">
        <v>35</v>
      </c>
      <c r="AM11" s="965" t="s">
        <v>36</v>
      </c>
      <c r="AN11" s="965" t="s">
        <v>37</v>
      </c>
      <c r="AO11" s="965" t="s">
        <v>38</v>
      </c>
      <c r="AP11" s="953"/>
      <c r="AQ11" s="21" t="s">
        <v>426</v>
      </c>
      <c r="AR11" s="21" t="s">
        <v>362</v>
      </c>
      <c r="AS11" s="1477" t="s">
        <v>39</v>
      </c>
      <c r="AT11" s="1478"/>
      <c r="AU11" s="967"/>
      <c r="AV11" s="20" t="s">
        <v>446</v>
      </c>
      <c r="AW11" s="20" t="s">
        <v>365</v>
      </c>
      <c r="AX11" s="968" t="s">
        <v>307</v>
      </c>
      <c r="AY11" s="968" t="s">
        <v>235</v>
      </c>
      <c r="AZ11" s="968" t="s">
        <v>128</v>
      </c>
      <c r="BA11" s="968" t="s">
        <v>127</v>
      </c>
      <c r="BB11" s="966" t="s">
        <v>43</v>
      </c>
      <c r="BC11" s="966" t="s">
        <v>40</v>
      </c>
      <c r="BD11" s="968" t="s">
        <v>41</v>
      </c>
      <c r="BE11" s="968" t="s">
        <v>146</v>
      </c>
      <c r="BF11" s="968" t="s">
        <v>147</v>
      </c>
      <c r="BG11" s="968" t="s">
        <v>148</v>
      </c>
      <c r="BH11" s="962"/>
      <c r="BI11" s="943"/>
      <c r="BJ11" s="943"/>
      <c r="BK11" s="943"/>
      <c r="BL11" s="943"/>
      <c r="BM11" s="943"/>
      <c r="BN11" s="943"/>
      <c r="BO11" s="943"/>
    </row>
    <row r="12" spans="1:67" s="986" customFormat="1" x14ac:dyDescent="0.2">
      <c r="A12" s="951"/>
      <c r="B12" s="951"/>
      <c r="C12" s="969"/>
      <c r="D12" s="970"/>
      <c r="E12" s="971"/>
      <c r="F12" s="633" t="s">
        <v>254</v>
      </c>
      <c r="G12" s="633" t="s">
        <v>254</v>
      </c>
      <c r="H12" s="633" t="s">
        <v>254</v>
      </c>
      <c r="I12" s="634" t="s">
        <v>254</v>
      </c>
      <c r="J12" s="972" t="s">
        <v>254</v>
      </c>
      <c r="K12" s="972" t="s">
        <v>254</v>
      </c>
      <c r="L12" s="972" t="s">
        <v>254</v>
      </c>
      <c r="M12" s="973" t="s">
        <v>254</v>
      </c>
      <c r="N12" s="972" t="s">
        <v>254</v>
      </c>
      <c r="O12" s="972" t="s">
        <v>254</v>
      </c>
      <c r="P12" s="972" t="s">
        <v>254</v>
      </c>
      <c r="Q12" s="973" t="s">
        <v>254</v>
      </c>
      <c r="R12" s="972" t="s">
        <v>254</v>
      </c>
      <c r="S12" s="972" t="s">
        <v>254</v>
      </c>
      <c r="T12" s="972" t="s">
        <v>254</v>
      </c>
      <c r="U12" s="973" t="s">
        <v>254</v>
      </c>
      <c r="V12" s="972" t="s">
        <v>254</v>
      </c>
      <c r="W12" s="972" t="s">
        <v>254</v>
      </c>
      <c r="X12" s="972" t="s">
        <v>254</v>
      </c>
      <c r="Y12" s="973" t="s">
        <v>254</v>
      </c>
      <c r="Z12" s="972" t="s">
        <v>255</v>
      </c>
      <c r="AA12" s="972" t="s">
        <v>255</v>
      </c>
      <c r="AB12" s="972" t="s">
        <v>255</v>
      </c>
      <c r="AC12" s="973" t="s">
        <v>255</v>
      </c>
      <c r="AD12" s="974"/>
      <c r="AE12" s="974"/>
      <c r="AF12" s="974"/>
      <c r="AG12" s="975"/>
      <c r="AH12" s="974"/>
      <c r="AI12" s="974"/>
      <c r="AJ12" s="974"/>
      <c r="AK12" s="974"/>
      <c r="AL12" s="976"/>
      <c r="AM12" s="975"/>
      <c r="AN12" s="975"/>
      <c r="AO12" s="975"/>
      <c r="AP12" s="977"/>
      <c r="AQ12" s="978" t="s">
        <v>254</v>
      </c>
      <c r="AR12" s="979" t="s">
        <v>254</v>
      </c>
      <c r="AS12" s="980"/>
      <c r="AT12" s="981"/>
      <c r="AU12" s="982"/>
      <c r="AV12" s="983"/>
      <c r="AW12" s="983" t="s">
        <v>254</v>
      </c>
      <c r="AX12" s="983" t="s">
        <v>254</v>
      </c>
      <c r="AY12" s="983" t="s">
        <v>254</v>
      </c>
      <c r="AZ12" s="983" t="s">
        <v>254</v>
      </c>
      <c r="BA12" s="983" t="s">
        <v>255</v>
      </c>
      <c r="BB12" s="983" t="s">
        <v>255</v>
      </c>
      <c r="BC12" s="983" t="s">
        <v>255</v>
      </c>
      <c r="BD12" s="983" t="s">
        <v>255</v>
      </c>
      <c r="BE12" s="983" t="s">
        <v>255</v>
      </c>
      <c r="BF12" s="977"/>
      <c r="BG12" s="977"/>
      <c r="BH12" s="984"/>
      <c r="BI12" s="985"/>
      <c r="BJ12" s="985"/>
      <c r="BK12" s="985"/>
      <c r="BL12" s="985"/>
      <c r="BM12" s="985"/>
      <c r="BN12" s="985"/>
      <c r="BO12" s="985"/>
    </row>
    <row r="13" spans="1:67" ht="12.75" customHeight="1" x14ac:dyDescent="0.2">
      <c r="A13" s="987" t="s">
        <v>64</v>
      </c>
      <c r="B13" s="988"/>
      <c r="C13" s="989"/>
      <c r="D13" s="990"/>
      <c r="E13" s="991"/>
      <c r="F13" s="992"/>
      <c r="G13" s="992"/>
      <c r="H13" s="992"/>
      <c r="I13" s="990"/>
      <c r="J13" s="992"/>
      <c r="K13" s="992"/>
      <c r="L13" s="992"/>
      <c r="M13" s="990"/>
      <c r="N13" s="992"/>
      <c r="O13" s="992"/>
      <c r="P13" s="992"/>
      <c r="Q13" s="990"/>
      <c r="R13" s="992"/>
      <c r="S13" s="992"/>
      <c r="T13" s="992"/>
      <c r="U13" s="990"/>
      <c r="V13" s="992"/>
      <c r="W13" s="992"/>
      <c r="X13" s="992"/>
      <c r="Y13" s="990"/>
      <c r="Z13" s="992"/>
      <c r="AA13" s="992"/>
      <c r="AB13" s="992"/>
      <c r="AC13" s="990"/>
      <c r="AD13" s="992"/>
      <c r="AE13" s="992"/>
      <c r="AF13" s="992"/>
      <c r="AG13" s="990"/>
      <c r="AH13" s="993"/>
      <c r="AI13" s="992"/>
      <c r="AJ13" s="992"/>
      <c r="AK13" s="990"/>
      <c r="AL13" s="989"/>
      <c r="AM13" s="990"/>
      <c r="AN13" s="990"/>
      <c r="AO13" s="990"/>
      <c r="AP13" s="991"/>
      <c r="AQ13" s="992"/>
      <c r="AR13" s="992"/>
      <c r="AS13" s="994"/>
      <c r="AT13" s="995"/>
      <c r="AU13" s="996"/>
      <c r="AV13" s="991"/>
      <c r="AW13" s="991"/>
      <c r="AX13" s="991"/>
      <c r="AY13" s="991"/>
      <c r="AZ13" s="991"/>
      <c r="BA13" s="991"/>
      <c r="BB13" s="991"/>
      <c r="BC13" s="989"/>
      <c r="BD13" s="991"/>
      <c r="BE13" s="997"/>
      <c r="BF13" s="998"/>
      <c r="BG13" s="998"/>
      <c r="BH13" s="962"/>
      <c r="BI13" s="943"/>
      <c r="BJ13" s="943"/>
      <c r="BK13" s="943"/>
      <c r="BL13" s="943"/>
      <c r="BM13" s="943"/>
    </row>
    <row r="14" spans="1:67" ht="12.75" customHeight="1" x14ac:dyDescent="0.2">
      <c r="A14" s="952"/>
      <c r="B14" s="990" t="s">
        <v>269</v>
      </c>
      <c r="C14" s="999">
        <v>-24581</v>
      </c>
      <c r="D14" s="1000">
        <v>-0.38909378709932729</v>
      </c>
      <c r="E14" s="1001"/>
      <c r="F14" s="1002">
        <v>38594</v>
      </c>
      <c r="G14" s="1002">
        <v>23692</v>
      </c>
      <c r="H14" s="1002">
        <v>48910</v>
      </c>
      <c r="I14" s="1003">
        <v>44746</v>
      </c>
      <c r="J14" s="1002">
        <v>63175</v>
      </c>
      <c r="K14" s="1002">
        <v>65707</v>
      </c>
      <c r="L14" s="1002">
        <v>42936</v>
      </c>
      <c r="M14" s="1003">
        <v>40489</v>
      </c>
      <c r="N14" s="1002">
        <v>45552</v>
      </c>
      <c r="O14" s="237">
        <v>44248</v>
      </c>
      <c r="P14" s="1002">
        <v>39034</v>
      </c>
      <c r="Q14" s="1003">
        <v>29220</v>
      </c>
      <c r="R14" s="1002">
        <v>19861</v>
      </c>
      <c r="S14" s="237">
        <v>12748</v>
      </c>
      <c r="T14" s="237">
        <v>9338</v>
      </c>
      <c r="U14" s="238">
        <v>9246</v>
      </c>
      <c r="V14" s="237">
        <v>34555</v>
      </c>
      <c r="W14" s="237">
        <v>23339</v>
      </c>
      <c r="X14" s="237">
        <v>18338</v>
      </c>
      <c r="Y14" s="746"/>
      <c r="Z14" s="1002"/>
      <c r="AA14" s="1002"/>
      <c r="AB14" s="1004"/>
      <c r="AC14" s="1003"/>
      <c r="AD14" s="1005"/>
      <c r="AE14" s="1005"/>
      <c r="AF14" s="1005"/>
      <c r="AG14" s="1003"/>
      <c r="AH14" s="1006"/>
      <c r="AI14" s="1007"/>
      <c r="AJ14" s="1007"/>
      <c r="AK14" s="1008"/>
      <c r="AL14" s="1009"/>
      <c r="AM14" s="1008"/>
      <c r="AN14" s="1008"/>
      <c r="AO14" s="1008"/>
      <c r="AP14" s="991"/>
      <c r="AQ14" s="1002">
        <v>117348</v>
      </c>
      <c r="AR14" s="1002">
        <v>149132</v>
      </c>
      <c r="AS14" s="1010">
        <v>-56365</v>
      </c>
      <c r="AT14" s="1000">
        <v>-0.26548818456292067</v>
      </c>
      <c r="AU14" s="996"/>
      <c r="AV14" s="1112">
        <v>155942</v>
      </c>
      <c r="AW14" s="1112">
        <v>212307</v>
      </c>
      <c r="AX14" s="1112">
        <v>158054</v>
      </c>
      <c r="AY14" s="1112">
        <v>51193</v>
      </c>
      <c r="AZ14" s="1196">
        <v>92677</v>
      </c>
      <c r="BA14" s="744">
        <v>82454</v>
      </c>
      <c r="BB14" s="744">
        <v>72926</v>
      </c>
      <c r="BC14" s="744">
        <v>118332</v>
      </c>
      <c r="BD14" s="1011">
        <v>187562</v>
      </c>
      <c r="BE14" s="997">
        <v>150470</v>
      </c>
      <c r="BF14" s="997">
        <v>95559</v>
      </c>
      <c r="BG14" s="997"/>
      <c r="BH14" s="962"/>
      <c r="BI14" s="943"/>
      <c r="BJ14" s="943"/>
      <c r="BK14" s="943"/>
      <c r="BL14" s="943"/>
      <c r="BM14" s="943"/>
    </row>
    <row r="15" spans="1:67" ht="12.75" customHeight="1" x14ac:dyDescent="0.2">
      <c r="A15" s="988"/>
      <c r="B15" s="952"/>
      <c r="C15" s="1012">
        <v>-24581</v>
      </c>
      <c r="D15" s="1013">
        <v>-0.38909378709932729</v>
      </c>
      <c r="E15" s="1001"/>
      <c r="F15" s="1002">
        <v>38594</v>
      </c>
      <c r="G15" s="1002">
        <v>23692</v>
      </c>
      <c r="H15" s="1002">
        <v>48910</v>
      </c>
      <c r="I15" s="1014">
        <v>44746</v>
      </c>
      <c r="J15" s="1002">
        <v>63175</v>
      </c>
      <c r="K15" s="1002">
        <v>65707</v>
      </c>
      <c r="L15" s="1002">
        <v>42936</v>
      </c>
      <c r="M15" s="1014">
        <v>40489</v>
      </c>
      <c r="N15" s="1002">
        <v>45552</v>
      </c>
      <c r="O15" s="1002">
        <v>44248</v>
      </c>
      <c r="P15" s="1002">
        <v>39034</v>
      </c>
      <c r="Q15" s="1014">
        <v>29220</v>
      </c>
      <c r="R15" s="1002">
        <v>19861</v>
      </c>
      <c r="S15" s="1002">
        <v>12748</v>
      </c>
      <c r="T15" s="1002">
        <v>9338</v>
      </c>
      <c r="U15" s="1032">
        <v>9246</v>
      </c>
      <c r="V15" s="1002">
        <v>34555</v>
      </c>
      <c r="W15" s="1002">
        <v>23339</v>
      </c>
      <c r="X15" s="1002">
        <v>18338</v>
      </c>
      <c r="Y15" s="1014"/>
      <c r="Z15" s="1002"/>
      <c r="AA15" s="1002"/>
      <c r="AB15" s="1002"/>
      <c r="AC15" s="1014"/>
      <c r="AD15" s="1015"/>
      <c r="AE15" s="1015"/>
      <c r="AF15" s="1015"/>
      <c r="AG15" s="1014"/>
      <c r="AH15" s="1015"/>
      <c r="AI15" s="1015"/>
      <c r="AJ15" s="1015"/>
      <c r="AK15" s="1015"/>
      <c r="AL15" s="1016"/>
      <c r="AM15" s="1014"/>
      <c r="AN15" s="1014"/>
      <c r="AO15" s="1014"/>
      <c r="AP15" s="991"/>
      <c r="AQ15" s="1002">
        <v>117348</v>
      </c>
      <c r="AR15" s="1002">
        <v>149132</v>
      </c>
      <c r="AS15" s="1017">
        <v>-56365</v>
      </c>
      <c r="AT15" s="1013">
        <v>-0.26548818456292067</v>
      </c>
      <c r="AU15" s="996"/>
      <c r="AV15" s="1018">
        <v>155942</v>
      </c>
      <c r="AW15" s="1018">
        <v>212307</v>
      </c>
      <c r="AX15" s="1018">
        <v>158054</v>
      </c>
      <c r="AY15" s="1018">
        <v>51193</v>
      </c>
      <c r="AZ15" s="1018">
        <v>92677</v>
      </c>
      <c r="BA15" s="1018">
        <v>82454</v>
      </c>
      <c r="BB15" s="1018">
        <v>72926</v>
      </c>
      <c r="BC15" s="1018">
        <v>118332</v>
      </c>
      <c r="BD15" s="1018">
        <v>187562</v>
      </c>
      <c r="BE15" s="1019">
        <v>150470</v>
      </c>
      <c r="BF15" s="1019">
        <v>95559</v>
      </c>
      <c r="BG15" s="1019">
        <v>211758</v>
      </c>
      <c r="BH15" s="962"/>
      <c r="BJ15" s="943"/>
      <c r="BK15" s="943"/>
      <c r="BL15" s="943"/>
      <c r="BM15" s="943"/>
    </row>
    <row r="16" spans="1:67" ht="12.75" customHeight="1" x14ac:dyDescent="0.2">
      <c r="A16" s="987" t="s">
        <v>5</v>
      </c>
      <c r="B16" s="952"/>
      <c r="C16" s="999"/>
      <c r="D16" s="1000"/>
      <c r="E16" s="1001"/>
      <c r="F16" s="1005"/>
      <c r="G16" s="1005"/>
      <c r="H16" s="1005"/>
      <c r="I16" s="1003"/>
      <c r="J16" s="1005"/>
      <c r="K16" s="1005"/>
      <c r="L16" s="1005"/>
      <c r="M16" s="1003"/>
      <c r="N16" s="1005"/>
      <c r="O16" s="1020"/>
      <c r="P16" s="1005"/>
      <c r="Q16" s="1003"/>
      <c r="R16" s="1005"/>
      <c r="S16" s="1020"/>
      <c r="T16" s="1005"/>
      <c r="U16" s="1003"/>
      <c r="V16" s="1005"/>
      <c r="W16" s="1020"/>
      <c r="X16" s="1005"/>
      <c r="Y16" s="1003"/>
      <c r="Z16" s="1005"/>
      <c r="AA16" s="1020"/>
      <c r="AB16" s="1005"/>
      <c r="AC16" s="1003"/>
      <c r="AD16" s="1020"/>
      <c r="AE16" s="1020"/>
      <c r="AF16" s="1020"/>
      <c r="AG16" s="1021"/>
      <c r="AH16" s="1022"/>
      <c r="AI16" s="1022"/>
      <c r="AJ16" s="1022"/>
      <c r="AK16" s="1022"/>
      <c r="AL16" s="1023"/>
      <c r="AM16" s="1003"/>
      <c r="AN16" s="1003"/>
      <c r="AO16" s="1003"/>
      <c r="AP16" s="991"/>
      <c r="AQ16" s="1005"/>
      <c r="AR16" s="1005"/>
      <c r="AS16" s="1010"/>
      <c r="AT16" s="1000"/>
      <c r="AU16" s="996"/>
      <c r="AV16" s="1024"/>
      <c r="AW16" s="1024"/>
      <c r="AX16" s="1024"/>
      <c r="AY16" s="1024"/>
      <c r="AZ16" s="1024"/>
      <c r="BA16" s="1024"/>
      <c r="BB16" s="1024"/>
      <c r="BC16" s="1011"/>
      <c r="BD16" s="1011"/>
      <c r="BE16" s="1025"/>
      <c r="BF16" s="1025"/>
      <c r="BG16" s="1025"/>
      <c r="BH16" s="962"/>
      <c r="BJ16" s="943"/>
      <c r="BK16" s="943"/>
      <c r="BL16" s="943"/>
      <c r="BM16" s="943"/>
    </row>
    <row r="17" spans="1:65" ht="12.75" customHeight="1" x14ac:dyDescent="0.2">
      <c r="A17" s="987"/>
      <c r="B17" s="952" t="s">
        <v>387</v>
      </c>
      <c r="C17" s="999">
        <v>-4258</v>
      </c>
      <c r="D17" s="1000">
        <v>-0.13864287574889295</v>
      </c>
      <c r="E17" s="1001"/>
      <c r="F17" s="1005">
        <v>26454</v>
      </c>
      <c r="G17" s="1005">
        <v>17707</v>
      </c>
      <c r="H17" s="1005">
        <v>24445</v>
      </c>
      <c r="I17" s="1197">
        <v>21416</v>
      </c>
      <c r="J17" s="1005">
        <v>30712</v>
      </c>
      <c r="K17" s="1005">
        <v>29546</v>
      </c>
      <c r="L17" s="1005">
        <v>20354</v>
      </c>
      <c r="M17" s="1197">
        <v>15804</v>
      </c>
      <c r="N17" s="1005">
        <v>23564</v>
      </c>
      <c r="O17" s="1005">
        <v>20627</v>
      </c>
      <c r="P17" s="1005">
        <v>21105</v>
      </c>
      <c r="Q17" s="1197">
        <v>11868</v>
      </c>
      <c r="R17" s="1005">
        <v>16143</v>
      </c>
      <c r="S17" s="1005">
        <v>5356</v>
      </c>
      <c r="T17" s="1005">
        <v>5606</v>
      </c>
      <c r="U17" s="1003">
        <v>5085</v>
      </c>
      <c r="V17" s="1005">
        <v>17779</v>
      </c>
      <c r="W17" s="1005">
        <v>11299</v>
      </c>
      <c r="X17" s="1005">
        <v>9187</v>
      </c>
      <c r="Y17" s="1003"/>
      <c r="Z17" s="1005"/>
      <c r="AA17" s="1005"/>
      <c r="AB17" s="1005"/>
      <c r="AC17" s="1003"/>
      <c r="AD17" s="1005"/>
      <c r="AE17" s="1005"/>
      <c r="AF17" s="1005"/>
      <c r="AG17" s="1003"/>
      <c r="AH17" s="1022"/>
      <c r="AI17" s="1022"/>
      <c r="AJ17" s="1022"/>
      <c r="AK17" s="1022"/>
      <c r="AL17" s="1023"/>
      <c r="AM17" s="1003"/>
      <c r="AN17" s="1003"/>
      <c r="AO17" s="1003"/>
      <c r="AP17" s="991"/>
      <c r="AQ17" s="1005">
        <v>63568</v>
      </c>
      <c r="AR17" s="1005">
        <v>65704</v>
      </c>
      <c r="AS17" s="1010">
        <v>-6394</v>
      </c>
      <c r="AT17" s="1000">
        <v>-6.6316793893129777E-2</v>
      </c>
      <c r="AU17" s="996"/>
      <c r="AV17" s="1112">
        <v>90022</v>
      </c>
      <c r="AW17" s="1112">
        <v>96416</v>
      </c>
      <c r="AX17" s="1112">
        <v>77164</v>
      </c>
      <c r="AY17" s="1112">
        <v>32190</v>
      </c>
      <c r="AZ17" s="1112">
        <v>45538</v>
      </c>
      <c r="BA17" s="1112">
        <v>42535</v>
      </c>
      <c r="BB17" s="1112">
        <v>34016</v>
      </c>
      <c r="BC17" s="1112">
        <v>57211</v>
      </c>
      <c r="BD17" s="1011"/>
      <c r="BE17" s="1025"/>
      <c r="BF17" s="1025"/>
      <c r="BG17" s="1025"/>
      <c r="BH17" s="962"/>
      <c r="BJ17" s="943"/>
      <c r="BK17" s="943"/>
      <c r="BL17" s="943"/>
      <c r="BM17" s="943"/>
    </row>
    <row r="18" spans="1:65" ht="12.75" customHeight="1" x14ac:dyDescent="0.2">
      <c r="A18" s="987"/>
      <c r="B18" s="952" t="s">
        <v>388</v>
      </c>
      <c r="C18" s="1029">
        <v>-680</v>
      </c>
      <c r="D18" s="1030">
        <v>-0.26521060842433697</v>
      </c>
      <c r="E18" s="1001"/>
      <c r="F18" s="1031">
        <v>1884</v>
      </c>
      <c r="G18" s="836">
        <v>2336</v>
      </c>
      <c r="H18" s="836">
        <v>2572</v>
      </c>
      <c r="I18" s="1032">
        <v>3403</v>
      </c>
      <c r="J18" s="1031">
        <v>2564</v>
      </c>
      <c r="K18" s="836">
        <v>3951</v>
      </c>
      <c r="L18" s="836">
        <v>1085</v>
      </c>
      <c r="M18" s="1032">
        <v>2323</v>
      </c>
      <c r="N18" s="1031">
        <v>3356</v>
      </c>
      <c r="O18" s="1031">
        <v>3313</v>
      </c>
      <c r="P18" s="1031">
        <v>3095</v>
      </c>
      <c r="Q18" s="1032">
        <v>6575</v>
      </c>
      <c r="R18" s="1031">
        <v>-1761</v>
      </c>
      <c r="S18" s="1031">
        <v>1073</v>
      </c>
      <c r="T18" s="1031">
        <v>855</v>
      </c>
      <c r="U18" s="1032">
        <v>1124</v>
      </c>
      <c r="V18" s="1031">
        <v>-521</v>
      </c>
      <c r="W18" s="1031">
        <v>1670</v>
      </c>
      <c r="X18" s="1031">
        <v>466</v>
      </c>
      <c r="Y18" s="1003"/>
      <c r="Z18" s="1005"/>
      <c r="AA18" s="1005"/>
      <c r="AB18" s="1005"/>
      <c r="AC18" s="1003"/>
      <c r="AD18" s="1005"/>
      <c r="AE18" s="1005"/>
      <c r="AF18" s="1005"/>
      <c r="AG18" s="1003"/>
      <c r="AH18" s="1022"/>
      <c r="AI18" s="1022"/>
      <c r="AJ18" s="1022"/>
      <c r="AK18" s="1022"/>
      <c r="AL18" s="1023"/>
      <c r="AM18" s="1003"/>
      <c r="AN18" s="1003"/>
      <c r="AO18" s="1003"/>
      <c r="AP18" s="991"/>
      <c r="AQ18" s="1031">
        <v>8311</v>
      </c>
      <c r="AR18" s="1031">
        <v>7359</v>
      </c>
      <c r="AS18" s="1033">
        <v>272</v>
      </c>
      <c r="AT18" s="1030">
        <v>2.7411065202055829E-2</v>
      </c>
      <c r="AU18" s="996"/>
      <c r="AV18" s="1124">
        <v>10195</v>
      </c>
      <c r="AW18" s="1124">
        <v>9923</v>
      </c>
      <c r="AX18" s="1124">
        <v>16339</v>
      </c>
      <c r="AY18" s="1124">
        <v>1291</v>
      </c>
      <c r="AZ18" s="1124">
        <v>2379</v>
      </c>
      <c r="BA18" s="1124">
        <v>3440</v>
      </c>
      <c r="BB18" s="1124">
        <v>1964</v>
      </c>
      <c r="BC18" s="1124">
        <v>4067</v>
      </c>
      <c r="BD18" s="1011"/>
      <c r="BE18" s="1025"/>
      <c r="BF18" s="1025"/>
      <c r="BG18" s="1025"/>
      <c r="BH18" s="962"/>
      <c r="BJ18" s="943"/>
      <c r="BK18" s="943"/>
      <c r="BL18" s="943"/>
      <c r="BM18" s="943"/>
    </row>
    <row r="19" spans="1:65" ht="12.75" customHeight="1" x14ac:dyDescent="0.2">
      <c r="A19" s="988"/>
      <c r="B19" s="164" t="s">
        <v>219</v>
      </c>
      <c r="C19" s="999">
        <v>-4938</v>
      </c>
      <c r="D19" s="1000">
        <v>-0.14839523981247746</v>
      </c>
      <c r="E19" s="1001"/>
      <c r="F19" s="745">
        <v>28338</v>
      </c>
      <c r="G19" s="1005">
        <v>20043</v>
      </c>
      <c r="H19" s="1005">
        <v>27017</v>
      </c>
      <c r="I19" s="1003">
        <v>24819</v>
      </c>
      <c r="J19" s="745">
        <v>33276</v>
      </c>
      <c r="K19" s="1005">
        <v>33497</v>
      </c>
      <c r="L19" s="1005">
        <v>21439</v>
      </c>
      <c r="M19" s="1003">
        <v>18127</v>
      </c>
      <c r="N19" s="745">
        <v>26920</v>
      </c>
      <c r="O19" s="745">
        <v>23940</v>
      </c>
      <c r="P19" s="1005">
        <v>24200</v>
      </c>
      <c r="Q19" s="1003">
        <v>18443</v>
      </c>
      <c r="R19" s="1005">
        <v>14382</v>
      </c>
      <c r="S19" s="745">
        <v>6429</v>
      </c>
      <c r="T19" s="745">
        <v>6461</v>
      </c>
      <c r="U19" s="746">
        <v>6209</v>
      </c>
      <c r="V19" s="745">
        <v>17258</v>
      </c>
      <c r="W19" s="745">
        <v>12969</v>
      </c>
      <c r="X19" s="745">
        <v>9652</v>
      </c>
      <c r="Y19" s="746"/>
      <c r="Z19" s="1005"/>
      <c r="AA19" s="1005"/>
      <c r="AB19" s="1005"/>
      <c r="AC19" s="1003"/>
      <c r="AD19" s="1005"/>
      <c r="AE19" s="1005"/>
      <c r="AF19" s="1005"/>
      <c r="AG19" s="1003"/>
      <c r="AH19" s="1022"/>
      <c r="AI19" s="1022"/>
      <c r="AJ19" s="1022"/>
      <c r="AK19" s="1022"/>
      <c r="AL19" s="1023"/>
      <c r="AM19" s="1003"/>
      <c r="AN19" s="1003"/>
      <c r="AO19" s="1003"/>
      <c r="AP19" s="991"/>
      <c r="AQ19" s="1005">
        <v>71879</v>
      </c>
      <c r="AR19" s="1022">
        <v>73063</v>
      </c>
      <c r="AS19" s="1010">
        <v>-6122</v>
      </c>
      <c r="AT19" s="1000">
        <v>-5.7570599685910155E-2</v>
      </c>
      <c r="AU19" s="996"/>
      <c r="AV19" s="1112">
        <v>100217</v>
      </c>
      <c r="AW19" s="1112">
        <v>106339</v>
      </c>
      <c r="AX19" s="1112">
        <v>93503</v>
      </c>
      <c r="AY19" s="1112">
        <v>33481</v>
      </c>
      <c r="AZ19" s="1196">
        <v>47917</v>
      </c>
      <c r="BA19" s="744">
        <v>45975</v>
      </c>
      <c r="BB19" s="744">
        <v>35980</v>
      </c>
      <c r="BC19" s="744">
        <v>61278</v>
      </c>
      <c r="BD19" s="1011">
        <v>98642</v>
      </c>
      <c r="BE19" s="1025">
        <v>82259</v>
      </c>
      <c r="BF19" s="1025">
        <v>47759</v>
      </c>
      <c r="BG19" s="1025">
        <v>120298</v>
      </c>
      <c r="BH19" s="962"/>
      <c r="BJ19" s="943"/>
      <c r="BK19" s="943"/>
      <c r="BL19" s="943"/>
      <c r="BM19" s="943"/>
    </row>
    <row r="20" spans="1:65" ht="13.5" customHeight="1" x14ac:dyDescent="0.2">
      <c r="A20" s="988"/>
      <c r="B20" s="990" t="s">
        <v>69</v>
      </c>
      <c r="C20" s="999">
        <v>-2794</v>
      </c>
      <c r="D20" s="1000">
        <v>-0.64901277584204409</v>
      </c>
      <c r="E20" s="1001"/>
      <c r="F20" s="1005">
        <v>1511</v>
      </c>
      <c r="G20" s="1005">
        <v>1842</v>
      </c>
      <c r="H20" s="1005">
        <v>1848</v>
      </c>
      <c r="I20" s="1003">
        <v>1836</v>
      </c>
      <c r="J20" s="1005">
        <v>4305</v>
      </c>
      <c r="K20" s="1005">
        <v>4493</v>
      </c>
      <c r="L20" s="1005">
        <v>3714</v>
      </c>
      <c r="M20" s="1003">
        <v>4159</v>
      </c>
      <c r="N20" s="1005">
        <v>4026</v>
      </c>
      <c r="O20" s="745">
        <v>3969</v>
      </c>
      <c r="P20" s="1005">
        <v>3480</v>
      </c>
      <c r="Q20" s="1003">
        <v>4118</v>
      </c>
      <c r="R20" s="1005">
        <v>1739</v>
      </c>
      <c r="S20" s="745">
        <v>1253</v>
      </c>
      <c r="T20" s="745">
        <v>1213</v>
      </c>
      <c r="U20" s="746">
        <v>1267</v>
      </c>
      <c r="V20" s="745">
        <v>1248</v>
      </c>
      <c r="W20" s="745">
        <v>1303</v>
      </c>
      <c r="X20" s="745">
        <v>1255</v>
      </c>
      <c r="Y20" s="746"/>
      <c r="Z20" s="1005"/>
      <c r="AA20" s="1005"/>
      <c r="AB20" s="1005"/>
      <c r="AC20" s="1003"/>
      <c r="AD20" s="1005"/>
      <c r="AE20" s="1005"/>
      <c r="AF20" s="1005"/>
      <c r="AG20" s="1003"/>
      <c r="AH20" s="1022"/>
      <c r="AI20" s="1022"/>
      <c r="AJ20" s="1022"/>
      <c r="AK20" s="1022"/>
      <c r="AL20" s="1023"/>
      <c r="AM20" s="1003"/>
      <c r="AN20" s="1003"/>
      <c r="AO20" s="1003"/>
      <c r="AP20" s="991"/>
      <c r="AQ20" s="1005">
        <v>5526</v>
      </c>
      <c r="AR20" s="1005">
        <v>12366</v>
      </c>
      <c r="AS20" s="1010">
        <v>-9634</v>
      </c>
      <c r="AT20" s="1000">
        <v>-0.57788974866534704</v>
      </c>
      <c r="AU20" s="996"/>
      <c r="AV20" s="1112">
        <v>7037</v>
      </c>
      <c r="AW20" s="1112">
        <v>16671</v>
      </c>
      <c r="AX20" s="1112">
        <v>15593</v>
      </c>
      <c r="AY20" s="1112">
        <v>5472</v>
      </c>
      <c r="AZ20" s="43">
        <v>5048</v>
      </c>
      <c r="BA20" s="43">
        <v>6445</v>
      </c>
      <c r="BB20" s="744">
        <v>5563</v>
      </c>
      <c r="BC20" s="744">
        <v>4547</v>
      </c>
      <c r="BD20" s="1011">
        <v>1847</v>
      </c>
      <c r="BE20" s="1025">
        <v>2414</v>
      </c>
      <c r="BF20" s="1025">
        <v>6699</v>
      </c>
      <c r="BG20" s="1025">
        <v>12517</v>
      </c>
      <c r="BH20" s="962"/>
      <c r="BJ20" s="943"/>
      <c r="BK20" s="943"/>
      <c r="BL20" s="943"/>
      <c r="BM20" s="943"/>
    </row>
    <row r="21" spans="1:65" ht="12.75" customHeight="1" x14ac:dyDescent="0.2">
      <c r="A21" s="988"/>
      <c r="B21" s="990" t="s">
        <v>98</v>
      </c>
      <c r="C21" s="999">
        <v>-92</v>
      </c>
      <c r="D21" s="1041">
        <v>-9.3877551020408165E-2</v>
      </c>
      <c r="E21" s="1001"/>
      <c r="F21" s="1005">
        <v>888</v>
      </c>
      <c r="G21" s="1005">
        <v>1097</v>
      </c>
      <c r="H21" s="1005">
        <v>931</v>
      </c>
      <c r="I21" s="1003">
        <v>960</v>
      </c>
      <c r="J21" s="1005">
        <v>980</v>
      </c>
      <c r="K21" s="1005">
        <v>863</v>
      </c>
      <c r="L21" s="1005">
        <v>945</v>
      </c>
      <c r="M21" s="1003">
        <v>1041</v>
      </c>
      <c r="N21" s="1005">
        <v>634</v>
      </c>
      <c r="O21" s="745">
        <v>527</v>
      </c>
      <c r="P21" s="1005">
        <v>624</v>
      </c>
      <c r="Q21" s="1003">
        <v>872</v>
      </c>
      <c r="R21" s="1005">
        <v>657</v>
      </c>
      <c r="S21" s="745">
        <v>809</v>
      </c>
      <c r="T21" s="745">
        <v>940</v>
      </c>
      <c r="U21" s="746">
        <v>1024</v>
      </c>
      <c r="V21" s="745">
        <v>983</v>
      </c>
      <c r="W21" s="745">
        <v>870</v>
      </c>
      <c r="X21" s="745">
        <v>841</v>
      </c>
      <c r="Y21" s="746"/>
      <c r="Z21" s="1005"/>
      <c r="AA21" s="1005"/>
      <c r="AB21" s="1005"/>
      <c r="AC21" s="1003"/>
      <c r="AD21" s="1005"/>
      <c r="AE21" s="1005"/>
      <c r="AF21" s="1005"/>
      <c r="AG21" s="1003"/>
      <c r="AH21" s="1022"/>
      <c r="AI21" s="1022"/>
      <c r="AJ21" s="1022"/>
      <c r="AK21" s="1022"/>
      <c r="AL21" s="1023"/>
      <c r="AM21" s="1003"/>
      <c r="AN21" s="1003"/>
      <c r="AO21" s="1003"/>
      <c r="AP21" s="991"/>
      <c r="AQ21" s="1005">
        <v>2988</v>
      </c>
      <c r="AR21" s="1005">
        <v>2849</v>
      </c>
      <c r="AS21" s="1010">
        <v>47</v>
      </c>
      <c r="AT21" s="1000">
        <v>1.227474536432489E-2</v>
      </c>
      <c r="AU21" s="996"/>
      <c r="AV21" s="1112">
        <v>3876</v>
      </c>
      <c r="AW21" s="1112">
        <v>3829</v>
      </c>
      <c r="AX21" s="1112">
        <v>2657</v>
      </c>
      <c r="AY21" s="1112">
        <v>3430</v>
      </c>
      <c r="AZ21" s="43">
        <v>3514</v>
      </c>
      <c r="BA21" s="43">
        <v>3552</v>
      </c>
      <c r="BB21" s="744">
        <v>2941</v>
      </c>
      <c r="BC21" s="744">
        <v>2179</v>
      </c>
      <c r="BD21" s="1011">
        <v>2191</v>
      </c>
      <c r="BE21" s="1025">
        <v>2896</v>
      </c>
      <c r="BF21" s="1025">
        <v>1887</v>
      </c>
      <c r="BG21" s="1025">
        <v>3440</v>
      </c>
      <c r="BH21" s="962"/>
      <c r="BJ21" s="943"/>
      <c r="BK21" s="943"/>
      <c r="BL21" s="943"/>
      <c r="BM21" s="943"/>
    </row>
    <row r="22" spans="1:65" ht="12.75" customHeight="1" x14ac:dyDescent="0.2">
      <c r="A22" s="988"/>
      <c r="B22" s="990" t="s">
        <v>71</v>
      </c>
      <c r="C22" s="999">
        <v>727</v>
      </c>
      <c r="D22" s="1041">
        <v>0.44140862173649059</v>
      </c>
      <c r="E22" s="1001"/>
      <c r="F22" s="1005">
        <v>2374</v>
      </c>
      <c r="G22" s="1005">
        <v>2162</v>
      </c>
      <c r="H22" s="1005">
        <v>2369</v>
      </c>
      <c r="I22" s="1003">
        <v>2399</v>
      </c>
      <c r="J22" s="1005">
        <v>1647</v>
      </c>
      <c r="K22" s="1005">
        <v>2954</v>
      </c>
      <c r="L22" s="1005">
        <v>2769</v>
      </c>
      <c r="M22" s="1003">
        <v>2426</v>
      </c>
      <c r="N22" s="1005">
        <v>3021</v>
      </c>
      <c r="O22" s="745">
        <v>2816</v>
      </c>
      <c r="P22" s="1005">
        <v>3028</v>
      </c>
      <c r="Q22" s="1003">
        <v>3158</v>
      </c>
      <c r="R22" s="1005">
        <v>1234</v>
      </c>
      <c r="S22" s="745">
        <v>861</v>
      </c>
      <c r="T22" s="745">
        <v>875</v>
      </c>
      <c r="U22" s="746">
        <v>960</v>
      </c>
      <c r="V22" s="745">
        <v>855</v>
      </c>
      <c r="W22" s="745">
        <v>870</v>
      </c>
      <c r="X22" s="745">
        <v>875</v>
      </c>
      <c r="Y22" s="746"/>
      <c r="Z22" s="1005"/>
      <c r="AA22" s="1005"/>
      <c r="AB22" s="1005"/>
      <c r="AC22" s="1003"/>
      <c r="AD22" s="1005"/>
      <c r="AE22" s="1005"/>
      <c r="AF22" s="1005"/>
      <c r="AG22" s="1003"/>
      <c r="AH22" s="1022"/>
      <c r="AI22" s="1022"/>
      <c r="AJ22" s="1022"/>
      <c r="AK22" s="1022"/>
      <c r="AL22" s="1023"/>
      <c r="AM22" s="1003"/>
      <c r="AN22" s="1003"/>
      <c r="AO22" s="1003"/>
      <c r="AP22" s="991"/>
      <c r="AQ22" s="1005">
        <v>6930</v>
      </c>
      <c r="AR22" s="1005">
        <v>8149</v>
      </c>
      <c r="AS22" s="1010">
        <v>-492</v>
      </c>
      <c r="AT22" s="1000">
        <v>-5.0224581461821148E-2</v>
      </c>
      <c r="AU22" s="996"/>
      <c r="AV22" s="1112">
        <v>9304</v>
      </c>
      <c r="AW22" s="1112">
        <v>9796</v>
      </c>
      <c r="AX22" s="1112">
        <v>12023</v>
      </c>
      <c r="AY22" s="1112">
        <v>3930</v>
      </c>
      <c r="AZ22" s="43">
        <v>3474</v>
      </c>
      <c r="BA22" s="43">
        <v>3842</v>
      </c>
      <c r="BB22" s="744">
        <v>4046</v>
      </c>
      <c r="BC22" s="744">
        <v>3227</v>
      </c>
      <c r="BD22" s="1011">
        <v>3000</v>
      </c>
      <c r="BE22" s="1025">
        <v>2293</v>
      </c>
      <c r="BF22" s="1025">
        <v>1365</v>
      </c>
      <c r="BG22" s="1025">
        <v>4236</v>
      </c>
      <c r="BH22" s="962"/>
      <c r="BJ22" s="943"/>
      <c r="BK22" s="943"/>
      <c r="BL22" s="943"/>
      <c r="BM22" s="943"/>
    </row>
    <row r="23" spans="1:65" ht="12.75" customHeight="1" x14ac:dyDescent="0.2">
      <c r="A23" s="988"/>
      <c r="B23" s="990" t="s">
        <v>72</v>
      </c>
      <c r="C23" s="999">
        <v>1118</v>
      </c>
      <c r="D23" s="1041">
        <v>0.40728597449908926</v>
      </c>
      <c r="E23" s="1001"/>
      <c r="F23" s="1005">
        <v>3863</v>
      </c>
      <c r="G23" s="1005">
        <v>3481</v>
      </c>
      <c r="H23" s="1005">
        <v>3145</v>
      </c>
      <c r="I23" s="1003">
        <v>2855</v>
      </c>
      <c r="J23" s="1005">
        <v>2745</v>
      </c>
      <c r="K23" s="1005">
        <v>2816</v>
      </c>
      <c r="L23" s="1005">
        <v>2586</v>
      </c>
      <c r="M23" s="1003">
        <v>2394</v>
      </c>
      <c r="N23" s="1005">
        <v>2901</v>
      </c>
      <c r="O23" s="745">
        <v>3129</v>
      </c>
      <c r="P23" s="1005">
        <v>2870</v>
      </c>
      <c r="Q23" s="1003">
        <v>5139</v>
      </c>
      <c r="R23" s="1005">
        <v>1661</v>
      </c>
      <c r="S23" s="745">
        <v>1399</v>
      </c>
      <c r="T23" s="745">
        <v>1479</v>
      </c>
      <c r="U23" s="746">
        <v>1345</v>
      </c>
      <c r="V23" s="745">
        <v>1313</v>
      </c>
      <c r="W23" s="745">
        <v>1310</v>
      </c>
      <c r="X23" s="745">
        <v>1340</v>
      </c>
      <c r="Y23" s="746"/>
      <c r="Z23" s="1005"/>
      <c r="AA23" s="1005"/>
      <c r="AB23" s="1005"/>
      <c r="AC23" s="1003"/>
      <c r="AD23" s="1005"/>
      <c r="AE23" s="1005"/>
      <c r="AF23" s="1005"/>
      <c r="AG23" s="1003"/>
      <c r="AH23" s="1022"/>
      <c r="AI23" s="1022"/>
      <c r="AJ23" s="1022"/>
      <c r="AK23" s="1022"/>
      <c r="AL23" s="1023"/>
      <c r="AM23" s="1003"/>
      <c r="AN23" s="1003"/>
      <c r="AO23" s="1003"/>
      <c r="AP23" s="991"/>
      <c r="AQ23" s="1005">
        <v>9481</v>
      </c>
      <c r="AR23" s="1005">
        <v>7796</v>
      </c>
      <c r="AS23" s="1010">
        <v>2803</v>
      </c>
      <c r="AT23" s="1000">
        <v>0.26591404990038897</v>
      </c>
      <c r="AU23" s="996"/>
      <c r="AV23" s="1112">
        <v>13344</v>
      </c>
      <c r="AW23" s="1112">
        <v>10541</v>
      </c>
      <c r="AX23" s="1112">
        <v>14039</v>
      </c>
      <c r="AY23" s="1112">
        <v>5884</v>
      </c>
      <c r="AZ23" s="43">
        <v>5143</v>
      </c>
      <c r="BA23" s="43">
        <v>2433</v>
      </c>
      <c r="BB23" s="744">
        <v>2049</v>
      </c>
      <c r="BC23" s="744">
        <v>2816</v>
      </c>
      <c r="BD23" s="1011">
        <v>3930</v>
      </c>
      <c r="BE23" s="1025">
        <v>2980</v>
      </c>
      <c r="BF23" s="1025">
        <v>2274</v>
      </c>
      <c r="BG23" s="1025">
        <v>4205</v>
      </c>
      <c r="BH23" s="962"/>
      <c r="BJ23" s="943"/>
      <c r="BK23" s="943"/>
      <c r="BL23" s="943"/>
      <c r="BM23" s="943"/>
    </row>
    <row r="24" spans="1:65" ht="12.75" customHeight="1" x14ac:dyDescent="0.2">
      <c r="A24" s="988"/>
      <c r="B24" s="990" t="s">
        <v>67</v>
      </c>
      <c r="C24" s="999">
        <v>-97</v>
      </c>
      <c r="D24" s="1000">
        <v>-0.17383512544802868</v>
      </c>
      <c r="E24" s="1001"/>
      <c r="F24" s="1005">
        <v>461</v>
      </c>
      <c r="G24" s="1005">
        <v>504</v>
      </c>
      <c r="H24" s="1005">
        <v>406</v>
      </c>
      <c r="I24" s="1003">
        <v>496</v>
      </c>
      <c r="J24" s="1005">
        <v>558</v>
      </c>
      <c r="K24" s="1005">
        <v>526</v>
      </c>
      <c r="L24" s="1005">
        <v>697</v>
      </c>
      <c r="M24" s="1003">
        <v>929</v>
      </c>
      <c r="N24" s="1005">
        <v>831</v>
      </c>
      <c r="O24" s="745">
        <v>782</v>
      </c>
      <c r="P24" s="1005">
        <v>916</v>
      </c>
      <c r="Q24" s="1003">
        <v>792</v>
      </c>
      <c r="R24" s="1005">
        <v>153</v>
      </c>
      <c r="S24" s="745">
        <v>8</v>
      </c>
      <c r="T24" s="745">
        <v>17</v>
      </c>
      <c r="U24" s="746">
        <v>-9</v>
      </c>
      <c r="V24" s="745">
        <v>60</v>
      </c>
      <c r="W24" s="745">
        <v>12</v>
      </c>
      <c r="X24" s="745">
        <v>13</v>
      </c>
      <c r="Y24" s="746"/>
      <c r="Z24" s="1005"/>
      <c r="AA24" s="1005"/>
      <c r="AB24" s="1005"/>
      <c r="AC24" s="1003"/>
      <c r="AD24" s="1005"/>
      <c r="AE24" s="1005"/>
      <c r="AF24" s="1005"/>
      <c r="AG24" s="1003"/>
      <c r="AH24" s="1022"/>
      <c r="AI24" s="1022"/>
      <c r="AJ24" s="1022"/>
      <c r="AK24" s="1022"/>
      <c r="AL24" s="1023"/>
      <c r="AM24" s="1003"/>
      <c r="AN24" s="1003"/>
      <c r="AO24" s="1003"/>
      <c r="AP24" s="991"/>
      <c r="AQ24" s="1005">
        <v>1406</v>
      </c>
      <c r="AR24" s="1005">
        <v>2152</v>
      </c>
      <c r="AS24" s="1010">
        <v>-843</v>
      </c>
      <c r="AT24" s="1000">
        <v>-0.31107011070110702</v>
      </c>
      <c r="AU24" s="996"/>
      <c r="AV24" s="1112">
        <v>1867</v>
      </c>
      <c r="AW24" s="1112">
        <v>2710</v>
      </c>
      <c r="AX24" s="1112">
        <v>3321</v>
      </c>
      <c r="AY24" s="1112">
        <v>169</v>
      </c>
      <c r="AZ24" s="43">
        <v>102</v>
      </c>
      <c r="BA24" s="43">
        <v>74</v>
      </c>
      <c r="BB24" s="744">
        <v>253</v>
      </c>
      <c r="BC24" s="744">
        <v>-4</v>
      </c>
      <c r="BD24" s="1011">
        <v>551</v>
      </c>
      <c r="BE24" s="1025">
        <v>175</v>
      </c>
      <c r="BF24" s="1025">
        <v>114</v>
      </c>
      <c r="BG24" s="1025">
        <v>35</v>
      </c>
      <c r="BH24" s="943"/>
      <c r="BJ24" s="943"/>
      <c r="BK24" s="943"/>
      <c r="BL24" s="943"/>
      <c r="BM24" s="943"/>
    </row>
    <row r="25" spans="1:65" ht="12.75" customHeight="1" x14ac:dyDescent="0.2">
      <c r="A25" s="988"/>
      <c r="B25" s="990" t="s">
        <v>73</v>
      </c>
      <c r="C25" s="999">
        <v>-373</v>
      </c>
      <c r="D25" s="1041">
        <v>-6.8127853881278538E-2</v>
      </c>
      <c r="E25" s="1001"/>
      <c r="F25" s="1005">
        <v>5102</v>
      </c>
      <c r="G25" s="1005">
        <v>5699</v>
      </c>
      <c r="H25" s="1005">
        <v>3901</v>
      </c>
      <c r="I25" s="1003">
        <v>4859</v>
      </c>
      <c r="J25" s="1005">
        <v>5475</v>
      </c>
      <c r="K25" s="1005">
        <v>5038</v>
      </c>
      <c r="L25" s="1005">
        <v>5118</v>
      </c>
      <c r="M25" s="1003">
        <v>4908</v>
      </c>
      <c r="N25" s="1005">
        <v>4343</v>
      </c>
      <c r="O25" s="745">
        <v>6684</v>
      </c>
      <c r="P25" s="1005">
        <v>3481</v>
      </c>
      <c r="Q25" s="1003">
        <v>6393</v>
      </c>
      <c r="R25" s="1005">
        <v>3450</v>
      </c>
      <c r="S25" s="745">
        <v>1763</v>
      </c>
      <c r="T25" s="745">
        <v>1485</v>
      </c>
      <c r="U25" s="746">
        <v>2212</v>
      </c>
      <c r="V25" s="745">
        <v>1710</v>
      </c>
      <c r="W25" s="745">
        <v>1633</v>
      </c>
      <c r="X25" s="745">
        <v>1593</v>
      </c>
      <c r="Y25" s="746"/>
      <c r="Z25" s="1005"/>
      <c r="AA25" s="1005"/>
      <c r="AB25" s="1005"/>
      <c r="AC25" s="1003"/>
      <c r="AD25" s="1005"/>
      <c r="AE25" s="1005"/>
      <c r="AF25" s="1005"/>
      <c r="AG25" s="1003"/>
      <c r="AH25" s="1022"/>
      <c r="AI25" s="1022"/>
      <c r="AJ25" s="1022"/>
      <c r="AK25" s="1022"/>
      <c r="AL25" s="1023"/>
      <c r="AM25" s="1003"/>
      <c r="AN25" s="1003"/>
      <c r="AO25" s="1003"/>
      <c r="AP25" s="991"/>
      <c r="AQ25" s="1005">
        <v>14459</v>
      </c>
      <c r="AR25" s="1005">
        <v>15064</v>
      </c>
      <c r="AS25" s="1010">
        <v>-978</v>
      </c>
      <c r="AT25" s="1000">
        <v>-4.7616729149423047E-2</v>
      </c>
      <c r="AU25" s="996"/>
      <c r="AV25" s="1112">
        <v>19561</v>
      </c>
      <c r="AW25" s="1112">
        <v>20539</v>
      </c>
      <c r="AX25" s="1112">
        <v>20901</v>
      </c>
      <c r="AY25" s="1112">
        <v>8910</v>
      </c>
      <c r="AZ25" s="43">
        <v>7399</v>
      </c>
      <c r="BA25" s="43">
        <v>5985</v>
      </c>
      <c r="BB25" s="744">
        <v>15606</v>
      </c>
      <c r="BC25" s="744">
        <v>11718</v>
      </c>
      <c r="BD25" s="1011">
        <v>12437</v>
      </c>
      <c r="BE25" s="1025">
        <v>11037</v>
      </c>
      <c r="BF25" s="1025">
        <v>6277</v>
      </c>
      <c r="BG25" s="1025">
        <v>7632</v>
      </c>
      <c r="BH25" s="943"/>
      <c r="BJ25" s="943"/>
      <c r="BK25" s="943"/>
      <c r="BL25" s="943"/>
      <c r="BM25" s="943"/>
    </row>
    <row r="26" spans="1:65" ht="12.75" customHeight="1" x14ac:dyDescent="0.2">
      <c r="A26" s="988"/>
      <c r="B26" s="990" t="s">
        <v>74</v>
      </c>
      <c r="C26" s="999">
        <v>-381</v>
      </c>
      <c r="D26" s="1000">
        <v>-0.25900747790618628</v>
      </c>
      <c r="E26" s="1001"/>
      <c r="F26" s="1005">
        <v>1090</v>
      </c>
      <c r="G26" s="1005">
        <v>1048</v>
      </c>
      <c r="H26" s="1005">
        <v>1343</v>
      </c>
      <c r="I26" s="1003">
        <v>1353</v>
      </c>
      <c r="J26" s="1005">
        <v>1471</v>
      </c>
      <c r="K26" s="1005">
        <v>1175</v>
      </c>
      <c r="L26" s="1005">
        <v>813</v>
      </c>
      <c r="M26" s="1003">
        <v>806</v>
      </c>
      <c r="N26" s="1005">
        <v>1782</v>
      </c>
      <c r="O26" s="745">
        <v>1768</v>
      </c>
      <c r="P26" s="1005">
        <v>1790</v>
      </c>
      <c r="Q26" s="1003">
        <v>2061</v>
      </c>
      <c r="R26" s="1005">
        <v>320</v>
      </c>
      <c r="S26" s="745">
        <v>307</v>
      </c>
      <c r="T26" s="745">
        <v>291</v>
      </c>
      <c r="U26" s="746">
        <v>312</v>
      </c>
      <c r="V26" s="745">
        <v>314</v>
      </c>
      <c r="W26" s="745">
        <v>314</v>
      </c>
      <c r="X26" s="745">
        <v>314</v>
      </c>
      <c r="Y26" s="746"/>
      <c r="Z26" s="1005"/>
      <c r="AA26" s="1005"/>
      <c r="AB26" s="1005"/>
      <c r="AC26" s="1003"/>
      <c r="AD26" s="1005"/>
      <c r="AE26" s="1005"/>
      <c r="AF26" s="1005"/>
      <c r="AG26" s="1003"/>
      <c r="AH26" s="1022"/>
      <c r="AI26" s="1022"/>
      <c r="AJ26" s="1022"/>
      <c r="AK26" s="1022"/>
      <c r="AL26" s="1023"/>
      <c r="AM26" s="1003"/>
      <c r="AN26" s="1003"/>
      <c r="AO26" s="1003"/>
      <c r="AP26" s="991"/>
      <c r="AQ26" s="1005">
        <v>3744</v>
      </c>
      <c r="AR26" s="1005">
        <v>2794</v>
      </c>
      <c r="AS26" s="1010">
        <v>569</v>
      </c>
      <c r="AT26" s="1000">
        <v>0.13341148886283705</v>
      </c>
      <c r="AU26" s="996"/>
      <c r="AV26" s="1112">
        <v>4834</v>
      </c>
      <c r="AW26" s="1112">
        <v>4265</v>
      </c>
      <c r="AX26" s="1112">
        <v>7401</v>
      </c>
      <c r="AY26" s="1112">
        <v>1230</v>
      </c>
      <c r="AZ26" s="43">
        <v>1254</v>
      </c>
      <c r="BA26" s="43">
        <v>1603</v>
      </c>
      <c r="BB26" s="744">
        <v>1843</v>
      </c>
      <c r="BC26" s="744">
        <v>1825</v>
      </c>
      <c r="BD26" s="1011">
        <v>1063</v>
      </c>
      <c r="BE26" s="1025">
        <v>893</v>
      </c>
      <c r="BF26" s="1025">
        <v>470</v>
      </c>
      <c r="BG26" s="1025">
        <v>1291</v>
      </c>
      <c r="BH26" s="943"/>
      <c r="BJ26" s="943"/>
      <c r="BK26" s="943"/>
      <c r="BL26" s="943"/>
      <c r="BM26" s="943"/>
    </row>
    <row r="27" spans="1:65" ht="12.75" customHeight="1" x14ac:dyDescent="0.2">
      <c r="A27" s="952"/>
      <c r="B27" s="990" t="s">
        <v>75</v>
      </c>
      <c r="C27" s="999">
        <v>394</v>
      </c>
      <c r="D27" s="1000">
        <v>0.74060150375939848</v>
      </c>
      <c r="E27" s="1417"/>
      <c r="F27" s="1005">
        <v>926</v>
      </c>
      <c r="G27" s="1198">
        <v>2222</v>
      </c>
      <c r="H27" s="1198">
        <v>-40</v>
      </c>
      <c r="I27" s="1042">
        <v>668</v>
      </c>
      <c r="J27" s="1198">
        <v>532</v>
      </c>
      <c r="K27" s="1198">
        <v>-447</v>
      </c>
      <c r="L27" s="1198">
        <v>3172</v>
      </c>
      <c r="M27" s="1042">
        <v>582</v>
      </c>
      <c r="N27" s="1198">
        <v>715</v>
      </c>
      <c r="O27" s="745">
        <v>664</v>
      </c>
      <c r="P27" s="1198">
        <v>0</v>
      </c>
      <c r="Q27" s="1042">
        <v>0</v>
      </c>
      <c r="R27" s="1198">
        <v>0</v>
      </c>
      <c r="S27" s="745">
        <v>512</v>
      </c>
      <c r="T27" s="745">
        <v>533</v>
      </c>
      <c r="U27" s="746">
        <v>760</v>
      </c>
      <c r="V27" s="745">
        <v>1474</v>
      </c>
      <c r="W27" s="745">
        <v>1103</v>
      </c>
      <c r="X27" s="745">
        <v>1012</v>
      </c>
      <c r="Y27" s="746"/>
      <c r="Z27" s="1005"/>
      <c r="AA27" s="1005"/>
      <c r="AB27" s="1005"/>
      <c r="AC27" s="1003"/>
      <c r="AD27" s="1005"/>
      <c r="AE27" s="1005"/>
      <c r="AF27" s="1005"/>
      <c r="AG27" s="1003"/>
      <c r="AH27" s="1022"/>
      <c r="AI27" s="1022"/>
      <c r="AJ27" s="1022"/>
      <c r="AK27" s="1022"/>
      <c r="AL27" s="1023"/>
      <c r="AM27" s="1003"/>
      <c r="AN27" s="1003"/>
      <c r="AO27" s="1003"/>
      <c r="AP27" s="991"/>
      <c r="AQ27" s="1198">
        <v>2850</v>
      </c>
      <c r="AR27" s="251">
        <v>3307</v>
      </c>
      <c r="AS27" s="1010">
        <v>-63</v>
      </c>
      <c r="AT27" s="1000">
        <v>-1.6410523573847355E-2</v>
      </c>
      <c r="AU27" s="996"/>
      <c r="AV27" s="1112">
        <v>3776</v>
      </c>
      <c r="AW27" s="1112">
        <v>3839</v>
      </c>
      <c r="AX27" s="1112">
        <v>1379</v>
      </c>
      <c r="AY27" s="1112">
        <v>1805</v>
      </c>
      <c r="AZ27" s="43">
        <v>4697</v>
      </c>
      <c r="BA27" s="43">
        <v>3012</v>
      </c>
      <c r="BB27" s="744">
        <v>1340</v>
      </c>
      <c r="BC27" s="744">
        <v>1133</v>
      </c>
      <c r="BD27" s="1011">
        <v>1510</v>
      </c>
      <c r="BE27" s="1025">
        <v>538</v>
      </c>
      <c r="BF27" s="1025">
        <v>590</v>
      </c>
      <c r="BG27" s="1025">
        <v>836</v>
      </c>
      <c r="BH27" s="943"/>
      <c r="BJ27" s="943"/>
      <c r="BK27" s="943"/>
      <c r="BL27" s="943"/>
      <c r="BM27" s="943"/>
    </row>
    <row r="28" spans="1:65" ht="12.75" customHeight="1" x14ac:dyDescent="0.2">
      <c r="A28" s="988"/>
      <c r="B28" s="952" t="s">
        <v>169</v>
      </c>
      <c r="C28" s="999">
        <v>9143</v>
      </c>
      <c r="D28" s="1000">
        <v>0</v>
      </c>
      <c r="E28" s="1001"/>
      <c r="F28" s="1039">
        <v>9143</v>
      </c>
      <c r="G28" s="1198">
        <v>0</v>
      </c>
      <c r="H28" s="1198">
        <v>0</v>
      </c>
      <c r="I28" s="1042"/>
      <c r="J28" s="1039">
        <v>0</v>
      </c>
      <c r="K28" s="1198">
        <v>0</v>
      </c>
      <c r="L28" s="1198">
        <v>1307</v>
      </c>
      <c r="M28" s="1042">
        <v>0</v>
      </c>
      <c r="N28" s="1039">
        <v>5561</v>
      </c>
      <c r="O28" s="251">
        <v>2291</v>
      </c>
      <c r="P28" s="1198">
        <v>0</v>
      </c>
      <c r="Q28" s="1042">
        <v>0</v>
      </c>
      <c r="R28" s="1039">
        <v>18049</v>
      </c>
      <c r="S28" s="251">
        <v>0</v>
      </c>
      <c r="T28" s="251">
        <v>0</v>
      </c>
      <c r="U28" s="419">
        <v>0</v>
      </c>
      <c r="V28" s="1039">
        <v>0</v>
      </c>
      <c r="W28" s="332">
        <v>0</v>
      </c>
      <c r="X28" s="332">
        <v>0</v>
      </c>
      <c r="Y28" s="419"/>
      <c r="Z28" s="1043"/>
      <c r="AA28" s="1059"/>
      <c r="AB28" s="1059"/>
      <c r="AC28" s="1060"/>
      <c r="AD28" s="1005"/>
      <c r="AE28" s="1005"/>
      <c r="AF28" s="1059"/>
      <c r="AG28" s="1060"/>
      <c r="AH28" s="1061"/>
      <c r="AI28" s="1054"/>
      <c r="AJ28" s="1054"/>
      <c r="AK28" s="1054"/>
      <c r="AL28" s="1056"/>
      <c r="AM28" s="1055"/>
      <c r="AN28" s="1003"/>
      <c r="AO28" s="1003"/>
      <c r="AP28" s="991"/>
      <c r="AQ28" s="1050">
        <v>0</v>
      </c>
      <c r="AR28" s="251">
        <v>1307</v>
      </c>
      <c r="AS28" s="1010">
        <v>7836</v>
      </c>
      <c r="AT28" s="1000" t="s">
        <v>42</v>
      </c>
      <c r="AU28" s="996"/>
      <c r="AV28" s="1202">
        <v>9143</v>
      </c>
      <c r="AW28" s="1202">
        <v>1307</v>
      </c>
      <c r="AX28" s="1202">
        <v>7852</v>
      </c>
      <c r="AY28" s="1202">
        <v>18049</v>
      </c>
      <c r="AZ28" s="270">
        <v>0</v>
      </c>
      <c r="BA28" s="1203">
        <v>0</v>
      </c>
      <c r="BB28" s="1203">
        <v>1274</v>
      </c>
      <c r="BC28" s="1204">
        <v>0</v>
      </c>
      <c r="BD28" s="1062">
        <v>0</v>
      </c>
      <c r="BE28" s="1062">
        <v>0</v>
      </c>
      <c r="BF28" s="1025">
        <v>0</v>
      </c>
      <c r="BG28" s="1025">
        <v>0</v>
      </c>
      <c r="BH28" s="943"/>
      <c r="BJ28" s="943"/>
      <c r="BK28" s="943"/>
      <c r="BL28" s="943"/>
      <c r="BM28" s="943"/>
    </row>
    <row r="29" spans="1:65" ht="12.75" customHeight="1" x14ac:dyDescent="0.2">
      <c r="A29" s="952"/>
      <c r="B29" s="952" t="s">
        <v>190</v>
      </c>
      <c r="C29" s="999">
        <v>0</v>
      </c>
      <c r="D29" s="1041">
        <v>0</v>
      </c>
      <c r="E29" s="1001"/>
      <c r="F29" s="251">
        <v>0</v>
      </c>
      <c r="G29" s="1198"/>
      <c r="H29" s="1198">
        <v>0</v>
      </c>
      <c r="I29" s="1042"/>
      <c r="J29" s="251">
        <v>0</v>
      </c>
      <c r="K29" s="1198">
        <v>0</v>
      </c>
      <c r="L29" s="1198">
        <v>0</v>
      </c>
      <c r="M29" s="1042">
        <v>0</v>
      </c>
      <c r="N29" s="251">
        <v>0</v>
      </c>
      <c r="O29" s="251">
        <v>0</v>
      </c>
      <c r="P29" s="1198">
        <v>0</v>
      </c>
      <c r="Q29" s="1042">
        <v>0</v>
      </c>
      <c r="R29" s="251">
        <v>5885</v>
      </c>
      <c r="S29" s="251">
        <v>410</v>
      </c>
      <c r="T29" s="1039">
        <v>0</v>
      </c>
      <c r="U29" s="1042">
        <v>0</v>
      </c>
      <c r="V29" s="251">
        <v>0</v>
      </c>
      <c r="W29" s="251">
        <v>0</v>
      </c>
      <c r="X29" s="1039">
        <v>0</v>
      </c>
      <c r="Y29" s="1042"/>
      <c r="Z29" s="1005"/>
      <c r="AA29" s="1043"/>
      <c r="AB29" s="1043"/>
      <c r="AC29" s="1044"/>
      <c r="AD29" s="1043"/>
      <c r="AE29" s="1043"/>
      <c r="AF29" s="1043"/>
      <c r="AG29" s="1045"/>
      <c r="AH29" s="1046"/>
      <c r="AI29" s="1046"/>
      <c r="AJ29" s="1046"/>
      <c r="AK29" s="1046"/>
      <c r="AL29" s="1047"/>
      <c r="AM29" s="1048"/>
      <c r="AN29" s="1048"/>
      <c r="AO29" s="1048"/>
      <c r="AP29" s="1049"/>
      <c r="AQ29" s="1050">
        <v>0</v>
      </c>
      <c r="AR29" s="251">
        <v>0</v>
      </c>
      <c r="AS29" s="1199">
        <v>0</v>
      </c>
      <c r="AT29" s="1000">
        <v>0</v>
      </c>
      <c r="AU29" s="1049"/>
      <c r="AV29" s="1042">
        <v>0</v>
      </c>
      <c r="AW29" s="1042">
        <v>0</v>
      </c>
      <c r="AX29" s="1436">
        <v>0</v>
      </c>
      <c r="AY29" s="1112">
        <v>6295</v>
      </c>
      <c r="AZ29" s="1200">
        <v>0</v>
      </c>
      <c r="BA29" s="1201">
        <v>0</v>
      </c>
      <c r="BB29" s="1201">
        <v>0</v>
      </c>
      <c r="BC29" s="1201">
        <v>0</v>
      </c>
      <c r="BD29" s="1052">
        <v>0</v>
      </c>
      <c r="BE29" s="1053">
        <v>0</v>
      </c>
      <c r="BF29" s="1025"/>
      <c r="BG29" s="1025">
        <v>0</v>
      </c>
      <c r="BH29" s="943"/>
      <c r="BJ29" s="943"/>
      <c r="BK29" s="943"/>
      <c r="BL29" s="943"/>
      <c r="BM29" s="943"/>
    </row>
    <row r="30" spans="1:65" ht="12.75" hidden="1" customHeight="1" x14ac:dyDescent="0.2">
      <c r="A30" s="988"/>
      <c r="B30" s="952"/>
      <c r="C30" s="999"/>
      <c r="D30" s="1041"/>
      <c r="E30" s="1001"/>
      <c r="F30" s="1039"/>
      <c r="G30" s="1198"/>
      <c r="H30" s="1198"/>
      <c r="I30" s="1042"/>
      <c r="J30" s="1039"/>
      <c r="K30" s="1198"/>
      <c r="L30" s="1198"/>
      <c r="M30" s="1042"/>
      <c r="N30" s="1039"/>
      <c r="O30" s="332"/>
      <c r="P30" s="1198"/>
      <c r="Q30" s="1042"/>
      <c r="R30" s="1039"/>
      <c r="S30" s="332"/>
      <c r="T30" s="332"/>
      <c r="U30" s="419"/>
      <c r="V30" s="1039"/>
      <c r="W30" s="332"/>
      <c r="X30" s="332"/>
      <c r="Y30" s="419"/>
      <c r="Z30" s="1043"/>
      <c r="AA30" s="1059"/>
      <c r="AB30" s="1059"/>
      <c r="AC30" s="1060"/>
      <c r="AD30" s="1005"/>
      <c r="AE30" s="1005"/>
      <c r="AF30" s="1059"/>
      <c r="AG30" s="1060"/>
      <c r="AH30" s="1061"/>
      <c r="AI30" s="1054"/>
      <c r="AJ30" s="1054"/>
      <c r="AK30" s="1054"/>
      <c r="AL30" s="1056"/>
      <c r="AM30" s="1055"/>
      <c r="AN30" s="1003"/>
      <c r="AO30" s="1003"/>
      <c r="AP30" s="991"/>
      <c r="AQ30" s="1050"/>
      <c r="AR30" s="1005"/>
      <c r="AS30" s="1010"/>
      <c r="AT30" s="1000"/>
      <c r="AU30" s="996"/>
      <c r="AV30" s="1202"/>
      <c r="AW30" s="1202"/>
      <c r="AX30" s="1202"/>
      <c r="AY30" s="1202"/>
      <c r="AZ30" s="270"/>
      <c r="BA30" s="1203"/>
      <c r="BB30" s="1203"/>
      <c r="BC30" s="1204"/>
      <c r="BD30" s="1062"/>
      <c r="BE30" s="1062"/>
      <c r="BF30" s="1025"/>
      <c r="BG30" s="1025"/>
      <c r="BH30" s="943"/>
      <c r="BJ30" s="943"/>
      <c r="BK30" s="943"/>
      <c r="BL30" s="943"/>
      <c r="BM30" s="943"/>
    </row>
    <row r="31" spans="1:65" ht="12.75" customHeight="1" x14ac:dyDescent="0.2">
      <c r="A31" s="988"/>
      <c r="B31" s="952"/>
      <c r="C31" s="1012">
        <v>2707</v>
      </c>
      <c r="D31" s="1063">
        <v>5.3089882131440114E-2</v>
      </c>
      <c r="E31" s="1001"/>
      <c r="F31" s="1015">
        <v>53696</v>
      </c>
      <c r="G31" s="1015">
        <v>38098</v>
      </c>
      <c r="H31" s="1015">
        <v>40920</v>
      </c>
      <c r="I31" s="1021">
        <v>40245</v>
      </c>
      <c r="J31" s="1015">
        <v>50989</v>
      </c>
      <c r="K31" s="1015">
        <v>50915</v>
      </c>
      <c r="L31" s="1015">
        <v>42560</v>
      </c>
      <c r="M31" s="1021">
        <v>35372</v>
      </c>
      <c r="N31" s="1016">
        <v>50734</v>
      </c>
      <c r="O31" s="1015">
        <v>46570</v>
      </c>
      <c r="P31" s="1015">
        <v>40389</v>
      </c>
      <c r="Q31" s="1014">
        <v>40976</v>
      </c>
      <c r="R31" s="1015">
        <v>47530</v>
      </c>
      <c r="S31" s="1015">
        <v>13751</v>
      </c>
      <c r="T31" s="1015">
        <v>13294</v>
      </c>
      <c r="U31" s="1014">
        <v>14080</v>
      </c>
      <c r="V31" s="1015">
        <v>25215</v>
      </c>
      <c r="W31" s="1064">
        <v>20384</v>
      </c>
      <c r="X31" s="1015">
        <v>16895</v>
      </c>
      <c r="Y31" s="1021">
        <v>0</v>
      </c>
      <c r="Z31" s="1015">
        <v>27693</v>
      </c>
      <c r="AA31" s="1064">
        <v>37922</v>
      </c>
      <c r="AB31" s="1015">
        <v>19480</v>
      </c>
      <c r="AC31" s="1021">
        <v>22187</v>
      </c>
      <c r="AD31" s="1064">
        <v>0</v>
      </c>
      <c r="AE31" s="1064">
        <v>0</v>
      </c>
      <c r="AF31" s="1064">
        <v>0</v>
      </c>
      <c r="AG31" s="1021">
        <v>0</v>
      </c>
      <c r="AH31" s="1064">
        <v>0</v>
      </c>
      <c r="AI31" s="1064">
        <v>87449</v>
      </c>
      <c r="AJ31" s="1014">
        <v>74128</v>
      </c>
      <c r="AK31" s="1064">
        <v>106349</v>
      </c>
      <c r="AL31" s="1065">
        <v>100905</v>
      </c>
      <c r="AM31" s="1021">
        <v>75317</v>
      </c>
      <c r="AN31" s="1021">
        <v>70703</v>
      </c>
      <c r="AO31" s="1064">
        <v>91522</v>
      </c>
      <c r="AP31" s="991"/>
      <c r="AQ31" s="1015">
        <v>119263</v>
      </c>
      <c r="AR31" s="1015">
        <v>128847</v>
      </c>
      <c r="AS31" s="1336">
        <v>-6877</v>
      </c>
      <c r="AT31" s="1067">
        <v>-3.824039680597878E-2</v>
      </c>
      <c r="AU31" s="992"/>
      <c r="AV31" s="1068">
        <v>172959</v>
      </c>
      <c r="AW31" s="1068">
        <v>179836</v>
      </c>
      <c r="AX31" s="1068">
        <v>178669</v>
      </c>
      <c r="AY31" s="1068">
        <v>88655</v>
      </c>
      <c r="AZ31" s="1068">
        <v>78548</v>
      </c>
      <c r="BA31" s="1068">
        <v>72921</v>
      </c>
      <c r="BB31" s="1068">
        <v>70895</v>
      </c>
      <c r="BC31" s="1068">
        <v>88719</v>
      </c>
      <c r="BD31" s="1068">
        <v>125171</v>
      </c>
      <c r="BE31" s="1069">
        <v>105485</v>
      </c>
      <c r="BF31" s="1069">
        <v>67435</v>
      </c>
      <c r="BG31" s="1019">
        <v>154490</v>
      </c>
      <c r="BH31" s="943"/>
      <c r="BJ31" s="943"/>
      <c r="BK31" s="943"/>
      <c r="BL31" s="943"/>
      <c r="BM31" s="943"/>
    </row>
    <row r="32" spans="1:65" s="1074" customFormat="1" ht="24.95" customHeight="1" thickBot="1" x14ac:dyDescent="0.25">
      <c r="A32" s="1491" t="s">
        <v>188</v>
      </c>
      <c r="B32" s="1492"/>
      <c r="C32" s="1012">
        <v>-27288</v>
      </c>
      <c r="D32" s="1013">
        <v>-2.2392909896602657</v>
      </c>
      <c r="E32" s="1257"/>
      <c r="F32" s="1296">
        <v>-15102</v>
      </c>
      <c r="G32" s="1296">
        <v>-14406</v>
      </c>
      <c r="H32" s="1296">
        <v>7990</v>
      </c>
      <c r="I32" s="1295">
        <v>4501</v>
      </c>
      <c r="J32" s="1296">
        <v>12186</v>
      </c>
      <c r="K32" s="1296">
        <v>14792</v>
      </c>
      <c r="L32" s="1296">
        <v>376</v>
      </c>
      <c r="M32" s="1295">
        <v>5117</v>
      </c>
      <c r="N32" s="1296">
        <v>-5182</v>
      </c>
      <c r="O32" s="1296">
        <v>-2322</v>
      </c>
      <c r="P32" s="1296">
        <v>-1355</v>
      </c>
      <c r="Q32" s="1295">
        <v>-11756</v>
      </c>
      <c r="R32" s="1296">
        <v>-27669</v>
      </c>
      <c r="S32" s="1296">
        <v>-1003</v>
      </c>
      <c r="T32" s="1296">
        <v>-3956</v>
      </c>
      <c r="U32" s="1295">
        <v>-4834</v>
      </c>
      <c r="V32" s="1296">
        <v>9340</v>
      </c>
      <c r="W32" s="1296">
        <v>2955</v>
      </c>
      <c r="X32" s="1223">
        <v>1443</v>
      </c>
      <c r="Y32" s="1295" t="e">
        <v>#REF!</v>
      </c>
      <c r="Z32" s="1223" t="e">
        <v>#REF!</v>
      </c>
      <c r="AA32" s="1296" t="e">
        <v>#REF!</v>
      </c>
      <c r="AB32" s="1223" t="e">
        <v>#REF!</v>
      </c>
      <c r="AC32" s="1295" t="e">
        <v>#REF!</v>
      </c>
      <c r="AD32" s="1296" t="e">
        <v>#REF!</v>
      </c>
      <c r="AE32" s="1296" t="e">
        <v>#REF!</v>
      </c>
      <c r="AF32" s="1296" t="e">
        <v>#REF!</v>
      </c>
      <c r="AG32" s="1295" t="e">
        <v>#REF!</v>
      </c>
      <c r="AH32" s="1296" t="e">
        <v>#REF!</v>
      </c>
      <c r="AI32" s="1287" t="s">
        <v>186</v>
      </c>
      <c r="AJ32" s="1286" t="s">
        <v>186</v>
      </c>
      <c r="AK32" s="1287"/>
      <c r="AL32" s="1287"/>
      <c r="AM32" s="1287"/>
      <c r="AN32" s="1287"/>
      <c r="AO32" s="1287"/>
      <c r="AP32" s="1254"/>
      <c r="AQ32" s="1361">
        <v>-1915</v>
      </c>
      <c r="AR32" s="1296">
        <v>20285</v>
      </c>
      <c r="AS32" s="1327">
        <v>-49488</v>
      </c>
      <c r="AT32" s="1013">
        <v>-1.5240676295771611</v>
      </c>
      <c r="AU32" s="992"/>
      <c r="AV32" s="1331">
        <v>-17017</v>
      </c>
      <c r="AW32" s="1018">
        <v>32471</v>
      </c>
      <c r="AX32" s="1331">
        <v>-20615</v>
      </c>
      <c r="AY32" s="1331">
        <v>-37462</v>
      </c>
      <c r="AZ32" s="1018">
        <v>14129</v>
      </c>
      <c r="BA32" s="1018">
        <v>9533</v>
      </c>
      <c r="BB32" s="1018">
        <v>2031</v>
      </c>
      <c r="BC32" s="1071">
        <v>29613</v>
      </c>
      <c r="BD32" s="1071" t="e">
        <v>#REF!</v>
      </c>
      <c r="BE32" s="1019" t="e">
        <v>#REF!</v>
      </c>
      <c r="BF32" s="1019" t="e">
        <v>#REF!</v>
      </c>
      <c r="BG32" s="1072"/>
      <c r="BH32" s="1073"/>
      <c r="BJ32" s="1073"/>
      <c r="BK32" s="1073"/>
      <c r="BL32" s="1073"/>
      <c r="BM32" s="1073"/>
    </row>
    <row r="33" spans="1:65" s="1074" customFormat="1" ht="12.75" customHeight="1" thickTop="1" x14ac:dyDescent="0.2">
      <c r="A33" s="1075"/>
      <c r="B33" s="1076" t="s">
        <v>380</v>
      </c>
      <c r="C33" s="1012">
        <v>1390</v>
      </c>
      <c r="D33" s="1070">
        <v>0.90612777053455018</v>
      </c>
      <c r="E33" s="1001"/>
      <c r="F33" s="1327">
        <v>-144</v>
      </c>
      <c r="G33" s="1249">
        <v>-38</v>
      </c>
      <c r="H33" s="1249">
        <v>-205</v>
      </c>
      <c r="I33" s="930">
        <v>-215</v>
      </c>
      <c r="J33" s="1327">
        <v>-1534</v>
      </c>
      <c r="K33" s="1249">
        <v>-1276</v>
      </c>
      <c r="L33" s="1249">
        <v>-840</v>
      </c>
      <c r="M33" s="930">
        <v>-583</v>
      </c>
      <c r="N33" s="1327">
        <v>-1769</v>
      </c>
      <c r="O33" s="1327">
        <v>-1743</v>
      </c>
      <c r="P33" s="1327">
        <v>-2014</v>
      </c>
      <c r="Q33" s="930">
        <v>-1210</v>
      </c>
      <c r="R33" s="1365">
        <v>0</v>
      </c>
      <c r="S33" s="1365">
        <v>0</v>
      </c>
      <c r="T33" s="1366">
        <v>0</v>
      </c>
      <c r="U33" s="749">
        <v>0</v>
      </c>
      <c r="V33" s="1327">
        <v>0</v>
      </c>
      <c r="W33" s="750"/>
      <c r="X33" s="1327"/>
      <c r="Y33" s="749"/>
      <c r="Z33" s="1327"/>
      <c r="AA33" s="750"/>
      <c r="AB33" s="1327"/>
      <c r="AC33" s="749"/>
      <c r="AD33" s="750"/>
      <c r="AE33" s="750"/>
      <c r="AF33" s="750"/>
      <c r="AG33" s="749"/>
      <c r="AH33" s="750"/>
      <c r="AI33" s="717"/>
      <c r="AJ33" s="1332"/>
      <c r="AK33" s="717"/>
      <c r="AL33" s="717"/>
      <c r="AM33" s="717"/>
      <c r="AN33" s="717"/>
      <c r="AO33" s="717"/>
      <c r="AP33" s="1333"/>
      <c r="AQ33" s="1327">
        <v>-458</v>
      </c>
      <c r="AR33" s="1327">
        <v>-2699</v>
      </c>
      <c r="AS33" s="1327">
        <v>3631</v>
      </c>
      <c r="AT33" s="1013">
        <v>0.85778407748641627</v>
      </c>
      <c r="AU33" s="1363"/>
      <c r="AV33" s="1331">
        <v>-602</v>
      </c>
      <c r="AW33" s="1331">
        <v>-4233</v>
      </c>
      <c r="AX33" s="1327">
        <v>-6736</v>
      </c>
      <c r="AY33" s="1331">
        <v>0</v>
      </c>
      <c r="AZ33" s="1362">
        <v>0</v>
      </c>
      <c r="BA33" s="1362">
        <v>0</v>
      </c>
      <c r="BB33" s="1362">
        <v>0</v>
      </c>
      <c r="BC33" s="1011"/>
      <c r="BD33" s="1028"/>
      <c r="BE33" s="1078"/>
      <c r="BF33" s="1025"/>
      <c r="BG33" s="1036"/>
      <c r="BH33" s="1073"/>
      <c r="BJ33" s="1073"/>
      <c r="BK33" s="1073"/>
      <c r="BL33" s="1073"/>
      <c r="BM33" s="1073"/>
    </row>
    <row r="34" spans="1:65" s="1074" customFormat="1" ht="18.75" customHeight="1" thickBot="1" x14ac:dyDescent="0.25">
      <c r="A34" s="1491" t="s">
        <v>77</v>
      </c>
      <c r="B34" s="1493"/>
      <c r="C34" s="1079">
        <v>-28678</v>
      </c>
      <c r="D34" s="1227">
        <v>-2.0902332361516036</v>
      </c>
      <c r="E34" s="1001"/>
      <c r="F34" s="653">
        <v>-14958</v>
      </c>
      <c r="G34" s="653">
        <v>-14368</v>
      </c>
      <c r="H34" s="1080">
        <v>8195</v>
      </c>
      <c r="I34" s="1081">
        <v>4716</v>
      </c>
      <c r="J34" s="1080">
        <v>13720</v>
      </c>
      <c r="K34" s="1080">
        <v>16068</v>
      </c>
      <c r="L34" s="1080">
        <v>1216</v>
      </c>
      <c r="M34" s="1081">
        <v>5700</v>
      </c>
      <c r="N34" s="653">
        <v>-3413</v>
      </c>
      <c r="O34" s="653">
        <v>-579</v>
      </c>
      <c r="P34" s="653">
        <v>659</v>
      </c>
      <c r="Q34" s="1325">
        <v>-10546</v>
      </c>
      <c r="R34" s="653">
        <v>-27669</v>
      </c>
      <c r="S34" s="653">
        <v>-1003</v>
      </c>
      <c r="T34" s="653">
        <v>-3956</v>
      </c>
      <c r="U34" s="1325">
        <v>-4834</v>
      </c>
      <c r="V34" s="653">
        <v>9340</v>
      </c>
      <c r="W34" s="653"/>
      <c r="X34" s="653"/>
      <c r="Y34" s="1325"/>
      <c r="Z34" s="653"/>
      <c r="AA34" s="653"/>
      <c r="AB34" s="653"/>
      <c r="AC34" s="1325"/>
      <c r="AD34" s="653"/>
      <c r="AE34" s="653"/>
      <c r="AF34" s="653"/>
      <c r="AG34" s="1325"/>
      <c r="AH34" s="653"/>
      <c r="AI34" s="1334"/>
      <c r="AJ34" s="1335"/>
      <c r="AK34" s="1334"/>
      <c r="AL34" s="1334"/>
      <c r="AM34" s="1334"/>
      <c r="AN34" s="1334"/>
      <c r="AO34" s="1334"/>
      <c r="AP34" s="1333"/>
      <c r="AQ34" s="653">
        <v>-1457</v>
      </c>
      <c r="AR34" s="653">
        <v>22984</v>
      </c>
      <c r="AS34" s="653">
        <v>-53119</v>
      </c>
      <c r="AT34" s="1227">
        <v>-1.447226460331299</v>
      </c>
      <c r="AU34" s="1077"/>
      <c r="AV34" s="1329">
        <v>-16415</v>
      </c>
      <c r="AW34" s="1329">
        <v>36704</v>
      </c>
      <c r="AX34" s="1329">
        <v>-13879</v>
      </c>
      <c r="AY34" s="1329">
        <v>-37462</v>
      </c>
      <c r="AZ34" s="1082">
        <v>14129</v>
      </c>
      <c r="BA34" s="1082">
        <v>9533</v>
      </c>
      <c r="BB34" s="1082">
        <v>2031</v>
      </c>
      <c r="BC34" s="1082"/>
      <c r="BD34" s="1081"/>
      <c r="BE34" s="1083"/>
      <c r="BF34" s="1019"/>
      <c r="BG34" s="1036"/>
      <c r="BH34" s="1073"/>
      <c r="BJ34" s="1073"/>
      <c r="BK34" s="1073"/>
      <c r="BL34" s="1073"/>
      <c r="BM34" s="1073"/>
    </row>
    <row r="35" spans="1:65" ht="12.75" customHeight="1" thickTop="1" x14ac:dyDescent="0.2">
      <c r="A35" s="1058"/>
      <c r="B35" s="1058"/>
      <c r="C35" s="1036"/>
      <c r="D35" s="1084"/>
      <c r="E35" s="1084"/>
      <c r="F35" s="1084"/>
      <c r="G35" s="1085"/>
      <c r="H35" s="1085"/>
      <c r="I35" s="992"/>
      <c r="J35" s="1084"/>
      <c r="K35" s="1085"/>
      <c r="L35" s="1085"/>
      <c r="M35" s="992"/>
      <c r="N35" s="1084"/>
      <c r="O35" s="1085"/>
      <c r="P35" s="1085"/>
      <c r="Q35" s="992"/>
      <c r="R35" s="1084"/>
      <c r="S35" s="1084"/>
      <c r="T35" s="1085"/>
      <c r="U35" s="992"/>
      <c r="V35" s="1084"/>
      <c r="W35" s="1084"/>
      <c r="X35" s="1084"/>
      <c r="Y35" s="992"/>
      <c r="Z35" s="1084"/>
      <c r="AA35" s="1084"/>
      <c r="AB35" s="1084"/>
      <c r="AC35" s="992"/>
      <c r="AD35" s="1084"/>
      <c r="AE35" s="1084"/>
      <c r="AF35" s="1084"/>
      <c r="AG35" s="992"/>
      <c r="AH35" s="996"/>
      <c r="AI35" s="996"/>
      <c r="AJ35" s="996"/>
      <c r="AK35" s="996"/>
      <c r="AL35" s="1086"/>
      <c r="AM35" s="1086"/>
      <c r="AN35" s="1086"/>
      <c r="AO35" s="1086"/>
      <c r="AP35" s="992"/>
      <c r="AQ35" s="992"/>
      <c r="AR35" s="992"/>
      <c r="AS35" s="1010"/>
      <c r="AT35" s="1084"/>
      <c r="AU35" s="992"/>
      <c r="AV35" s="992"/>
      <c r="AW35" s="992"/>
      <c r="AX35" s="992"/>
      <c r="AY35" s="992"/>
      <c r="AZ35" s="992"/>
      <c r="BA35" s="992"/>
      <c r="BB35" s="992"/>
      <c r="BC35" s="1036"/>
      <c r="BD35" s="1036"/>
      <c r="BE35" s="1036"/>
      <c r="BF35" s="1036"/>
      <c r="BG35" s="1036"/>
      <c r="BH35" s="943"/>
      <c r="BJ35" s="943"/>
      <c r="BK35" s="943"/>
      <c r="BL35" s="943"/>
      <c r="BM35" s="943"/>
    </row>
    <row r="36" spans="1:65" ht="12.75" customHeight="1" x14ac:dyDescent="0.2">
      <c r="A36" s="1058" t="s">
        <v>335</v>
      </c>
      <c r="B36" s="1058"/>
      <c r="C36" s="1087">
        <v>19.93016631962103</v>
      </c>
      <c r="D36" s="1084"/>
      <c r="E36" s="1084"/>
      <c r="F36" s="1088">
        <v>0.68544333316059491</v>
      </c>
      <c r="G36" s="1088">
        <v>0.74738308289718047</v>
      </c>
      <c r="H36" s="1088">
        <v>0.49979554283377631</v>
      </c>
      <c r="I36" s="1088">
        <v>0.47861261341795913</v>
      </c>
      <c r="J36" s="1088">
        <v>0.48614166996438463</v>
      </c>
      <c r="K36" s="1088">
        <v>0.44966289740819093</v>
      </c>
      <c r="L36" s="1088">
        <v>0.47405440655859882</v>
      </c>
      <c r="M36" s="1088">
        <v>0.3903282372990195</v>
      </c>
      <c r="N36" s="1088">
        <v>0.51729891113452753</v>
      </c>
      <c r="O36" s="1088">
        <v>0.4661679623937805</v>
      </c>
      <c r="P36" s="1088">
        <v>0.54068248193882251</v>
      </c>
      <c r="Q36" s="1088">
        <v>0.40616016427104723</v>
      </c>
      <c r="R36" s="1088">
        <v>0.81279895272141378</v>
      </c>
      <c r="S36" s="1088">
        <v>0.42014433636648885</v>
      </c>
      <c r="T36" s="1088">
        <v>0.6003426857999572</v>
      </c>
      <c r="U36" s="1088">
        <v>0.54996755353666449</v>
      </c>
      <c r="V36" s="1084"/>
      <c r="W36" s="1084"/>
      <c r="X36" s="1084"/>
      <c r="Y36" s="992"/>
      <c r="Z36" s="1084"/>
      <c r="AA36" s="1084"/>
      <c r="AB36" s="1084"/>
      <c r="AC36" s="992"/>
      <c r="AD36" s="1084"/>
      <c r="AE36" s="1084"/>
      <c r="AF36" s="1084"/>
      <c r="AG36" s="992"/>
      <c r="AH36" s="996"/>
      <c r="AI36" s="996"/>
      <c r="AJ36" s="996"/>
      <c r="AK36" s="996"/>
      <c r="AL36" s="1086"/>
      <c r="AM36" s="1086"/>
      <c r="AN36" s="1086"/>
      <c r="AO36" s="1086"/>
      <c r="AP36" s="992"/>
      <c r="AQ36" s="1088">
        <v>0.54170501414595906</v>
      </c>
      <c r="AR36" s="1088">
        <v>0.4405761338948046</v>
      </c>
      <c r="AS36" s="1087">
        <v>12.3143917628468</v>
      </c>
      <c r="AT36" s="1084"/>
      <c r="AU36" s="992"/>
      <c r="AV36" s="1088">
        <v>0.57727873183619549</v>
      </c>
      <c r="AW36" s="1088">
        <v>0.4541348142077275</v>
      </c>
      <c r="AX36" s="1088">
        <v>0.48821288926569401</v>
      </c>
      <c r="AY36" s="1088">
        <v>0.62879690582696857</v>
      </c>
      <c r="AZ36" s="1088">
        <v>0.49136247396873012</v>
      </c>
      <c r="BA36" s="1088">
        <v>0.5158633904965193</v>
      </c>
      <c r="BB36" s="1088">
        <v>0.46644543784109921</v>
      </c>
      <c r="BC36" s="1036"/>
      <c r="BD36" s="1036"/>
      <c r="BE36" s="1036"/>
      <c r="BF36" s="1036"/>
      <c r="BG36" s="1036"/>
      <c r="BH36" s="943"/>
      <c r="BJ36" s="943"/>
      <c r="BK36" s="943"/>
      <c r="BL36" s="943"/>
      <c r="BM36" s="943"/>
    </row>
    <row r="37" spans="1:65" x14ac:dyDescent="0.2">
      <c r="A37" s="1058" t="s">
        <v>385</v>
      </c>
      <c r="C37" s="1087">
        <v>0.8230203402670756</v>
      </c>
      <c r="F37" s="1088">
        <v>4.881587811576929E-2</v>
      </c>
      <c r="G37" s="1088">
        <v>9.859868309978051E-2</v>
      </c>
      <c r="H37" s="1088">
        <v>5.2586383152729503E-2</v>
      </c>
      <c r="I37" s="1088">
        <v>7.6051490636034502E-2</v>
      </c>
      <c r="J37" s="1088">
        <v>4.0585674713098534E-2</v>
      </c>
      <c r="K37" s="1088">
        <v>6.0130579694705283E-2</v>
      </c>
      <c r="L37" s="1088">
        <v>2.5270169554686046E-2</v>
      </c>
      <c r="M37" s="1088">
        <v>5.7373607646521274E-2</v>
      </c>
      <c r="N37" s="1088">
        <v>7.3674042852125046E-2</v>
      </c>
      <c r="O37" s="1088">
        <v>7.4873440607485089E-2</v>
      </c>
      <c r="P37" s="1088">
        <v>7.928984987446841E-2</v>
      </c>
      <c r="Q37" s="1088">
        <v>0.22501711156741958</v>
      </c>
      <c r="R37" s="1088">
        <v>-8.8666230300589094E-2</v>
      </c>
      <c r="S37" s="1088">
        <v>8.417006589268905E-2</v>
      </c>
      <c r="T37" s="1088">
        <v>9.1561362176054831E-2</v>
      </c>
      <c r="U37" s="1088">
        <v>0.12156608263032663</v>
      </c>
      <c r="AQ37" s="1088">
        <v>7.0823533421958615E-2</v>
      </c>
      <c r="AR37" s="1088">
        <v>4.9345546227503152E-2</v>
      </c>
      <c r="AS37" s="1087">
        <v>1.8637950362428741</v>
      </c>
      <c r="AV37" s="1088">
        <v>6.537687088789422E-2</v>
      </c>
      <c r="AW37" s="1088">
        <v>4.673892052546548E-2</v>
      </c>
      <c r="AX37" s="1088">
        <v>0.10337606134612221</v>
      </c>
      <c r="AY37" s="1088">
        <v>2.5218291563299671E-2</v>
      </c>
      <c r="AZ37" s="1088">
        <v>2.5669799410857064E-2</v>
      </c>
      <c r="BA37" s="1088">
        <v>4.1720231886870254E-2</v>
      </c>
      <c r="BB37" s="1088">
        <v>2.6931409922387076E-2</v>
      </c>
    </row>
    <row r="38" spans="1:65" ht="12.75" customHeight="1" x14ac:dyDescent="0.2">
      <c r="A38" s="1089" t="s">
        <v>79</v>
      </c>
      <c r="B38" s="1090"/>
      <c r="C38" s="1087">
        <v>20.753186659888101</v>
      </c>
      <c r="D38" s="1084"/>
      <c r="E38" s="1084"/>
      <c r="F38" s="1088">
        <v>0.73425921127636418</v>
      </c>
      <c r="G38" s="1088">
        <v>0.84598176599696095</v>
      </c>
      <c r="H38" s="1088">
        <v>0.55238192598650582</v>
      </c>
      <c r="I38" s="1088">
        <v>0.55466410405399369</v>
      </c>
      <c r="J38" s="1088">
        <v>0.52672734467748317</v>
      </c>
      <c r="K38" s="1088">
        <v>0.50979347710289624</v>
      </c>
      <c r="L38" s="1088">
        <v>0.4993245761132849</v>
      </c>
      <c r="M38" s="1088">
        <v>0.44770184494554077</v>
      </c>
      <c r="N38" s="1088">
        <v>0.59097295398665262</v>
      </c>
      <c r="O38" s="1088">
        <v>0.54104140300126558</v>
      </c>
      <c r="P38" s="1088">
        <v>0.61997233181329092</v>
      </c>
      <c r="Q38" s="1088">
        <v>0.63117727583846683</v>
      </c>
      <c r="R38" s="1088">
        <v>0.72413272242082471</v>
      </c>
      <c r="S38" s="1088">
        <v>0.5043144022591779</v>
      </c>
      <c r="T38" s="1088">
        <v>0.69190404797601202</v>
      </c>
      <c r="U38" s="1088">
        <v>0.67153363616699113</v>
      </c>
      <c r="V38" s="1088">
        <v>0.49943568224569529</v>
      </c>
      <c r="W38" s="1088">
        <v>0.55567933501863831</v>
      </c>
      <c r="X38" s="1088">
        <v>0.52633875013632891</v>
      </c>
      <c r="Y38" s="1088" t="e">
        <v>#DIV/0!</v>
      </c>
      <c r="Z38" s="1088">
        <v>0.51723611026220895</v>
      </c>
      <c r="AA38" s="1088">
        <v>0.53841046875272991</v>
      </c>
      <c r="AB38" s="1088">
        <v>0.56449056603773584</v>
      </c>
      <c r="AC38" s="1088">
        <v>0.57280228921275034</v>
      </c>
      <c r="AD38" s="1088" t="e">
        <v>#DIV/0!</v>
      </c>
      <c r="AE38" s="1088" t="e">
        <v>#DIV/0!</v>
      </c>
      <c r="AF38" s="1088" t="e">
        <v>#DIV/0!</v>
      </c>
      <c r="AG38" s="1088" t="e">
        <v>#DIV/0!</v>
      </c>
      <c r="AH38" s="1088" t="e">
        <v>#DIV/0!</v>
      </c>
      <c r="AI38" s="1091">
        <v>0.52900000000000003</v>
      </c>
      <c r="AJ38" s="1091">
        <v>0.47399999999999998</v>
      </c>
      <c r="AK38" s="1091">
        <v>0.49199999999999999</v>
      </c>
      <c r="AL38" s="1091">
        <v>0.54400000000000004</v>
      </c>
      <c r="AM38" s="1091">
        <v>0.50800000000000001</v>
      </c>
      <c r="AN38" s="1091">
        <v>0.48699999999999999</v>
      </c>
      <c r="AO38" s="1091">
        <v>0.52700000000000002</v>
      </c>
      <c r="AP38" s="992"/>
      <c r="AQ38" s="1088">
        <v>0.61252854756791764</v>
      </c>
      <c r="AR38" s="1088">
        <v>0.48992168012230775</v>
      </c>
      <c r="AS38" s="1087">
        <v>14.178186799089676</v>
      </c>
      <c r="AT38" s="1084"/>
      <c r="AU38" s="992"/>
      <c r="AV38" s="1088">
        <v>0.64265560272408973</v>
      </c>
      <c r="AW38" s="1088">
        <v>0.50087373473319297</v>
      </c>
      <c r="AX38" s="1088">
        <v>0.59158895061181627</v>
      </c>
      <c r="AY38" s="1088">
        <v>0.65401519739026825</v>
      </c>
      <c r="AZ38" s="1088">
        <v>0.51703227337958713</v>
      </c>
      <c r="BA38" s="1088">
        <v>0.55758362238338954</v>
      </c>
      <c r="BB38" s="1091">
        <v>0.49337684776348628</v>
      </c>
      <c r="BC38" s="1091">
        <v>0.51784808842916541</v>
      </c>
      <c r="BD38" s="1091">
        <v>0.52591676352352823</v>
      </c>
      <c r="BE38" s="1092">
        <v>0.54668040140891871</v>
      </c>
      <c r="BF38" s="1092">
        <v>0.49978547284923452</v>
      </c>
      <c r="BG38" s="1092">
        <v>0.56799999999999995</v>
      </c>
      <c r="BH38" s="943"/>
      <c r="BJ38" s="943"/>
      <c r="BK38" s="943"/>
      <c r="BL38" s="943"/>
      <c r="BM38" s="943"/>
    </row>
    <row r="39" spans="1:65" ht="12.75" customHeight="1" x14ac:dyDescent="0.2">
      <c r="A39" s="727" t="s">
        <v>217</v>
      </c>
      <c r="B39" s="1090"/>
      <c r="C39" s="1087">
        <v>17.853898567082492</v>
      </c>
      <c r="D39" s="1084"/>
      <c r="E39" s="1084"/>
      <c r="F39" s="1088">
        <v>0.7734103746696378</v>
      </c>
      <c r="G39" s="1088">
        <v>0.92372952895492144</v>
      </c>
      <c r="H39" s="1088">
        <v>0.59016561030464121</v>
      </c>
      <c r="I39" s="1088">
        <v>0.59569570464399058</v>
      </c>
      <c r="J39" s="1088">
        <v>0.59487138899881287</v>
      </c>
      <c r="K39" s="1088">
        <v>0.57817279741884431</v>
      </c>
      <c r="L39" s="1088">
        <v>0.58582541457052362</v>
      </c>
      <c r="M39" s="1088">
        <v>0.55042110202771122</v>
      </c>
      <c r="N39" s="1088">
        <v>0.67935546188970841</v>
      </c>
      <c r="O39" s="1088">
        <v>0.63074037244621228</v>
      </c>
      <c r="P39" s="1088">
        <v>0.70912537787569807</v>
      </c>
      <c r="Q39" s="1088">
        <v>0.77210814510609171</v>
      </c>
      <c r="R39" s="1088">
        <v>0.81169125421680677</v>
      </c>
      <c r="S39" s="1088">
        <v>0.60260433009099468</v>
      </c>
      <c r="T39" s="1088">
        <v>0.8218033840222746</v>
      </c>
      <c r="U39" s="1088">
        <v>0.80856586632057104</v>
      </c>
      <c r="V39" s="1088">
        <v>0.53555201852119805</v>
      </c>
      <c r="W39" s="1088">
        <v>0.61150863361755003</v>
      </c>
      <c r="X39" s="1088">
        <v>0.59477587523175923</v>
      </c>
      <c r="Y39" s="1088" t="e">
        <v>#DIV/0!</v>
      </c>
      <c r="Z39" s="1088">
        <v>0.53972862294480772</v>
      </c>
      <c r="AA39" s="1088">
        <v>0.55773363383825147</v>
      </c>
      <c r="AB39" s="1088">
        <v>0.58128301886792455</v>
      </c>
      <c r="AC39" s="1088">
        <v>0.58840753310707394</v>
      </c>
      <c r="AD39" s="1088" t="e">
        <v>#DIV/0!</v>
      </c>
      <c r="AE39" s="1088" t="e">
        <v>#DIV/0!</v>
      </c>
      <c r="AF39" s="1088" t="e">
        <v>#DIV/0!</v>
      </c>
      <c r="AG39" s="1088" t="e">
        <v>#DIV/0!</v>
      </c>
      <c r="AH39" s="1088" t="e">
        <v>#DIV/0!</v>
      </c>
      <c r="AI39" s="1091">
        <v>0.55900000000000005</v>
      </c>
      <c r="AJ39" s="1091">
        <v>0.51</v>
      </c>
      <c r="AK39" s="1091">
        <v>0.51700000000000002</v>
      </c>
      <c r="AL39" s="1091">
        <v>0.56399999999999995</v>
      </c>
      <c r="AM39" s="1091">
        <v>0.53900000000000003</v>
      </c>
      <c r="AN39" s="1091">
        <v>0.51100000000000001</v>
      </c>
      <c r="AO39" s="1091">
        <v>0.55300000000000005</v>
      </c>
      <c r="AP39" s="992"/>
      <c r="AQ39" s="1088">
        <v>0.65961925213893713</v>
      </c>
      <c r="AR39" s="1088">
        <v>0.57284150953517687</v>
      </c>
      <c r="AS39" s="1087">
        <v>10.838453773252155</v>
      </c>
      <c r="AT39" s="1084"/>
      <c r="AU39" s="992"/>
      <c r="AV39" s="1088">
        <v>0.68778135460619971</v>
      </c>
      <c r="AW39" s="1088">
        <v>0.57939681687367817</v>
      </c>
      <c r="AX39" s="1088">
        <v>0.69024510610297751</v>
      </c>
      <c r="AY39" s="1088">
        <v>0.76090481120465692</v>
      </c>
      <c r="AZ39" s="1088">
        <v>0.5715010196704684</v>
      </c>
      <c r="BA39" s="1088">
        <v>0.63574841729934262</v>
      </c>
      <c r="BB39" s="1091">
        <v>0.56965965499273241</v>
      </c>
      <c r="BC39" s="1091">
        <v>0.55627387350843394</v>
      </c>
      <c r="BD39" s="1091">
        <v>0.53576417397980403</v>
      </c>
      <c r="BE39" s="1092">
        <v>0.56272346647172189</v>
      </c>
      <c r="BF39" s="1092">
        <v>0.56988875982377385</v>
      </c>
      <c r="BG39" s="1092">
        <v>0.627</v>
      </c>
      <c r="BH39" s="943"/>
      <c r="BJ39" s="943"/>
      <c r="BK39" s="943"/>
      <c r="BL39" s="943"/>
      <c r="BM39" s="943"/>
    </row>
    <row r="40" spans="1:65" ht="12.75" customHeight="1" x14ac:dyDescent="0.2">
      <c r="A40" s="1089" t="s">
        <v>80</v>
      </c>
      <c r="B40" s="1090"/>
      <c r="C40" s="1087">
        <v>40.565812036657981</v>
      </c>
      <c r="D40" s="1084"/>
      <c r="E40" s="1084"/>
      <c r="F40" s="1088">
        <v>0.61789397315644923</v>
      </c>
      <c r="G40" s="1088">
        <v>0.68432382238730372</v>
      </c>
      <c r="H40" s="1088">
        <v>0.24647311388264159</v>
      </c>
      <c r="I40" s="1088">
        <v>0.30371429848478076</v>
      </c>
      <c r="J40" s="1088">
        <v>0.21223585278986942</v>
      </c>
      <c r="K40" s="1088">
        <v>0.19670659138295768</v>
      </c>
      <c r="L40" s="1088">
        <v>0.40541736538103224</v>
      </c>
      <c r="M40" s="1088">
        <v>0.32319889352663689</v>
      </c>
      <c r="N40" s="1088">
        <v>0.434404636459431</v>
      </c>
      <c r="O40" s="1088">
        <v>0.42173657566443679</v>
      </c>
      <c r="P40" s="1088">
        <v>0.32558794896756671</v>
      </c>
      <c r="Q40" s="1088">
        <v>0.63021902806297059</v>
      </c>
      <c r="R40" s="1088">
        <v>1.5814410150546296</v>
      </c>
      <c r="S40" s="1088">
        <v>0.47607467838092249</v>
      </c>
      <c r="T40" s="1088">
        <v>0.60184193617476978</v>
      </c>
      <c r="U40" s="1088">
        <v>0.71425481289206139</v>
      </c>
      <c r="V40" s="1088">
        <v>0.1941542468528433</v>
      </c>
      <c r="W40" s="1088">
        <v>0.26187925789451133</v>
      </c>
      <c r="X40" s="1088">
        <v>0.32653506380194131</v>
      </c>
      <c r="Y40" s="1088" t="e">
        <v>#REF!</v>
      </c>
      <c r="Z40" s="1088">
        <v>0.30658272721716279</v>
      </c>
      <c r="AA40" s="1088">
        <v>0.10480982581197477</v>
      </c>
      <c r="AB40" s="1088">
        <v>0.15381132075471698</v>
      </c>
      <c r="AC40" s="1088">
        <v>0.14983030545018966</v>
      </c>
      <c r="AD40" s="1088" t="e">
        <v>#REF!</v>
      </c>
      <c r="AE40" s="1088" t="e">
        <v>#REF!</v>
      </c>
      <c r="AF40" s="1088" t="e">
        <v>#REF!</v>
      </c>
      <c r="AG40" s="1088" t="e">
        <v>#REF!</v>
      </c>
      <c r="AH40" s="1088" t="e">
        <v>#REF!</v>
      </c>
      <c r="AI40" s="1091">
        <v>0.23899999999999999</v>
      </c>
      <c r="AJ40" s="1091">
        <v>0.32199999999999995</v>
      </c>
      <c r="AK40" s="1091">
        <v>0.16900000000000004</v>
      </c>
      <c r="AL40" s="1091">
        <v>0.21100000000000008</v>
      </c>
      <c r="AM40" s="1091">
        <v>0.20399999999999996</v>
      </c>
      <c r="AN40" s="1091">
        <v>0.249</v>
      </c>
      <c r="AO40" s="1091">
        <v>0.17899999999999994</v>
      </c>
      <c r="AP40" s="992"/>
      <c r="AQ40" s="1088">
        <v>0.35669973071547872</v>
      </c>
      <c r="AR40" s="1088">
        <v>0.29113805219537053</v>
      </c>
      <c r="AS40" s="1087">
        <v>15.368298198030377</v>
      </c>
      <c r="AT40" s="1084"/>
      <c r="AU40" s="992"/>
      <c r="AV40" s="1088">
        <v>0.42134255043541829</v>
      </c>
      <c r="AW40" s="1088">
        <v>0.26765956845511452</v>
      </c>
      <c r="AX40" s="1088">
        <v>0.44018500006326949</v>
      </c>
      <c r="AY40" s="1088">
        <v>0.97087492430605749</v>
      </c>
      <c r="AZ40" s="1088">
        <v>0.27604475759897279</v>
      </c>
      <c r="BA40" s="1088">
        <v>0.24863560288160672</v>
      </c>
      <c r="BB40" s="1088">
        <v>0.4024901955406851</v>
      </c>
      <c r="BC40" s="1088">
        <v>0.19347260250819728</v>
      </c>
      <c r="BD40" s="1088">
        <v>0.13159381964363784</v>
      </c>
      <c r="BE40" s="1088">
        <v>0.13831328504020735</v>
      </c>
      <c r="BF40" s="1088">
        <v>0.13580091880408962</v>
      </c>
      <c r="BG40" s="1088">
        <v>0.10235740798458617</v>
      </c>
      <c r="BH40" s="943"/>
      <c r="BJ40" s="943"/>
      <c r="BK40" s="943"/>
      <c r="BL40" s="943"/>
      <c r="BM40" s="943"/>
    </row>
    <row r="41" spans="1:65" ht="12.75" customHeight="1" x14ac:dyDescent="0.2">
      <c r="A41" s="1089" t="s">
        <v>81</v>
      </c>
      <c r="B41" s="1089"/>
      <c r="C41" s="1087">
        <v>58.419710603740469</v>
      </c>
      <c r="D41" s="1084"/>
      <c r="E41" s="1084"/>
      <c r="F41" s="1088">
        <v>1.3913043478260869</v>
      </c>
      <c r="G41" s="1088">
        <v>1.6080533513422253</v>
      </c>
      <c r="H41" s="1088">
        <v>0.8366387241872828</v>
      </c>
      <c r="I41" s="1088">
        <v>0.89941000312877128</v>
      </c>
      <c r="J41" s="1088">
        <v>0.80710724178868221</v>
      </c>
      <c r="K41" s="1088">
        <v>0.77487938880180196</v>
      </c>
      <c r="L41" s="1088">
        <v>0.99124277995155585</v>
      </c>
      <c r="M41" s="1088">
        <v>0.87361999555434811</v>
      </c>
      <c r="N41" s="1088">
        <v>1.1137600983491394</v>
      </c>
      <c r="O41" s="1088">
        <v>1.0524769481106491</v>
      </c>
      <c r="P41" s="1088">
        <v>1.0347133268432649</v>
      </c>
      <c r="Q41" s="1088">
        <v>1.4023271731690623</v>
      </c>
      <c r="R41" s="1088">
        <v>2.3931322692714363</v>
      </c>
      <c r="S41" s="1088">
        <v>1.0786790084719171</v>
      </c>
      <c r="T41" s="1088">
        <v>1.4236453201970443</v>
      </c>
      <c r="U41" s="1088">
        <v>1.5228206792126324</v>
      </c>
      <c r="V41" s="1088">
        <v>0.72970626537404137</v>
      </c>
      <c r="W41" s="1088">
        <v>0.87338789151206131</v>
      </c>
      <c r="X41" s="1088">
        <v>0.92131093903370054</v>
      </c>
      <c r="Y41" s="1088" t="e">
        <v>#DIV/0!</v>
      </c>
      <c r="Z41" s="1088">
        <v>0.84631135016197057</v>
      </c>
      <c r="AA41" s="1088">
        <v>0.66254345965022621</v>
      </c>
      <c r="AB41" s="1088">
        <v>0.73509433962264148</v>
      </c>
      <c r="AC41" s="1088">
        <v>0.73823783855726355</v>
      </c>
      <c r="AD41" s="1088" t="e">
        <v>#DIV/0!</v>
      </c>
      <c r="AE41" s="1088" t="e">
        <v>#DIV/0!</v>
      </c>
      <c r="AF41" s="1088" t="e">
        <v>#DIV/0!</v>
      </c>
      <c r="AG41" s="1088" t="e">
        <v>#DIV/0!</v>
      </c>
      <c r="AH41" s="1088" t="e">
        <v>#DIV/0!</v>
      </c>
      <c r="AI41" s="1091">
        <v>0.79800000000000004</v>
      </c>
      <c r="AJ41" s="1091">
        <v>0.83199999999999996</v>
      </c>
      <c r="AK41" s="1091">
        <v>0.68600000000000005</v>
      </c>
      <c r="AL41" s="1091">
        <v>0.77500000000000002</v>
      </c>
      <c r="AM41" s="1091">
        <v>0.74299999999999999</v>
      </c>
      <c r="AN41" s="1091">
        <v>0.76</v>
      </c>
      <c r="AO41" s="1091">
        <v>0.73199999999999998</v>
      </c>
      <c r="AP41" s="992"/>
      <c r="AQ41" s="1088">
        <v>1.0163189828544159</v>
      </c>
      <c r="AR41" s="1088">
        <v>0.86397956173054746</v>
      </c>
      <c r="AS41" s="1087">
        <v>26.206751971282515</v>
      </c>
      <c r="AT41" s="1084"/>
      <c r="AU41" s="992"/>
      <c r="AV41" s="1088">
        <v>1.109123905041618</v>
      </c>
      <c r="AW41" s="1088">
        <v>0.84705638532879279</v>
      </c>
      <c r="AX41" s="1088">
        <v>1.130430106166247</v>
      </c>
      <c r="AY41" s="1088">
        <v>1.7317797355107143</v>
      </c>
      <c r="AZ41" s="1088">
        <v>0.84754577726944114</v>
      </c>
      <c r="BA41" s="1088">
        <v>0.88438402018094942</v>
      </c>
      <c r="BB41" s="1091">
        <v>0.9721498505334174</v>
      </c>
      <c r="BC41" s="1091">
        <v>0.74974647601663114</v>
      </c>
      <c r="BD41" s="1091">
        <v>0.66735799362344184</v>
      </c>
      <c r="BE41" s="1092">
        <v>0.70103675151192923</v>
      </c>
      <c r="BF41" s="1092">
        <v>0.70568967862786336</v>
      </c>
      <c r="BG41" s="1092">
        <v>0.73</v>
      </c>
      <c r="BH41" s="943"/>
      <c r="BJ41" s="943"/>
      <c r="BK41" s="943"/>
      <c r="BL41" s="943"/>
      <c r="BM41" s="943"/>
    </row>
    <row r="42" spans="1:65" ht="12.75" customHeight="1" x14ac:dyDescent="0.2">
      <c r="A42" s="1089" t="s">
        <v>82</v>
      </c>
      <c r="B42" s="1089"/>
      <c r="C42" s="1087">
        <v>-58.419710603740469</v>
      </c>
      <c r="D42" s="1084"/>
      <c r="E42" s="1084"/>
      <c r="F42" s="1088">
        <v>-0.39130434782608697</v>
      </c>
      <c r="G42" s="1088">
        <v>-0.60805335134222527</v>
      </c>
      <c r="H42" s="1088">
        <v>0.16336127581271723</v>
      </c>
      <c r="I42" s="1088">
        <v>0.10058999687122872</v>
      </c>
      <c r="J42" s="1088">
        <v>0.19289275821131777</v>
      </c>
      <c r="K42" s="1088">
        <v>0.22512061119819807</v>
      </c>
      <c r="L42" s="1088">
        <v>8.7572200484441962E-3</v>
      </c>
      <c r="M42" s="1088">
        <v>0.12638000444565189</v>
      </c>
      <c r="N42" s="1088">
        <v>-0.11376009834913944</v>
      </c>
      <c r="O42" s="1088">
        <v>-5.2476948110649069E-2</v>
      </c>
      <c r="P42" s="1088">
        <v>-3.4713326843264843E-2</v>
      </c>
      <c r="Q42" s="1088">
        <v>-0.4023271731690623</v>
      </c>
      <c r="R42" s="1088">
        <v>-1.3931322692714365</v>
      </c>
      <c r="S42" s="1088">
        <v>-7.8679008471917167E-2</v>
      </c>
      <c r="T42" s="1088">
        <v>-0.42364532019704432</v>
      </c>
      <c r="U42" s="1088">
        <v>-0.52282067921263253</v>
      </c>
      <c r="V42" s="1088">
        <v>0.27029373462595863</v>
      </c>
      <c r="W42" s="1088">
        <v>0.12661210848793863</v>
      </c>
      <c r="X42" s="1088">
        <v>7.868906096629949E-2</v>
      </c>
      <c r="Y42" s="1088" t="e">
        <v>#REF!</v>
      </c>
      <c r="Z42" s="1088">
        <v>9.9993887904162332E-2</v>
      </c>
      <c r="AA42" s="1088">
        <v>0.31154672676765027</v>
      </c>
      <c r="AB42" s="1088">
        <v>0.2130566037735849</v>
      </c>
      <c r="AC42" s="1088">
        <v>0.21321621082052306</v>
      </c>
      <c r="AD42" s="1088" t="e">
        <v>#REF!</v>
      </c>
      <c r="AE42" s="1088" t="e">
        <v>#REF!</v>
      </c>
      <c r="AF42" s="1088" t="e">
        <v>#REF!</v>
      </c>
      <c r="AG42" s="1088" t="e">
        <v>#REF!</v>
      </c>
      <c r="AH42" s="1088" t="e">
        <v>#REF!</v>
      </c>
      <c r="AI42" s="1093" t="s">
        <v>186</v>
      </c>
      <c r="AJ42" s="1093" t="s">
        <v>186</v>
      </c>
      <c r="AK42" s="1084"/>
      <c r="AL42" s="1084"/>
      <c r="AM42" s="1084"/>
      <c r="AN42" s="1084"/>
      <c r="AO42" s="1084"/>
      <c r="AP42" s="1040"/>
      <c r="AQ42" s="1088">
        <v>-1.6318982854415926E-2</v>
      </c>
      <c r="AR42" s="1088">
        <v>0.13602043826945256</v>
      </c>
      <c r="AS42" s="1087">
        <v>-26.206751971282529</v>
      </c>
      <c r="AT42" s="1084"/>
      <c r="AU42" s="1040"/>
      <c r="AV42" s="1088">
        <v>-0.10912390504161804</v>
      </c>
      <c r="AW42" s="1088">
        <v>0.15294361467120726</v>
      </c>
      <c r="AX42" s="1088">
        <v>-0.13043010616624698</v>
      </c>
      <c r="AY42" s="1088">
        <v>-0.7317797355107144</v>
      </c>
      <c r="AZ42" s="1088">
        <v>0.15245422273055884</v>
      </c>
      <c r="BA42" s="1088">
        <v>0.11561597981905063</v>
      </c>
      <c r="BB42" s="1091">
        <v>2.7850149466582562E-2</v>
      </c>
      <c r="BC42" s="1091">
        <v>0.25025352398336881</v>
      </c>
      <c r="BD42" s="1091" t="e">
        <v>#REF!</v>
      </c>
      <c r="BE42" s="1092" t="e">
        <v>#REF!</v>
      </c>
      <c r="BF42" s="1092" t="e">
        <v>#REF!</v>
      </c>
      <c r="BG42" s="1092"/>
      <c r="BH42" s="943"/>
      <c r="BJ42" s="943"/>
      <c r="BK42" s="943"/>
      <c r="BL42" s="943"/>
      <c r="BM42" s="943"/>
    </row>
    <row r="43" spans="1:65" ht="12.75" customHeight="1" x14ac:dyDescent="0.2">
      <c r="A43" s="952"/>
      <c r="B43" s="952"/>
      <c r="C43" s="992"/>
      <c r="D43" s="992"/>
      <c r="E43" s="992"/>
      <c r="F43" s="992"/>
      <c r="G43" s="992"/>
      <c r="H43" s="992"/>
      <c r="I43" s="992"/>
      <c r="J43" s="992"/>
      <c r="K43" s="992"/>
      <c r="L43" s="992"/>
      <c r="M43" s="992"/>
      <c r="N43" s="992"/>
      <c r="O43" s="992"/>
      <c r="P43" s="992"/>
      <c r="Q43" s="992"/>
      <c r="R43" s="992"/>
      <c r="S43" s="992"/>
      <c r="T43" s="992"/>
      <c r="U43" s="992"/>
      <c r="V43" s="992"/>
      <c r="W43" s="992"/>
      <c r="X43" s="992"/>
      <c r="Y43" s="992"/>
      <c r="Z43" s="992"/>
      <c r="AA43" s="992"/>
      <c r="AB43" s="992"/>
      <c r="AC43" s="992"/>
      <c r="AD43" s="992"/>
      <c r="AE43" s="992"/>
      <c r="AF43" s="992"/>
      <c r="AG43" s="992"/>
      <c r="AH43" s="992"/>
      <c r="AI43" s="992"/>
      <c r="AJ43" s="992"/>
      <c r="AK43" s="992"/>
      <c r="AL43" s="992"/>
      <c r="AM43" s="992"/>
      <c r="AN43" s="992"/>
      <c r="AO43" s="992"/>
      <c r="AP43" s="992"/>
      <c r="AQ43" s="992"/>
      <c r="AR43" s="992"/>
      <c r="AS43" s="1096"/>
      <c r="AT43" s="1096"/>
      <c r="AU43" s="992"/>
      <c r="AV43" s="992"/>
      <c r="AW43" s="992"/>
      <c r="AX43" s="992"/>
      <c r="AY43" s="992"/>
      <c r="AZ43" s="992"/>
      <c r="BA43" s="992"/>
      <c r="BB43" s="992"/>
      <c r="BC43" s="992"/>
      <c r="BD43" s="992"/>
      <c r="BE43" s="1097"/>
      <c r="BF43" s="1097"/>
      <c r="BG43" s="1097"/>
      <c r="BH43" s="943"/>
      <c r="BJ43" s="943"/>
      <c r="BK43" s="943"/>
      <c r="BL43" s="943"/>
      <c r="BM43" s="943"/>
    </row>
    <row r="44" spans="1:65" ht="12.75" customHeight="1" x14ac:dyDescent="0.2">
      <c r="A44" s="1090" t="s">
        <v>94</v>
      </c>
      <c r="B44" s="1090"/>
      <c r="C44" s="750">
        <v>-43</v>
      </c>
      <c r="D44" s="1084">
        <v>-0.11559139784946236</v>
      </c>
      <c r="E44" s="1084"/>
      <c r="F44" s="750">
        <v>329</v>
      </c>
      <c r="G44" s="750">
        <v>373</v>
      </c>
      <c r="H44" s="750">
        <v>384</v>
      </c>
      <c r="I44" s="750">
        <v>372</v>
      </c>
      <c r="J44" s="750">
        <v>372</v>
      </c>
      <c r="K44" s="750">
        <v>361</v>
      </c>
      <c r="L44" s="750">
        <v>385</v>
      </c>
      <c r="M44" s="750">
        <v>388</v>
      </c>
      <c r="N44" s="750">
        <v>400</v>
      </c>
      <c r="O44" s="750">
        <v>424</v>
      </c>
      <c r="P44" s="750">
        <v>420</v>
      </c>
      <c r="Q44" s="750">
        <v>427</v>
      </c>
      <c r="R44" s="750">
        <v>461</v>
      </c>
      <c r="S44" s="750">
        <v>143</v>
      </c>
      <c r="T44" s="750">
        <v>152</v>
      </c>
      <c r="U44" s="750"/>
      <c r="V44" s="750"/>
      <c r="W44" s="750"/>
      <c r="X44" s="750"/>
      <c r="Y44" s="750"/>
      <c r="Z44" s="750"/>
      <c r="AA44" s="750"/>
      <c r="AB44" s="750"/>
      <c r="AC44" s="750"/>
      <c r="AD44" s="750"/>
      <c r="AE44" s="750"/>
      <c r="AF44" s="750"/>
      <c r="AG44" s="536"/>
      <c r="AH44" s="536"/>
      <c r="AI44" s="678"/>
      <c r="AJ44" s="678"/>
      <c r="AK44" s="678"/>
      <c r="AL44" s="536"/>
      <c r="AM44" s="536"/>
      <c r="AN44" s="536"/>
      <c r="AO44" s="536"/>
      <c r="AP44" s="536"/>
      <c r="AQ44" s="421">
        <v>373</v>
      </c>
      <c r="AR44" s="536">
        <v>361</v>
      </c>
      <c r="AS44" s="1010">
        <v>-43</v>
      </c>
      <c r="AT44" s="1084">
        <v>-0.11559139784946236</v>
      </c>
      <c r="AU44" s="992"/>
      <c r="AV44" s="421">
        <v>329</v>
      </c>
      <c r="AW44" s="421">
        <v>372</v>
      </c>
      <c r="AX44" s="421">
        <v>400</v>
      </c>
      <c r="AY44" s="421">
        <v>461</v>
      </c>
      <c r="AZ44" s="421">
        <v>143</v>
      </c>
      <c r="BA44" s="421">
        <v>138</v>
      </c>
      <c r="BB44" s="421">
        <v>105</v>
      </c>
      <c r="BC44" s="1091"/>
      <c r="BD44" s="1094"/>
      <c r="BE44" s="1095"/>
      <c r="BF44" s="1095"/>
      <c r="BG44" s="1095"/>
      <c r="BH44" s="943"/>
      <c r="BJ44" s="943"/>
      <c r="BK44" s="943"/>
      <c r="BL44" s="943"/>
      <c r="BM44" s="943"/>
    </row>
    <row r="45" spans="1:65" ht="12.75" customHeight="1" x14ac:dyDescent="0.2">
      <c r="A45" s="1090"/>
      <c r="B45" s="1090"/>
      <c r="C45" s="1087"/>
      <c r="D45" s="1084"/>
      <c r="E45" s="1084"/>
      <c r="F45" s="1084"/>
      <c r="G45" s="1084"/>
      <c r="H45" s="1084"/>
      <c r="I45" s="750"/>
      <c r="J45" s="1084"/>
      <c r="K45" s="1084"/>
      <c r="L45" s="1084"/>
      <c r="M45" s="750"/>
      <c r="N45" s="750"/>
      <c r="O45" s="750"/>
      <c r="P45" s="750"/>
      <c r="Q45" s="750"/>
      <c r="R45" s="750"/>
      <c r="S45" s="750"/>
      <c r="T45" s="750"/>
      <c r="U45" s="750"/>
      <c r="V45" s="750"/>
      <c r="W45" s="750"/>
      <c r="X45" s="750"/>
      <c r="Y45" s="750"/>
      <c r="Z45" s="750"/>
      <c r="AA45" s="750"/>
      <c r="AB45" s="750"/>
      <c r="AC45" s="750"/>
      <c r="AD45" s="750"/>
      <c r="AE45" s="750"/>
      <c r="AF45" s="750"/>
      <c r="AG45" s="536"/>
      <c r="AH45" s="536"/>
      <c r="AI45" s="678"/>
      <c r="AJ45" s="678"/>
      <c r="AK45" s="678"/>
      <c r="AL45" s="536"/>
      <c r="AM45" s="536"/>
      <c r="AN45" s="536"/>
      <c r="AO45" s="536"/>
      <c r="AP45" s="536"/>
      <c r="AQ45" s="536"/>
      <c r="AR45" s="536"/>
      <c r="AS45" s="1010"/>
      <c r="AT45" s="1084"/>
      <c r="AU45" s="992"/>
      <c r="AV45" s="421"/>
      <c r="AW45" s="421"/>
      <c r="AX45" s="421"/>
      <c r="AY45" s="421"/>
      <c r="AZ45" s="421"/>
      <c r="BA45" s="421"/>
      <c r="BB45" s="421"/>
      <c r="BC45" s="1091"/>
      <c r="BD45" s="1094"/>
      <c r="BE45" s="1095"/>
      <c r="BF45" s="1095"/>
      <c r="BG45" s="1095"/>
      <c r="BH45" s="943"/>
      <c r="BJ45" s="943"/>
      <c r="BK45" s="943"/>
      <c r="BL45" s="943"/>
      <c r="BM45" s="943"/>
    </row>
    <row r="46" spans="1:65" ht="18" customHeight="1" x14ac:dyDescent="0.2">
      <c r="A46" s="1098" t="s">
        <v>267</v>
      </c>
      <c r="B46" s="952"/>
      <c r="C46" s="996"/>
      <c r="D46" s="996"/>
      <c r="E46" s="992"/>
      <c r="F46" s="992"/>
      <c r="G46" s="992"/>
      <c r="H46" s="992"/>
      <c r="I46" s="992"/>
      <c r="J46" s="992"/>
      <c r="K46" s="992"/>
      <c r="L46" s="992"/>
      <c r="M46" s="992"/>
      <c r="N46" s="992"/>
      <c r="O46" s="992"/>
      <c r="P46" s="992"/>
      <c r="Q46" s="992"/>
      <c r="R46" s="992"/>
      <c r="S46" s="992"/>
      <c r="T46" s="992"/>
      <c r="U46" s="992"/>
      <c r="V46" s="992"/>
      <c r="W46" s="992"/>
      <c r="X46" s="992"/>
      <c r="Y46" s="992"/>
      <c r="Z46" s="992"/>
      <c r="AA46" s="992"/>
      <c r="AB46" s="992"/>
      <c r="AC46" s="992"/>
      <c r="AD46" s="992"/>
      <c r="AE46" s="992"/>
      <c r="AF46" s="992"/>
      <c r="AG46" s="992"/>
      <c r="AH46" s="992"/>
      <c r="AI46" s="992"/>
      <c r="AJ46" s="996"/>
      <c r="AK46" s="996"/>
      <c r="AL46" s="996"/>
      <c r="AM46" s="996"/>
      <c r="AN46" s="996"/>
      <c r="AO46" s="996"/>
      <c r="AP46" s="996"/>
      <c r="AQ46" s="996"/>
      <c r="AR46" s="996"/>
      <c r="AS46" s="1096"/>
      <c r="AT46" s="1096"/>
      <c r="AU46" s="996"/>
      <c r="AV46" s="996"/>
      <c r="AW46" s="996"/>
      <c r="AX46" s="996"/>
      <c r="AY46" s="996"/>
      <c r="AZ46" s="996"/>
      <c r="BA46" s="996"/>
      <c r="BB46" s="996"/>
      <c r="BC46" s="996"/>
      <c r="BD46" s="996"/>
      <c r="BE46" s="1099"/>
      <c r="BF46" s="1099"/>
      <c r="BG46" s="1099"/>
      <c r="BH46" s="943"/>
      <c r="BJ46" s="943"/>
      <c r="BK46" s="943"/>
      <c r="BL46" s="943"/>
      <c r="BM46" s="943"/>
    </row>
    <row r="47" spans="1:65" ht="12.75" customHeight="1" x14ac:dyDescent="0.2">
      <c r="A47" s="1100"/>
      <c r="B47" s="952"/>
      <c r="C47" s="996"/>
      <c r="D47" s="996"/>
      <c r="E47" s="992"/>
      <c r="F47" s="992"/>
      <c r="G47" s="1101"/>
      <c r="H47" s="1101"/>
      <c r="I47" s="992"/>
      <c r="J47" s="992"/>
      <c r="K47" s="1101"/>
      <c r="L47" s="1101"/>
      <c r="M47" s="992"/>
      <c r="N47" s="992"/>
      <c r="O47" s="992"/>
      <c r="P47" s="1101"/>
      <c r="Q47" s="992"/>
      <c r="R47" s="992"/>
      <c r="S47" s="992"/>
      <c r="T47" s="1101"/>
      <c r="U47" s="992"/>
      <c r="V47" s="1101"/>
      <c r="W47" s="992"/>
      <c r="X47" s="1101"/>
      <c r="Y47" s="992"/>
      <c r="Z47" s="1101"/>
      <c r="AA47" s="992"/>
      <c r="AB47" s="1101"/>
      <c r="AC47" s="992"/>
      <c r="AD47" s="1101"/>
      <c r="AE47" s="992"/>
      <c r="AF47" s="992"/>
      <c r="AG47" s="992"/>
      <c r="AH47" s="992"/>
      <c r="AI47" s="992"/>
      <c r="AJ47" s="996"/>
      <c r="AK47" s="996"/>
      <c r="AL47" s="996"/>
      <c r="AM47" s="996"/>
      <c r="AN47" s="996"/>
      <c r="AO47" s="996"/>
      <c r="AP47" s="996"/>
      <c r="AQ47" s="996"/>
      <c r="AR47" s="996"/>
      <c r="AS47" s="1096"/>
      <c r="AT47" s="1096"/>
      <c r="AU47" s="996"/>
      <c r="AV47" s="996"/>
      <c r="AW47" s="996"/>
      <c r="AX47" s="996"/>
      <c r="AY47" s="996"/>
      <c r="AZ47" s="996"/>
      <c r="BA47" s="996"/>
      <c r="BB47" s="996"/>
      <c r="BC47" s="996"/>
      <c r="BD47" s="996"/>
      <c r="BE47" s="1099"/>
      <c r="BF47" s="1099"/>
      <c r="BG47" s="1099"/>
      <c r="BH47" s="943"/>
      <c r="BJ47" s="943"/>
      <c r="BK47" s="943"/>
      <c r="BL47" s="943"/>
      <c r="BM47" s="943"/>
    </row>
    <row r="48" spans="1:65" ht="12.75" customHeight="1" x14ac:dyDescent="0.2">
      <c r="A48" s="951"/>
      <c r="B48" s="952"/>
      <c r="C48" s="1497" t="s">
        <v>447</v>
      </c>
      <c r="D48" s="1498"/>
      <c r="E48" s="953"/>
      <c r="F48" s="993"/>
      <c r="G48" s="992"/>
      <c r="H48" s="992"/>
      <c r="I48" s="1205"/>
      <c r="J48" s="993"/>
      <c r="K48" s="992"/>
      <c r="L48" s="992"/>
      <c r="M48" s="1205"/>
      <c r="N48" s="993"/>
      <c r="O48" s="993"/>
      <c r="P48" s="992"/>
      <c r="Q48" s="1205"/>
      <c r="R48" s="993"/>
      <c r="S48" s="993"/>
      <c r="T48" s="992"/>
      <c r="U48" s="1205"/>
      <c r="V48" s="992"/>
      <c r="W48" s="993"/>
      <c r="X48" s="992"/>
      <c r="Y48" s="1205"/>
      <c r="Z48" s="992"/>
      <c r="AA48" s="993"/>
      <c r="AB48" s="992"/>
      <c r="AC48" s="1205"/>
      <c r="AD48" s="993"/>
      <c r="AE48" s="993"/>
      <c r="AF48" s="993"/>
      <c r="AG48" s="1205"/>
      <c r="AH48" s="993"/>
      <c r="AI48" s="993"/>
      <c r="AJ48" s="993"/>
      <c r="AK48" s="993"/>
      <c r="AL48" s="1102"/>
      <c r="AM48" s="1205"/>
      <c r="AN48" s="1205"/>
      <c r="AO48" s="1205"/>
      <c r="AP48" s="991"/>
      <c r="AQ48" s="661" t="s">
        <v>340</v>
      </c>
      <c r="AR48" s="647"/>
      <c r="AS48" s="647" t="s">
        <v>432</v>
      </c>
      <c r="AT48" s="648"/>
      <c r="AU48" s="958"/>
      <c r="AV48" s="959"/>
      <c r="AW48" s="959"/>
      <c r="AX48" s="959"/>
      <c r="AY48" s="959"/>
      <c r="AZ48" s="959"/>
      <c r="BA48" s="959"/>
      <c r="BB48" s="959"/>
      <c r="BC48" s="1102"/>
      <c r="BD48" s="1103"/>
      <c r="BE48" s="959"/>
      <c r="BF48" s="959"/>
      <c r="BG48" s="959"/>
      <c r="BH48" s="962"/>
      <c r="BJ48" s="943"/>
      <c r="BK48" s="943"/>
      <c r="BL48" s="943"/>
      <c r="BM48" s="943"/>
    </row>
    <row r="49" spans="1:65" ht="12.75" customHeight="1" x14ac:dyDescent="0.2">
      <c r="A49" s="951" t="s">
        <v>101</v>
      </c>
      <c r="B49" s="952"/>
      <c r="C49" s="1499" t="s">
        <v>39</v>
      </c>
      <c r="D49" s="1500"/>
      <c r="E49" s="1206"/>
      <c r="F49" s="21" t="s">
        <v>425</v>
      </c>
      <c r="G49" s="21" t="s">
        <v>426</v>
      </c>
      <c r="H49" s="21" t="s">
        <v>427</v>
      </c>
      <c r="I49" s="14" t="s">
        <v>428</v>
      </c>
      <c r="J49" s="964" t="s">
        <v>363</v>
      </c>
      <c r="K49" s="964" t="s">
        <v>362</v>
      </c>
      <c r="L49" s="964" t="s">
        <v>361</v>
      </c>
      <c r="M49" s="965" t="s">
        <v>359</v>
      </c>
      <c r="N49" s="964" t="s">
        <v>302</v>
      </c>
      <c r="O49" s="964" t="s">
        <v>303</v>
      </c>
      <c r="P49" s="964" t="s">
        <v>304</v>
      </c>
      <c r="Q49" s="965" t="s">
        <v>305</v>
      </c>
      <c r="R49" s="964" t="s">
        <v>231</v>
      </c>
      <c r="S49" s="964" t="s">
        <v>232</v>
      </c>
      <c r="T49" s="964" t="s">
        <v>233</v>
      </c>
      <c r="U49" s="965" t="s">
        <v>230</v>
      </c>
      <c r="V49" s="964" t="s">
        <v>194</v>
      </c>
      <c r="W49" s="964" t="s">
        <v>195</v>
      </c>
      <c r="X49" s="964" t="s">
        <v>196</v>
      </c>
      <c r="Y49" s="965" t="s">
        <v>197</v>
      </c>
      <c r="Z49" s="964" t="s">
        <v>126</v>
      </c>
      <c r="AA49" s="964" t="s">
        <v>125</v>
      </c>
      <c r="AB49" s="964" t="s">
        <v>124</v>
      </c>
      <c r="AC49" s="965" t="s">
        <v>123</v>
      </c>
      <c r="AD49" s="964" t="s">
        <v>86</v>
      </c>
      <c r="AE49" s="964" t="s">
        <v>87</v>
      </c>
      <c r="AF49" s="964" t="s">
        <v>88</v>
      </c>
      <c r="AG49" s="965" t="s">
        <v>30</v>
      </c>
      <c r="AH49" s="964" t="s">
        <v>31</v>
      </c>
      <c r="AI49" s="964" t="s">
        <v>32</v>
      </c>
      <c r="AJ49" s="964" t="s">
        <v>33</v>
      </c>
      <c r="AK49" s="964" t="s">
        <v>34</v>
      </c>
      <c r="AL49" s="966" t="s">
        <v>35</v>
      </c>
      <c r="AM49" s="965" t="s">
        <v>36</v>
      </c>
      <c r="AN49" s="965" t="s">
        <v>37</v>
      </c>
      <c r="AO49" s="965" t="s">
        <v>38</v>
      </c>
      <c r="AP49" s="953"/>
      <c r="AQ49" s="21" t="s">
        <v>426</v>
      </c>
      <c r="AR49" s="21" t="s">
        <v>362</v>
      </c>
      <c r="AS49" s="1494" t="s">
        <v>39</v>
      </c>
      <c r="AT49" s="1482"/>
      <c r="AU49" s="1104"/>
      <c r="AV49" s="20" t="s">
        <v>446</v>
      </c>
      <c r="AW49" s="20" t="s">
        <v>365</v>
      </c>
      <c r="AX49" s="966" t="s">
        <v>307</v>
      </c>
      <c r="AY49" s="966" t="s">
        <v>235</v>
      </c>
      <c r="AZ49" s="966" t="s">
        <v>128</v>
      </c>
      <c r="BA49" s="966" t="s">
        <v>127</v>
      </c>
      <c r="BB49" s="966" t="s">
        <v>43</v>
      </c>
      <c r="BC49" s="966" t="s">
        <v>40</v>
      </c>
      <c r="BD49" s="968" t="s">
        <v>41</v>
      </c>
      <c r="BE49" s="968" t="s">
        <v>146</v>
      </c>
      <c r="BF49" s="968" t="s">
        <v>147</v>
      </c>
      <c r="BG49" s="968" t="s">
        <v>148</v>
      </c>
      <c r="BH49" s="962"/>
      <c r="BJ49" s="943"/>
      <c r="BK49" s="943"/>
      <c r="BL49" s="943"/>
      <c r="BM49" s="943"/>
    </row>
    <row r="50" spans="1:65" ht="12.75" customHeight="1" x14ac:dyDescent="0.2">
      <c r="A50" s="1105"/>
      <c r="B50" s="992" t="s">
        <v>4</v>
      </c>
      <c r="C50" s="1106">
        <v>-24581</v>
      </c>
      <c r="D50" s="1107">
        <v>-0.38909378709932729</v>
      </c>
      <c r="E50" s="991"/>
      <c r="F50" s="1108">
        <v>38594</v>
      </c>
      <c r="G50" s="1108">
        <v>23692</v>
      </c>
      <c r="H50" s="1108">
        <v>48910</v>
      </c>
      <c r="I50" s="1109">
        <v>44746</v>
      </c>
      <c r="J50" s="1108">
        <v>63175</v>
      </c>
      <c r="K50" s="1108">
        <v>65707</v>
      </c>
      <c r="L50" s="1108">
        <v>42936</v>
      </c>
      <c r="M50" s="1109">
        <v>40489</v>
      </c>
      <c r="N50" s="1108">
        <v>45552</v>
      </c>
      <c r="O50" s="1108">
        <v>44248</v>
      </c>
      <c r="P50" s="1108">
        <v>39034</v>
      </c>
      <c r="Q50" s="1109">
        <v>29220</v>
      </c>
      <c r="R50" s="1108">
        <v>19861</v>
      </c>
      <c r="S50" s="1108">
        <v>12748</v>
      </c>
      <c r="T50" s="1108">
        <v>9338</v>
      </c>
      <c r="U50" s="1109">
        <v>9246</v>
      </c>
      <c r="V50" s="1108">
        <v>34555</v>
      </c>
      <c r="W50" s="1110">
        <v>23339</v>
      </c>
      <c r="X50" s="1108">
        <v>18338</v>
      </c>
      <c r="Y50" s="1109">
        <v>0</v>
      </c>
      <c r="Z50" s="1108">
        <v>32806</v>
      </c>
      <c r="AA50" s="1110">
        <v>58040</v>
      </c>
      <c r="AB50" s="1108">
        <v>27314</v>
      </c>
      <c r="AC50" s="1109">
        <v>30054</v>
      </c>
      <c r="AD50" s="1110">
        <v>25033</v>
      </c>
      <c r="AE50" s="1110">
        <v>12639</v>
      </c>
      <c r="AF50" s="1108">
        <v>23461</v>
      </c>
      <c r="AG50" s="1109">
        <v>34352</v>
      </c>
      <c r="AH50" s="1022">
        <v>31944</v>
      </c>
      <c r="AI50" s="1022">
        <v>42952</v>
      </c>
      <c r="AJ50" s="1022">
        <v>39210</v>
      </c>
      <c r="AK50" s="1022">
        <v>62549</v>
      </c>
      <c r="AL50" s="1065">
        <v>57382</v>
      </c>
      <c r="AM50" s="1003">
        <v>48897</v>
      </c>
      <c r="AN50" s="1003">
        <v>38533</v>
      </c>
      <c r="AO50" s="1021">
        <v>42750</v>
      </c>
      <c r="AP50" s="991"/>
      <c r="AQ50" s="1005">
        <v>117348</v>
      </c>
      <c r="AR50" s="1005">
        <v>149132</v>
      </c>
      <c r="AS50" s="587">
        <v>-56365</v>
      </c>
      <c r="AT50" s="1000">
        <v>-0.26548818456292067</v>
      </c>
      <c r="AU50" s="996"/>
      <c r="AV50" s="1112">
        <v>155942</v>
      </c>
      <c r="AW50" s="1112">
        <v>212307</v>
      </c>
      <c r="AX50" s="1112">
        <v>158054</v>
      </c>
      <c r="AY50" s="1112">
        <v>51193</v>
      </c>
      <c r="AZ50" s="1112">
        <v>92677</v>
      </c>
      <c r="BA50" s="1112">
        <v>82454</v>
      </c>
      <c r="BB50" s="1112">
        <v>72926</v>
      </c>
      <c r="BC50" s="1112">
        <v>118332</v>
      </c>
      <c r="BD50" s="1113">
        <v>187562</v>
      </c>
      <c r="BE50" s="1069">
        <v>150470</v>
      </c>
      <c r="BF50" s="1069">
        <v>95559</v>
      </c>
      <c r="BG50" s="1069">
        <v>211758</v>
      </c>
      <c r="BH50" s="962"/>
      <c r="BJ50" s="943"/>
      <c r="BK50" s="943"/>
      <c r="BL50" s="943"/>
      <c r="BM50" s="943"/>
    </row>
    <row r="51" spans="1:65" s="1389" customFormat="1" ht="12.75" customHeight="1" x14ac:dyDescent="0.2">
      <c r="A51" s="996"/>
      <c r="B51" s="992" t="s">
        <v>85</v>
      </c>
      <c r="C51" s="1106">
        <v>-6436</v>
      </c>
      <c r="D51" s="1107">
        <v>-0.12622330306536703</v>
      </c>
      <c r="E51" s="1114"/>
      <c r="F51" s="1108">
        <v>44553</v>
      </c>
      <c r="G51" s="1108">
        <v>38098</v>
      </c>
      <c r="H51" s="1108">
        <v>40920</v>
      </c>
      <c r="I51" s="1109">
        <v>40245</v>
      </c>
      <c r="J51" s="1108">
        <v>50989</v>
      </c>
      <c r="K51" s="1108">
        <v>50915</v>
      </c>
      <c r="L51" s="1108">
        <v>41253</v>
      </c>
      <c r="M51" s="1109">
        <v>35372</v>
      </c>
      <c r="N51" s="1108">
        <v>44134</v>
      </c>
      <c r="O51" s="1108">
        <v>43212</v>
      </c>
      <c r="P51" s="1108">
        <v>39343</v>
      </c>
      <c r="Q51" s="1109">
        <v>39272</v>
      </c>
      <c r="R51" s="1108">
        <v>23596</v>
      </c>
      <c r="S51" s="1108">
        <v>13341</v>
      </c>
      <c r="T51" s="1108">
        <v>13294</v>
      </c>
      <c r="U51" s="1109">
        <v>14080</v>
      </c>
      <c r="V51" s="1108">
        <v>25215</v>
      </c>
      <c r="W51" s="1108">
        <v>20384</v>
      </c>
      <c r="X51" s="1108">
        <v>16895</v>
      </c>
      <c r="Y51" s="1109" t="e">
        <v>#REF!</v>
      </c>
      <c r="Z51" s="1108">
        <v>22693</v>
      </c>
      <c r="AA51" s="1108">
        <v>37922</v>
      </c>
      <c r="AB51" s="1108">
        <v>19480</v>
      </c>
      <c r="AC51" s="1109">
        <v>22187</v>
      </c>
      <c r="AD51" s="1108" t="e">
        <v>#REF!</v>
      </c>
      <c r="AE51" s="1108" t="e">
        <v>#REF!</v>
      </c>
      <c r="AF51" s="1108" t="e">
        <v>#REF!</v>
      </c>
      <c r="AG51" s="1109" t="e">
        <v>#REF!</v>
      </c>
      <c r="AH51" s="1022" t="e">
        <v>#REF!</v>
      </c>
      <c r="AI51" s="1022">
        <v>86348</v>
      </c>
      <c r="AJ51" s="1022">
        <v>72982</v>
      </c>
      <c r="AK51" s="1022">
        <v>106349</v>
      </c>
      <c r="AL51" s="1023">
        <v>100905</v>
      </c>
      <c r="AM51" s="1003">
        <v>75317</v>
      </c>
      <c r="AN51" s="1003">
        <v>70703</v>
      </c>
      <c r="AO51" s="1003">
        <v>91522</v>
      </c>
      <c r="AP51" s="991"/>
      <c r="AQ51" s="1050">
        <v>119263</v>
      </c>
      <c r="AR51" s="1005">
        <v>127540</v>
      </c>
      <c r="AS51" s="587">
        <v>-14713</v>
      </c>
      <c r="AT51" s="1116">
        <v>-8.2412381181768787E-2</v>
      </c>
      <c r="AU51" s="996"/>
      <c r="AV51" s="1112">
        <v>163816</v>
      </c>
      <c r="AW51" s="1112">
        <v>178529</v>
      </c>
      <c r="AX51" s="1112">
        <v>165961</v>
      </c>
      <c r="AY51" s="1112">
        <v>64311</v>
      </c>
      <c r="AZ51" s="1112">
        <v>78548</v>
      </c>
      <c r="BA51" s="1112">
        <v>72921</v>
      </c>
      <c r="BB51" s="1112">
        <v>69621</v>
      </c>
      <c r="BC51" s="1023">
        <v>88719</v>
      </c>
      <c r="BD51" s="1117">
        <v>125171</v>
      </c>
      <c r="BE51" s="1025">
        <v>105485</v>
      </c>
      <c r="BF51" s="1025">
        <v>67435</v>
      </c>
      <c r="BG51" s="1025">
        <v>154490</v>
      </c>
      <c r="BH51" s="1388"/>
      <c r="BJ51" s="1390"/>
      <c r="BK51" s="1390"/>
      <c r="BL51" s="1390"/>
      <c r="BM51" s="1390"/>
    </row>
    <row r="52" spans="1:65" s="1389" customFormat="1" ht="24.75" customHeight="1" x14ac:dyDescent="0.2">
      <c r="A52" s="996"/>
      <c r="B52" s="1076" t="s">
        <v>188</v>
      </c>
      <c r="C52" s="1106">
        <v>-18145</v>
      </c>
      <c r="D52" s="1207">
        <v>-1.489003774823568</v>
      </c>
      <c r="E52" s="1114"/>
      <c r="F52" s="421">
        <v>-5959</v>
      </c>
      <c r="G52" s="421">
        <v>-14406</v>
      </c>
      <c r="H52" s="1108">
        <v>7990</v>
      </c>
      <c r="I52" s="1109">
        <v>4501</v>
      </c>
      <c r="J52" s="1108">
        <v>12186</v>
      </c>
      <c r="K52" s="1108">
        <v>14792</v>
      </c>
      <c r="L52" s="1108">
        <v>1683</v>
      </c>
      <c r="M52" s="1109">
        <v>5117</v>
      </c>
      <c r="N52" s="421">
        <v>1418</v>
      </c>
      <c r="O52" s="421">
        <v>1036</v>
      </c>
      <c r="P52" s="421">
        <v>-309</v>
      </c>
      <c r="Q52" s="832">
        <v>-10052</v>
      </c>
      <c r="R52" s="421">
        <v>-3735</v>
      </c>
      <c r="S52" s="421">
        <v>-593</v>
      </c>
      <c r="T52" s="421">
        <v>-3956</v>
      </c>
      <c r="U52" s="832">
        <v>-4834</v>
      </c>
      <c r="V52" s="421">
        <v>9340</v>
      </c>
      <c r="W52" s="421">
        <v>2955</v>
      </c>
      <c r="X52" s="421">
        <v>1443</v>
      </c>
      <c r="Y52" s="832" t="e">
        <v>#REF!</v>
      </c>
      <c r="Z52" s="421">
        <v>10113</v>
      </c>
      <c r="AA52" s="421">
        <v>20118</v>
      </c>
      <c r="AB52" s="421">
        <v>7834</v>
      </c>
      <c r="AC52" s="832">
        <v>7867</v>
      </c>
      <c r="AD52" s="421" t="e">
        <v>#REF!</v>
      </c>
      <c r="AE52" s="421" t="e">
        <v>#REF!</v>
      </c>
      <c r="AF52" s="421" t="e">
        <v>#REF!</v>
      </c>
      <c r="AG52" s="832" t="e">
        <v>#REF!</v>
      </c>
      <c r="AH52" s="421" t="e">
        <v>#REF!</v>
      </c>
      <c r="AI52" s="421">
        <v>23235</v>
      </c>
      <c r="AJ52" s="421">
        <v>16089</v>
      </c>
      <c r="AK52" s="421">
        <v>48674</v>
      </c>
      <c r="AL52" s="1337">
        <v>29246</v>
      </c>
      <c r="AM52" s="703">
        <v>26110</v>
      </c>
      <c r="AN52" s="703">
        <v>22330</v>
      </c>
      <c r="AO52" s="703">
        <v>33584</v>
      </c>
      <c r="AP52" s="751"/>
      <c r="AQ52" s="750">
        <v>-1915</v>
      </c>
      <c r="AR52" s="750">
        <v>21592</v>
      </c>
      <c r="AS52" s="587">
        <v>-41652</v>
      </c>
      <c r="AT52" s="1207">
        <v>-1.2331103084848125</v>
      </c>
      <c r="AU52" s="996"/>
      <c r="AV52" s="751">
        <v>-7874</v>
      </c>
      <c r="AW52" s="1112">
        <v>33778</v>
      </c>
      <c r="AX52" s="751">
        <v>-7907</v>
      </c>
      <c r="AY52" s="751">
        <v>-13118</v>
      </c>
      <c r="AZ52" s="1112">
        <v>14129</v>
      </c>
      <c r="BA52" s="1112">
        <v>9533</v>
      </c>
      <c r="BB52" s="1112">
        <v>3305</v>
      </c>
      <c r="BC52" s="1118">
        <v>29613</v>
      </c>
      <c r="BD52" s="1119">
        <v>62391</v>
      </c>
      <c r="BE52" s="1120">
        <v>44985</v>
      </c>
      <c r="BF52" s="1120">
        <v>28124</v>
      </c>
      <c r="BG52" s="1120">
        <v>57268</v>
      </c>
      <c r="BH52" s="1388"/>
      <c r="BJ52" s="1390"/>
      <c r="BK52" s="1390"/>
      <c r="BL52" s="1390"/>
      <c r="BM52" s="1390"/>
    </row>
    <row r="53" spans="1:65" s="1389" customFormat="1" ht="24.75" customHeight="1" x14ac:dyDescent="0.2">
      <c r="A53" s="996"/>
      <c r="B53" s="1076" t="s">
        <v>386</v>
      </c>
      <c r="C53" s="1121">
        <v>-19535</v>
      </c>
      <c r="D53" s="1122">
        <v>-1.4238338192419826</v>
      </c>
      <c r="E53" s="1114"/>
      <c r="F53" s="1322">
        <v>-5815</v>
      </c>
      <c r="G53" s="1322">
        <v>-14368</v>
      </c>
      <c r="H53" s="1004">
        <v>8195</v>
      </c>
      <c r="I53" s="1123">
        <v>4716</v>
      </c>
      <c r="J53" s="1004">
        <v>13720</v>
      </c>
      <c r="K53" s="1004">
        <v>16068</v>
      </c>
      <c r="L53" s="1004">
        <v>2523</v>
      </c>
      <c r="M53" s="1123">
        <v>5700</v>
      </c>
      <c r="N53" s="1322">
        <v>3187</v>
      </c>
      <c r="O53" s="1322">
        <v>2779</v>
      </c>
      <c r="P53" s="1322">
        <v>1705</v>
      </c>
      <c r="Q53" s="1310">
        <v>-8842</v>
      </c>
      <c r="R53" s="1322">
        <v>-3735</v>
      </c>
      <c r="S53" s="1322">
        <v>-593</v>
      </c>
      <c r="T53" s="1322">
        <v>-3956</v>
      </c>
      <c r="U53" s="1310">
        <v>-4834</v>
      </c>
      <c r="V53" s="1322">
        <v>9340</v>
      </c>
      <c r="W53" s="1322"/>
      <c r="X53" s="1322"/>
      <c r="Y53" s="1310"/>
      <c r="Z53" s="1322"/>
      <c r="AA53" s="1322"/>
      <c r="AB53" s="1322"/>
      <c r="AC53" s="1310"/>
      <c r="AD53" s="1322"/>
      <c r="AE53" s="1322"/>
      <c r="AF53" s="1322"/>
      <c r="AG53" s="1310"/>
      <c r="AH53" s="1322"/>
      <c r="AI53" s="1322"/>
      <c r="AJ53" s="1322"/>
      <c r="AK53" s="1322"/>
      <c r="AL53" s="1338"/>
      <c r="AM53" s="837"/>
      <c r="AN53" s="837"/>
      <c r="AO53" s="837"/>
      <c r="AP53" s="751"/>
      <c r="AQ53" s="1322">
        <v>-1457</v>
      </c>
      <c r="AR53" s="1322">
        <v>24291</v>
      </c>
      <c r="AS53" s="1339">
        <v>-45283</v>
      </c>
      <c r="AT53" s="1122">
        <v>-1.1913130409618269</v>
      </c>
      <c r="AU53" s="996"/>
      <c r="AV53" s="1309">
        <v>-7272</v>
      </c>
      <c r="AW53" s="1124">
        <v>38011</v>
      </c>
      <c r="AX53" s="1309">
        <v>-1171</v>
      </c>
      <c r="AY53" s="1309">
        <v>-13118</v>
      </c>
      <c r="AZ53" s="1124">
        <v>14129</v>
      </c>
      <c r="BA53" s="1124">
        <v>9533</v>
      </c>
      <c r="BB53" s="1124">
        <v>3305</v>
      </c>
      <c r="BC53" s="1022"/>
      <c r="BD53" s="1022"/>
      <c r="BE53" s="1036"/>
      <c r="BF53" s="1036"/>
      <c r="BG53" s="1036"/>
      <c r="BH53" s="1390"/>
      <c r="BJ53" s="1390"/>
      <c r="BK53" s="1390"/>
      <c r="BL53" s="1390"/>
      <c r="BM53" s="1390"/>
    </row>
    <row r="54" spans="1:65" s="1389" customFormat="1" ht="12.75" customHeight="1" x14ac:dyDescent="0.2">
      <c r="A54" s="996"/>
      <c r="B54" s="992"/>
      <c r="C54" s="1125"/>
      <c r="D54" s="1094"/>
      <c r="E54" s="1094"/>
      <c r="F54" s="1094"/>
      <c r="G54" s="952"/>
      <c r="H54" s="952"/>
      <c r="I54" s="992"/>
      <c r="J54" s="1094"/>
      <c r="K54" s="952"/>
      <c r="L54" s="952"/>
      <c r="M54" s="992"/>
      <c r="N54" s="1094"/>
      <c r="O54" s="1094"/>
      <c r="P54" s="952"/>
      <c r="Q54" s="992"/>
      <c r="R54" s="1094"/>
      <c r="S54" s="1094"/>
      <c r="T54" s="952"/>
      <c r="U54" s="992"/>
      <c r="V54" s="1094"/>
      <c r="W54" s="1094"/>
      <c r="X54" s="1094"/>
      <c r="Y54" s="992"/>
      <c r="Z54" s="1094"/>
      <c r="AA54" s="1094"/>
      <c r="AB54" s="1094"/>
      <c r="AC54" s="992"/>
      <c r="AD54" s="1094"/>
      <c r="AE54" s="1094"/>
      <c r="AF54" s="1094"/>
      <c r="AG54" s="992"/>
      <c r="AH54" s="996"/>
      <c r="AI54" s="996"/>
      <c r="AJ54" s="996"/>
      <c r="AK54" s="996"/>
      <c r="AL54" s="996"/>
      <c r="AM54" s="996"/>
      <c r="AN54" s="996"/>
      <c r="AO54" s="996"/>
      <c r="AP54" s="992"/>
      <c r="AQ54" s="1094"/>
      <c r="AR54" s="1094"/>
      <c r="AS54" s="1126"/>
      <c r="AT54" s="1127"/>
      <c r="AU54" s="992"/>
      <c r="AV54" s="992"/>
      <c r="AW54" s="992"/>
      <c r="AX54" s="992"/>
      <c r="AY54" s="992"/>
      <c r="AZ54" s="992"/>
      <c r="BA54" s="992"/>
      <c r="BB54" s="992"/>
      <c r="BC54" s="996"/>
      <c r="BD54" s="996"/>
      <c r="BE54" s="1036"/>
      <c r="BF54" s="1036"/>
      <c r="BG54" s="1036"/>
      <c r="BH54" s="1390"/>
      <c r="BJ54" s="1390"/>
      <c r="BK54" s="1390"/>
      <c r="BL54" s="1390"/>
      <c r="BM54" s="1390"/>
    </row>
    <row r="55" spans="1:65" ht="12.75" customHeight="1" x14ac:dyDescent="0.2">
      <c r="A55" s="996"/>
      <c r="B55" s="1089" t="s">
        <v>80</v>
      </c>
      <c r="C55" s="1087">
        <v>16.875601123044461</v>
      </c>
      <c r="D55" s="1094"/>
      <c r="E55" s="1094"/>
      <c r="F55" s="1094">
        <v>0.38099186402031404</v>
      </c>
      <c r="G55" s="1094">
        <v>0.68432382238730372</v>
      </c>
      <c r="H55" s="1094">
        <v>0.24647311388264159</v>
      </c>
      <c r="I55" s="1094">
        <v>0.30371429848478076</v>
      </c>
      <c r="J55" s="1094">
        <v>0.21223585278986942</v>
      </c>
      <c r="K55" s="1094">
        <v>0.19670659138295768</v>
      </c>
      <c r="L55" s="1094">
        <v>0.37497670952114776</v>
      </c>
      <c r="M55" s="1094">
        <v>0.32319889352663689</v>
      </c>
      <c r="N55" s="1094">
        <v>0.28951527924130666</v>
      </c>
      <c r="O55" s="1094">
        <v>0.34584613993852831</v>
      </c>
      <c r="P55" s="1094">
        <v>0.29879079776605011</v>
      </c>
      <c r="Q55" s="1094">
        <v>0.57190280629705681</v>
      </c>
      <c r="R55" s="1094">
        <v>0.37636574190624844</v>
      </c>
      <c r="S55" s="1094">
        <v>0.44391277063068718</v>
      </c>
      <c r="T55" s="1094">
        <v>0.60184193617476978</v>
      </c>
      <c r="U55" s="1094">
        <v>0.71425481289206139</v>
      </c>
      <c r="V55" s="1094">
        <v>0.1941542468528433</v>
      </c>
      <c r="W55" s="1094">
        <v>0.26187925789451133</v>
      </c>
      <c r="X55" s="1094">
        <v>0.32653506380194131</v>
      </c>
      <c r="Y55" s="1094" t="e">
        <v>#REF!</v>
      </c>
      <c r="Z55" s="1094">
        <v>0.1537803312755944</v>
      </c>
      <c r="AA55" s="1094">
        <v>0.10480982581197477</v>
      </c>
      <c r="AB55" s="1094">
        <v>0.15381132075471698</v>
      </c>
      <c r="AC55" s="1094">
        <v>0.14983030545018966</v>
      </c>
      <c r="AD55" s="1094" t="e">
        <v>#DIV/0!</v>
      </c>
      <c r="AE55" s="1094" t="e">
        <v>#DIV/0!</v>
      </c>
      <c r="AF55" s="1094" t="e">
        <v>#DIV/0!</v>
      </c>
      <c r="AG55" s="1094" t="e">
        <v>#DIV/0!</v>
      </c>
      <c r="AH55" s="1094" t="e">
        <v>#DIV/0!</v>
      </c>
      <c r="AI55" s="1091">
        <v>0.22941514650995137</v>
      </c>
      <c r="AJ55" s="1091">
        <v>0.30967430476810637</v>
      </c>
      <c r="AK55" s="1091">
        <v>0.16900000000000004</v>
      </c>
      <c r="AL55" s="1091">
        <v>0.21100000000000008</v>
      </c>
      <c r="AM55" s="1091">
        <v>0.20399999999999996</v>
      </c>
      <c r="AN55" s="1091">
        <v>0.249</v>
      </c>
      <c r="AO55" s="1091">
        <v>0.17899999999999994</v>
      </c>
      <c r="AP55" s="992"/>
      <c r="AQ55" s="1094">
        <v>0.40379043528649827</v>
      </c>
      <c r="AR55" s="1094">
        <v>0.28237400423785641</v>
      </c>
      <c r="AS55" s="1087">
        <v>10.120838849539437</v>
      </c>
      <c r="AT55" s="1127"/>
      <c r="AU55" s="992"/>
      <c r="AV55" s="1091">
        <v>0.3627117774557207</v>
      </c>
      <c r="AW55" s="1091">
        <v>0.26150338896032632</v>
      </c>
      <c r="AX55" s="1091">
        <v>0.35978209978867981</v>
      </c>
      <c r="AY55" s="1091">
        <v>0.49534115992420841</v>
      </c>
      <c r="AZ55" s="1091">
        <v>0.27604475759897279</v>
      </c>
      <c r="BA55" s="1091">
        <v>0.13384477827906055</v>
      </c>
      <c r="BB55" s="1091">
        <v>0.38502043167046046</v>
      </c>
      <c r="BC55" s="1091">
        <v>0.19347260250819728</v>
      </c>
      <c r="BD55" s="1091">
        <v>0.13159381964363784</v>
      </c>
      <c r="BE55" s="1089">
        <v>0.13831328504020735</v>
      </c>
      <c r="BF55" s="1089">
        <v>0.13580091880408962</v>
      </c>
      <c r="BG55" s="1089">
        <v>0.10299999999999998</v>
      </c>
      <c r="BH55" s="943"/>
      <c r="BJ55" s="943"/>
      <c r="BK55" s="943"/>
      <c r="BL55" s="943"/>
      <c r="BM55" s="943"/>
    </row>
    <row r="56" spans="1:65" ht="12.75" customHeight="1" x14ac:dyDescent="0.2">
      <c r="A56" s="996"/>
      <c r="B56" s="1089" t="s">
        <v>81</v>
      </c>
      <c r="C56" s="1087">
        <v>34.72949969012695</v>
      </c>
      <c r="D56" s="1094"/>
      <c r="E56" s="1094"/>
      <c r="F56" s="1094">
        <v>1.1544022386899517</v>
      </c>
      <c r="G56" s="1094">
        <v>1.6080533513422253</v>
      </c>
      <c r="H56" s="1094">
        <v>0.8366387241872828</v>
      </c>
      <c r="I56" s="1094">
        <v>0.89941000312877128</v>
      </c>
      <c r="J56" s="1094">
        <v>0.80710724178868221</v>
      </c>
      <c r="K56" s="1094">
        <v>0.77487938880180196</v>
      </c>
      <c r="L56" s="1094">
        <v>0.96080212409167132</v>
      </c>
      <c r="M56" s="1094">
        <v>0.87361999555434811</v>
      </c>
      <c r="N56" s="1094">
        <v>0.96887074113101512</v>
      </c>
      <c r="O56" s="1094">
        <v>0.97658651238474059</v>
      </c>
      <c r="P56" s="1094">
        <v>1.0079161756417483</v>
      </c>
      <c r="Q56" s="1094">
        <v>1.3440109514031486</v>
      </c>
      <c r="R56" s="1094">
        <v>1.1880569961230552</v>
      </c>
      <c r="S56" s="1094">
        <v>1.0465171007216818</v>
      </c>
      <c r="T56" s="1094">
        <v>1.4236453201970443</v>
      </c>
      <c r="U56" s="1094">
        <v>1.5228206792126324</v>
      </c>
      <c r="V56" s="1094">
        <v>0.72970626537404137</v>
      </c>
      <c r="W56" s="1094">
        <v>0.87338789151206131</v>
      </c>
      <c r="X56" s="1094">
        <v>0.92131093903370054</v>
      </c>
      <c r="Y56" s="1094" t="e">
        <v>#REF!</v>
      </c>
      <c r="Z56" s="1094">
        <v>0.69350895422040215</v>
      </c>
      <c r="AA56" s="1094">
        <v>0.66254345965022621</v>
      </c>
      <c r="AB56" s="1094">
        <v>0.73509433962264148</v>
      </c>
      <c r="AC56" s="1094">
        <v>0.73823783855726355</v>
      </c>
      <c r="AD56" s="1094" t="e">
        <v>#REF!</v>
      </c>
      <c r="AE56" s="1094" t="e">
        <v>#REF!</v>
      </c>
      <c r="AF56" s="1094" t="e">
        <v>#REF!</v>
      </c>
      <c r="AG56" s="1094" t="e">
        <v>#REF!</v>
      </c>
      <c r="AH56" s="1094" t="e">
        <v>#REF!</v>
      </c>
      <c r="AI56" s="1091">
        <v>0.78796893678764046</v>
      </c>
      <c r="AJ56" s="1091">
        <v>0.81936881813384832</v>
      </c>
      <c r="AK56" s="1091">
        <v>0.68600000000000005</v>
      </c>
      <c r="AL56" s="1091">
        <v>0.77500000000000002</v>
      </c>
      <c r="AM56" s="1091">
        <v>0.74299999999999999</v>
      </c>
      <c r="AN56" s="1091">
        <v>0.76</v>
      </c>
      <c r="AO56" s="1091">
        <v>0.73199999999999998</v>
      </c>
      <c r="AP56" s="992"/>
      <c r="AQ56" s="1094">
        <v>1.0163189828544159</v>
      </c>
      <c r="AR56" s="1094">
        <v>0.85521551377303329</v>
      </c>
      <c r="AS56" s="1087">
        <v>20.959292622791594</v>
      </c>
      <c r="AT56" s="1127"/>
      <c r="AU56" s="992"/>
      <c r="AV56" s="1091">
        <v>1.0504931320619204</v>
      </c>
      <c r="AW56" s="1091">
        <v>0.84090020583400449</v>
      </c>
      <c r="AX56" s="1091">
        <v>1.0500272058916573</v>
      </c>
      <c r="AY56" s="1091">
        <v>1.2562459711288654</v>
      </c>
      <c r="AZ56" s="1091">
        <v>0.84754577726944114</v>
      </c>
      <c r="BA56" s="1091">
        <v>0.69810870025185479</v>
      </c>
      <c r="BB56" s="1091">
        <v>0.95468008666319282</v>
      </c>
      <c r="BC56" s="1091">
        <v>0.74974647601663114</v>
      </c>
      <c r="BD56" s="1091">
        <v>0.66735799362344184</v>
      </c>
      <c r="BE56" s="1089">
        <v>0.70103675151192923</v>
      </c>
      <c r="BF56" s="1089">
        <v>0.70568967862786336</v>
      </c>
      <c r="BG56" s="1089">
        <v>0.73</v>
      </c>
      <c r="BH56" s="943"/>
      <c r="BJ56" s="943"/>
      <c r="BK56" s="943"/>
      <c r="BL56" s="943"/>
      <c r="BM56" s="943"/>
    </row>
    <row r="57" spans="1:65" ht="12.75" customHeight="1" x14ac:dyDescent="0.2">
      <c r="A57" s="996"/>
      <c r="B57" s="1089" t="s">
        <v>187</v>
      </c>
      <c r="C57" s="1087">
        <v>-34.729499690126957</v>
      </c>
      <c r="D57" s="1094"/>
      <c r="E57" s="1094"/>
      <c r="F57" s="1094">
        <v>-0.15440223868995182</v>
      </c>
      <c r="G57" s="1094">
        <v>-0.60805335134222527</v>
      </c>
      <c r="H57" s="1094">
        <v>0.16336127581271723</v>
      </c>
      <c r="I57" s="1094">
        <v>0.10058999687122872</v>
      </c>
      <c r="J57" s="1094">
        <v>0.19289275821131777</v>
      </c>
      <c r="K57" s="1094">
        <v>0.22512061119819807</v>
      </c>
      <c r="L57" s="1094">
        <v>3.9197875908328676E-2</v>
      </c>
      <c r="M57" s="1094">
        <v>0.12638000444565189</v>
      </c>
      <c r="N57" s="1094">
        <v>3.1129258868984898E-2</v>
      </c>
      <c r="O57" s="1094">
        <v>2.3413487615259448E-2</v>
      </c>
      <c r="P57" s="1094">
        <v>-7.9161756417482198E-3</v>
      </c>
      <c r="Q57" s="1094">
        <v>-0.34401095140314852</v>
      </c>
      <c r="R57" s="1094">
        <v>-0.18805699612305524</v>
      </c>
      <c r="S57" s="1094">
        <v>-4.6517100721681831E-2</v>
      </c>
      <c r="T57" s="1094">
        <v>-0.42364532019704432</v>
      </c>
      <c r="U57" s="1094">
        <v>-0.52282067921263253</v>
      </c>
      <c r="V57" s="1094">
        <v>0.27029373462595863</v>
      </c>
      <c r="W57" s="1094">
        <v>0.12661210848793863</v>
      </c>
      <c r="X57" s="1094">
        <v>7.868906096629949E-2</v>
      </c>
      <c r="Y57" s="1094" t="e">
        <v>#REF!</v>
      </c>
      <c r="Z57" s="1094">
        <v>0.30649104577959785</v>
      </c>
      <c r="AA57" s="1094">
        <v>0.33745654034977374</v>
      </c>
      <c r="AB57" s="1094">
        <v>0.26490566037735847</v>
      </c>
      <c r="AC57" s="1094">
        <v>0.2617621614427364</v>
      </c>
      <c r="AD57" s="1094" t="e">
        <v>#REF!</v>
      </c>
      <c r="AE57" s="1094" t="e">
        <v>#REF!</v>
      </c>
      <c r="AF57" s="1094" t="e">
        <v>#REF!</v>
      </c>
      <c r="AG57" s="1094" t="e">
        <v>#REF!</v>
      </c>
      <c r="AH57" s="1094" t="e">
        <v>#REF!</v>
      </c>
      <c r="AI57" s="1091">
        <v>0.21203106321235959</v>
      </c>
      <c r="AJ57" s="1091">
        <v>0.18063118186615174</v>
      </c>
      <c r="AK57" s="1091">
        <v>0.31399999999999995</v>
      </c>
      <c r="AL57" s="1091">
        <v>0.22500000000000001</v>
      </c>
      <c r="AM57" s="1091">
        <v>0.25700000000000001</v>
      </c>
      <c r="AN57" s="1091">
        <v>0.24</v>
      </c>
      <c r="AO57" s="1091">
        <v>0.26800000000000002</v>
      </c>
      <c r="AP57" s="992"/>
      <c r="AQ57" s="1094">
        <v>-1.6318982854415926E-2</v>
      </c>
      <c r="AR57" s="1094">
        <v>0.14478448622696671</v>
      </c>
      <c r="AS57" s="1087">
        <v>-20.959292622791594</v>
      </c>
      <c r="AT57" s="1127"/>
      <c r="AU57" s="992"/>
      <c r="AV57" s="1091">
        <v>-5.0493132061920458E-2</v>
      </c>
      <c r="AW57" s="1091">
        <v>0.15909979416599546</v>
      </c>
      <c r="AX57" s="1091">
        <v>-5.0027205891657281E-2</v>
      </c>
      <c r="AY57" s="1091">
        <v>-0.25624597112886527</v>
      </c>
      <c r="AZ57" s="1091">
        <v>0.15245422273055884</v>
      </c>
      <c r="BA57" s="1091">
        <v>0.30189129974814521</v>
      </c>
      <c r="BB57" s="1091">
        <v>4.5319913336807176E-2</v>
      </c>
      <c r="BC57" s="1091">
        <v>0.25025352398336881</v>
      </c>
      <c r="BD57" s="1091">
        <v>0.33264200637655816</v>
      </c>
      <c r="BE57" s="1089">
        <v>0.29896324848807071</v>
      </c>
      <c r="BF57" s="1089">
        <v>0.29431032137213659</v>
      </c>
      <c r="BG57" s="1089">
        <v>0.27</v>
      </c>
    </row>
    <row r="58" spans="1:65" ht="12.75" customHeight="1" x14ac:dyDescent="0.2">
      <c r="A58" s="996"/>
      <c r="B58" s="1089"/>
      <c r="C58" s="1128"/>
      <c r="D58" s="1094"/>
      <c r="E58" s="1094"/>
      <c r="F58" s="1094"/>
      <c r="G58" s="1094"/>
      <c r="H58" s="1094"/>
      <c r="I58" s="1094"/>
      <c r="J58" s="1094"/>
      <c r="K58" s="1094"/>
      <c r="L58" s="1094"/>
      <c r="M58" s="1094"/>
      <c r="N58" s="1094"/>
      <c r="O58" s="1094"/>
      <c r="P58" s="1094"/>
      <c r="Q58" s="1094"/>
      <c r="R58" s="1094"/>
      <c r="S58" s="1094"/>
      <c r="T58" s="1094"/>
      <c r="U58" s="1094"/>
      <c r="V58" s="1094"/>
      <c r="W58" s="1094"/>
      <c r="X58" s="1094"/>
      <c r="Y58" s="1094"/>
      <c r="Z58" s="1094"/>
      <c r="AA58" s="1094"/>
      <c r="AB58" s="1094"/>
      <c r="AC58" s="1094"/>
      <c r="AD58" s="1094"/>
      <c r="AE58" s="1094"/>
      <c r="AF58" s="1094"/>
      <c r="AG58" s="1094"/>
      <c r="AH58" s="1094"/>
      <c r="AI58" s="1091"/>
      <c r="AJ58" s="1091"/>
      <c r="AK58" s="1091"/>
      <c r="AL58" s="1091"/>
      <c r="AM58" s="1091"/>
      <c r="AN58" s="1091"/>
      <c r="AO58" s="1091"/>
      <c r="AP58" s="992"/>
      <c r="AQ58" s="1094"/>
      <c r="AR58" s="1094"/>
      <c r="AS58" s="1087"/>
      <c r="AT58" s="1127"/>
      <c r="AU58" s="992"/>
      <c r="AV58" s="1091"/>
      <c r="AW58" s="1091"/>
      <c r="AX58" s="1091"/>
      <c r="AY58" s="1091"/>
      <c r="AZ58" s="1091"/>
      <c r="BA58" s="1091"/>
      <c r="BB58" s="1091"/>
      <c r="BC58" s="1091"/>
      <c r="BD58" s="1091"/>
      <c r="BE58" s="1089"/>
      <c r="BF58" s="1089"/>
      <c r="BG58" s="1089"/>
    </row>
    <row r="59" spans="1:65" ht="12.75" customHeight="1" x14ac:dyDescent="0.2">
      <c r="A59" s="1129" t="s">
        <v>199</v>
      </c>
      <c r="B59" s="1089"/>
      <c r="C59" s="992"/>
      <c r="D59" s="992"/>
      <c r="E59" s="992"/>
      <c r="F59" s="992"/>
      <c r="G59" s="992"/>
      <c r="H59" s="992"/>
      <c r="I59" s="992"/>
      <c r="J59" s="992"/>
      <c r="K59" s="992"/>
      <c r="L59" s="992"/>
      <c r="M59" s="992"/>
      <c r="N59" s="992"/>
      <c r="O59" s="992"/>
      <c r="P59" s="992"/>
      <c r="Q59" s="992"/>
      <c r="R59" s="992"/>
      <c r="S59" s="992"/>
      <c r="T59" s="992"/>
      <c r="U59" s="992"/>
      <c r="V59" s="992"/>
      <c r="W59" s="992"/>
      <c r="X59" s="992"/>
      <c r="Y59" s="992"/>
      <c r="Z59" s="992"/>
      <c r="AA59" s="992"/>
      <c r="AB59" s="992"/>
      <c r="AC59" s="992"/>
      <c r="AD59" s="992"/>
      <c r="AE59" s="992"/>
      <c r="AF59" s="992"/>
      <c r="AG59" s="992"/>
      <c r="AH59" s="992"/>
      <c r="AI59" s="992"/>
      <c r="AJ59" s="992"/>
      <c r="AK59" s="952"/>
      <c r="AL59" s="992"/>
      <c r="AM59" s="952"/>
      <c r="AN59" s="952"/>
      <c r="AO59" s="992"/>
      <c r="AP59" s="992"/>
      <c r="AQ59" s="992"/>
      <c r="AR59" s="992"/>
      <c r="AS59" s="1096"/>
      <c r="AT59" s="1096"/>
      <c r="AU59" s="992"/>
      <c r="AV59" s="992"/>
      <c r="AW59" s="992"/>
      <c r="AX59" s="992"/>
      <c r="AY59" s="992"/>
      <c r="AZ59" s="992"/>
      <c r="BA59" s="992"/>
      <c r="BB59" s="992"/>
      <c r="BC59" s="992"/>
      <c r="BD59" s="992"/>
      <c r="BE59" s="1036"/>
      <c r="BF59" s="1089"/>
      <c r="BG59" s="1089"/>
    </row>
    <row r="60" spans="1:65" ht="12.75" customHeight="1" x14ac:dyDescent="0.2">
      <c r="C60" s="1497" t="s">
        <v>447</v>
      </c>
      <c r="D60" s="1498"/>
      <c r="E60" s="991"/>
      <c r="F60" s="993"/>
      <c r="G60" s="993"/>
      <c r="H60" s="993"/>
      <c r="I60" s="1205"/>
      <c r="J60" s="993"/>
      <c r="K60" s="993"/>
      <c r="L60" s="993"/>
      <c r="M60" s="1205"/>
      <c r="N60" s="993"/>
      <c r="O60" s="993"/>
      <c r="P60" s="993"/>
      <c r="Q60" s="1205"/>
      <c r="R60" s="993"/>
      <c r="S60" s="993"/>
      <c r="T60" s="993"/>
      <c r="U60" s="993"/>
      <c r="V60" s="1102"/>
      <c r="W60" s="993"/>
      <c r="X60" s="993"/>
      <c r="Y60" s="993"/>
      <c r="Z60" s="1102"/>
      <c r="AA60" s="993"/>
      <c r="AB60" s="993"/>
      <c r="AC60" s="993"/>
      <c r="AD60" s="1102"/>
      <c r="AE60" s="993"/>
      <c r="AF60" s="1205"/>
      <c r="AG60" s="1205"/>
      <c r="AH60" s="1205"/>
      <c r="AI60" s="992"/>
      <c r="AJ60" s="992"/>
      <c r="AK60" s="952"/>
      <c r="AL60" s="992"/>
      <c r="AM60" s="952"/>
      <c r="AN60" s="952"/>
      <c r="AO60" s="992"/>
      <c r="AP60" s="991"/>
      <c r="AQ60" s="661" t="s">
        <v>340</v>
      </c>
      <c r="AR60" s="647"/>
      <c r="AS60" s="647" t="s">
        <v>432</v>
      </c>
      <c r="AT60" s="648"/>
      <c r="AU60" s="992"/>
      <c r="AV60" s="959"/>
      <c r="AW60" s="959"/>
      <c r="AX60" s="959"/>
      <c r="AY60" s="959"/>
      <c r="AZ60" s="959"/>
      <c r="BA60" s="959"/>
      <c r="BB60" s="959"/>
      <c r="BC60" s="1102"/>
      <c r="BD60" s="1103"/>
      <c r="BE60" s="959"/>
      <c r="BF60" s="1089"/>
      <c r="BG60" s="1089"/>
      <c r="BH60" s="962"/>
    </row>
    <row r="61" spans="1:65" ht="12.75" customHeight="1" x14ac:dyDescent="0.2">
      <c r="C61" s="1499" t="s">
        <v>39</v>
      </c>
      <c r="D61" s="1500"/>
      <c r="E61" s="991"/>
      <c r="F61" s="21" t="s">
        <v>425</v>
      </c>
      <c r="G61" s="21" t="s">
        <v>426</v>
      </c>
      <c r="H61" s="21" t="s">
        <v>427</v>
      </c>
      <c r="I61" s="14" t="s">
        <v>428</v>
      </c>
      <c r="J61" s="964" t="s">
        <v>363</v>
      </c>
      <c r="K61" s="964" t="s">
        <v>362</v>
      </c>
      <c r="L61" s="964" t="s">
        <v>361</v>
      </c>
      <c r="M61" s="965" t="s">
        <v>359</v>
      </c>
      <c r="N61" s="964" t="s">
        <v>302</v>
      </c>
      <c r="O61" s="964" t="s">
        <v>303</v>
      </c>
      <c r="P61" s="964" t="s">
        <v>304</v>
      </c>
      <c r="Q61" s="965" t="s">
        <v>305</v>
      </c>
      <c r="R61" s="964" t="s">
        <v>231</v>
      </c>
      <c r="S61" s="964" t="s">
        <v>232</v>
      </c>
      <c r="T61" s="964" t="s">
        <v>233</v>
      </c>
      <c r="U61" s="965" t="s">
        <v>230</v>
      </c>
      <c r="V61" s="966" t="s">
        <v>194</v>
      </c>
      <c r="W61" s="964" t="s">
        <v>195</v>
      </c>
      <c r="X61" s="964" t="s">
        <v>196</v>
      </c>
      <c r="Y61" s="964" t="s">
        <v>197</v>
      </c>
      <c r="Z61" s="966" t="s">
        <v>126</v>
      </c>
      <c r="AA61" s="964" t="s">
        <v>125</v>
      </c>
      <c r="AB61" s="964" t="s">
        <v>124</v>
      </c>
      <c r="AC61" s="964" t="s">
        <v>123</v>
      </c>
      <c r="AD61" s="966" t="s">
        <v>86</v>
      </c>
      <c r="AE61" s="964" t="s">
        <v>87</v>
      </c>
      <c r="AF61" s="965" t="s">
        <v>88</v>
      </c>
      <c r="AG61" s="965" t="s">
        <v>30</v>
      </c>
      <c r="AH61" s="965" t="s">
        <v>30</v>
      </c>
      <c r="AI61" s="992"/>
      <c r="AJ61" s="992"/>
      <c r="AK61" s="952"/>
      <c r="AL61" s="992"/>
      <c r="AM61" s="952"/>
      <c r="AN61" s="952"/>
      <c r="AO61" s="992"/>
      <c r="AP61" s="991"/>
      <c r="AQ61" s="21" t="s">
        <v>426</v>
      </c>
      <c r="AR61" s="21" t="s">
        <v>362</v>
      </c>
      <c r="AS61" s="1494" t="s">
        <v>39</v>
      </c>
      <c r="AT61" s="1482"/>
      <c r="AU61" s="992"/>
      <c r="AV61" s="20" t="s">
        <v>446</v>
      </c>
      <c r="AW61" s="20" t="s">
        <v>365</v>
      </c>
      <c r="AX61" s="966" t="s">
        <v>307</v>
      </c>
      <c r="AY61" s="966" t="s">
        <v>235</v>
      </c>
      <c r="AZ61" s="966" t="s">
        <v>128</v>
      </c>
      <c r="BA61" s="966" t="s">
        <v>127</v>
      </c>
      <c r="BB61" s="966" t="s">
        <v>43</v>
      </c>
      <c r="BC61" s="966" t="s">
        <v>40</v>
      </c>
      <c r="BD61" s="968" t="s">
        <v>41</v>
      </c>
      <c r="BE61" s="968" t="s">
        <v>146</v>
      </c>
      <c r="BF61" s="1089"/>
      <c r="BG61" s="1089"/>
      <c r="BH61" s="962"/>
    </row>
    <row r="62" spans="1:65" ht="12.75" customHeight="1" x14ac:dyDescent="0.2">
      <c r="A62" s="996"/>
      <c r="B62" s="7" t="s">
        <v>399</v>
      </c>
      <c r="C62" s="1106">
        <v>-2388</v>
      </c>
      <c r="D62" s="1107">
        <v>-0.21856123009335529</v>
      </c>
      <c r="E62" s="991"/>
      <c r="F62" s="1108">
        <v>8538</v>
      </c>
      <c r="G62" s="421">
        <v>7870</v>
      </c>
      <c r="H62" s="421">
        <v>7521</v>
      </c>
      <c r="I62" s="703">
        <v>8179</v>
      </c>
      <c r="J62" s="1108">
        <v>10926</v>
      </c>
      <c r="K62" s="421">
        <v>7462</v>
      </c>
      <c r="L62" s="421">
        <v>7967</v>
      </c>
      <c r="M62" s="703">
        <v>8713</v>
      </c>
      <c r="N62" s="421">
        <v>10030</v>
      </c>
      <c r="O62" s="421">
        <v>8339</v>
      </c>
      <c r="P62" s="421">
        <v>7811</v>
      </c>
      <c r="Q62" s="703">
        <v>9378</v>
      </c>
      <c r="R62" s="421">
        <v>4038</v>
      </c>
      <c r="S62" s="421">
        <v>2712</v>
      </c>
      <c r="T62" s="421">
        <v>3186</v>
      </c>
      <c r="U62" s="421">
        <v>3355</v>
      </c>
      <c r="V62" s="1337">
        <v>4877</v>
      </c>
      <c r="W62" s="421">
        <v>4800</v>
      </c>
      <c r="X62" s="421">
        <v>4288</v>
      </c>
      <c r="Y62" s="421">
        <v>6975</v>
      </c>
      <c r="Z62" s="1337">
        <v>8215</v>
      </c>
      <c r="AA62" s="421">
        <v>9418</v>
      </c>
      <c r="AB62" s="421">
        <v>9547</v>
      </c>
      <c r="AC62" s="421">
        <v>8802</v>
      </c>
      <c r="AD62" s="1330">
        <v>7648</v>
      </c>
      <c r="AE62" s="539">
        <v>7035</v>
      </c>
      <c r="AF62" s="1340">
        <v>8214</v>
      </c>
      <c r="AG62" s="703">
        <v>8390</v>
      </c>
      <c r="AH62" s="832">
        <v>29584</v>
      </c>
      <c r="AI62" s="536"/>
      <c r="AJ62" s="536"/>
      <c r="AK62" s="421"/>
      <c r="AL62" s="536"/>
      <c r="AM62" s="421"/>
      <c r="AN62" s="421"/>
      <c r="AO62" s="536"/>
      <c r="AP62" s="751"/>
      <c r="AQ62" s="750">
        <v>23570</v>
      </c>
      <c r="AR62" s="750">
        <v>24142</v>
      </c>
      <c r="AS62" s="587">
        <v>-2960</v>
      </c>
      <c r="AT62" s="1116">
        <v>-8.4407436979582529E-2</v>
      </c>
      <c r="AU62" s="992"/>
      <c r="AV62" s="751">
        <v>32108</v>
      </c>
      <c r="AW62" s="751">
        <v>35068</v>
      </c>
      <c r="AX62" s="751">
        <v>35558</v>
      </c>
      <c r="AY62" s="751">
        <v>13291</v>
      </c>
      <c r="AZ62" s="564">
        <v>17589</v>
      </c>
      <c r="BA62" s="705">
        <v>11461</v>
      </c>
      <c r="BB62" s="705">
        <v>10891</v>
      </c>
      <c r="BC62" s="43">
        <v>14557</v>
      </c>
      <c r="BD62" s="1113">
        <v>45773</v>
      </c>
      <c r="BE62" s="1069">
        <v>41570</v>
      </c>
      <c r="BF62" s="1089"/>
      <c r="BG62" s="1089"/>
      <c r="BH62" s="962"/>
    </row>
    <row r="63" spans="1:65" ht="12.75" customHeight="1" x14ac:dyDescent="0.2">
      <c r="A63" s="996"/>
      <c r="B63" s="7" t="s">
        <v>65</v>
      </c>
      <c r="C63" s="1106">
        <v>-13451</v>
      </c>
      <c r="D63" s="1207">
        <v>-0.60570991128923313</v>
      </c>
      <c r="E63" s="991"/>
      <c r="F63" s="1108">
        <v>8756</v>
      </c>
      <c r="G63" s="421">
        <v>6761</v>
      </c>
      <c r="H63" s="421">
        <v>9010</v>
      </c>
      <c r="I63" s="703">
        <v>20059</v>
      </c>
      <c r="J63" s="1108">
        <v>22207</v>
      </c>
      <c r="K63" s="421">
        <v>22859</v>
      </c>
      <c r="L63" s="421">
        <v>10441</v>
      </c>
      <c r="M63" s="703">
        <v>4658</v>
      </c>
      <c r="N63" s="421">
        <v>7150</v>
      </c>
      <c r="O63" s="421">
        <v>12430</v>
      </c>
      <c r="P63" s="421">
        <v>10921</v>
      </c>
      <c r="Q63" s="703">
        <v>2922</v>
      </c>
      <c r="R63" s="421">
        <v>6834</v>
      </c>
      <c r="S63" s="421">
        <v>3072</v>
      </c>
      <c r="T63" s="421">
        <v>750</v>
      </c>
      <c r="U63" s="421">
        <v>2299</v>
      </c>
      <c r="V63" s="1337">
        <v>16817</v>
      </c>
      <c r="W63" s="421">
        <v>9429</v>
      </c>
      <c r="X63" s="421">
        <v>3477</v>
      </c>
      <c r="Y63" s="421">
        <v>31749</v>
      </c>
      <c r="Z63" s="1337">
        <v>23306</v>
      </c>
      <c r="AA63" s="421">
        <v>46294</v>
      </c>
      <c r="AB63" s="421">
        <v>16811</v>
      </c>
      <c r="AC63" s="421">
        <v>19402</v>
      </c>
      <c r="AD63" s="1330">
        <v>15250</v>
      </c>
      <c r="AE63" s="421">
        <v>4569</v>
      </c>
      <c r="AF63" s="703">
        <v>12638</v>
      </c>
      <c r="AG63" s="703">
        <v>17564</v>
      </c>
      <c r="AH63" s="832">
        <v>0</v>
      </c>
      <c r="AI63" s="536">
        <v>0</v>
      </c>
      <c r="AJ63" s="536">
        <v>0</v>
      </c>
      <c r="AK63" s="421">
        <v>0</v>
      </c>
      <c r="AL63" s="536">
        <v>0</v>
      </c>
      <c r="AM63" s="421">
        <v>0</v>
      </c>
      <c r="AN63" s="421">
        <v>0</v>
      </c>
      <c r="AO63" s="536">
        <v>0</v>
      </c>
      <c r="AP63" s="751"/>
      <c r="AQ63" s="750">
        <v>35830</v>
      </c>
      <c r="AR63" s="750">
        <v>37958</v>
      </c>
      <c r="AS63" s="587">
        <v>-15579</v>
      </c>
      <c r="AT63" s="1000">
        <v>-0.2589379207180254</v>
      </c>
      <c r="AU63" s="992"/>
      <c r="AV63" s="751">
        <v>44586</v>
      </c>
      <c r="AW63" s="751">
        <v>60165</v>
      </c>
      <c r="AX63" s="751">
        <v>33423</v>
      </c>
      <c r="AY63" s="751">
        <v>12955</v>
      </c>
      <c r="AZ63" s="565">
        <v>34572</v>
      </c>
      <c r="BA63" s="705">
        <v>35794</v>
      </c>
      <c r="BB63" s="705">
        <v>26736</v>
      </c>
      <c r="BC63" s="43">
        <v>80789</v>
      </c>
      <c r="BD63" s="1117">
        <v>128763</v>
      </c>
      <c r="BE63" s="1025">
        <v>99263</v>
      </c>
      <c r="BF63" s="1089"/>
      <c r="BG63" s="1089"/>
      <c r="BH63" s="962"/>
    </row>
    <row r="64" spans="1:65" ht="12.75" customHeight="1" x14ac:dyDescent="0.2">
      <c r="A64" s="996"/>
      <c r="B64" s="7" t="s">
        <v>213</v>
      </c>
      <c r="C64" s="1106">
        <v>-5145</v>
      </c>
      <c r="D64" s="1207">
        <v>-0.23839310536558242</v>
      </c>
      <c r="E64" s="991"/>
      <c r="F64" s="1108">
        <v>16437</v>
      </c>
      <c r="G64" s="421">
        <v>8505</v>
      </c>
      <c r="H64" s="421">
        <v>25922</v>
      </c>
      <c r="I64" s="703">
        <v>10615</v>
      </c>
      <c r="J64" s="1108">
        <v>21582</v>
      </c>
      <c r="K64" s="421">
        <v>28106</v>
      </c>
      <c r="L64" s="421">
        <v>16884</v>
      </c>
      <c r="M64" s="703">
        <v>21653</v>
      </c>
      <c r="N64" s="421">
        <v>19658</v>
      </c>
      <c r="O64" s="421">
        <v>16995</v>
      </c>
      <c r="P64" s="421">
        <v>13802</v>
      </c>
      <c r="Q64" s="703">
        <v>14616</v>
      </c>
      <c r="R64" s="421">
        <v>5533</v>
      </c>
      <c r="S64" s="421">
        <v>4356</v>
      </c>
      <c r="T64" s="421">
        <v>3235</v>
      </c>
      <c r="U64" s="421">
        <v>1470</v>
      </c>
      <c r="V64" s="1337">
        <v>2671</v>
      </c>
      <c r="W64" s="421">
        <v>2437</v>
      </c>
      <c r="X64" s="421">
        <v>4055</v>
      </c>
      <c r="Y64" s="421">
        <v>14504</v>
      </c>
      <c r="Z64" s="1337">
        <v>1297</v>
      </c>
      <c r="AA64" s="421">
        <v>1601</v>
      </c>
      <c r="AB64" s="421">
        <v>1211</v>
      </c>
      <c r="AC64" s="421">
        <v>1444</v>
      </c>
      <c r="AD64" s="1330">
        <v>2473</v>
      </c>
      <c r="AE64" s="421">
        <v>1215</v>
      </c>
      <c r="AF64" s="703">
        <v>2659</v>
      </c>
      <c r="AG64" s="703">
        <v>8562</v>
      </c>
      <c r="AH64" s="832"/>
      <c r="AI64" s="536"/>
      <c r="AJ64" s="536"/>
      <c r="AK64" s="421"/>
      <c r="AL64" s="536"/>
      <c r="AM64" s="421"/>
      <c r="AN64" s="421"/>
      <c r="AO64" s="536"/>
      <c r="AP64" s="751"/>
      <c r="AQ64" s="750">
        <v>45042</v>
      </c>
      <c r="AR64" s="750">
        <v>66643</v>
      </c>
      <c r="AS64" s="581">
        <v>-26746</v>
      </c>
      <c r="AT64" s="1000">
        <v>-0.30315670161518843</v>
      </c>
      <c r="AU64" s="992"/>
      <c r="AV64" s="751">
        <v>61479</v>
      </c>
      <c r="AW64" s="751">
        <v>88225</v>
      </c>
      <c r="AX64" s="751">
        <v>65071</v>
      </c>
      <c r="AY64" s="751">
        <v>14594</v>
      </c>
      <c r="AZ64" s="565">
        <v>12248</v>
      </c>
      <c r="BA64" s="705">
        <v>11757</v>
      </c>
      <c r="BB64" s="705">
        <v>21373</v>
      </c>
      <c r="BC64" s="43">
        <v>11914</v>
      </c>
      <c r="BD64" s="1136">
        <v>12713</v>
      </c>
      <c r="BE64" s="1025">
        <v>4636</v>
      </c>
      <c r="BF64" s="1089"/>
      <c r="BG64" s="1089"/>
      <c r="BH64" s="962"/>
    </row>
    <row r="65" spans="1:60" ht="12.75" customHeight="1" x14ac:dyDescent="0.2">
      <c r="A65" s="996"/>
      <c r="B65" s="7" t="s">
        <v>66</v>
      </c>
      <c r="C65" s="1106">
        <v>-3764</v>
      </c>
      <c r="D65" s="1107">
        <v>-0.45735115431348722</v>
      </c>
      <c r="E65" s="991"/>
      <c r="F65" s="1108">
        <v>4466</v>
      </c>
      <c r="G65" s="421">
        <v>424</v>
      </c>
      <c r="H65" s="421">
        <v>6498</v>
      </c>
      <c r="I65" s="703">
        <v>6041</v>
      </c>
      <c r="J65" s="1108">
        <v>8230</v>
      </c>
      <c r="K65" s="421">
        <v>7593</v>
      </c>
      <c r="L65" s="421">
        <v>7939</v>
      </c>
      <c r="M65" s="703">
        <v>5338</v>
      </c>
      <c r="N65" s="421">
        <v>8936</v>
      </c>
      <c r="O65" s="421">
        <v>6665</v>
      </c>
      <c r="P65" s="421">
        <v>6462</v>
      </c>
      <c r="Q65" s="703">
        <v>2443</v>
      </c>
      <c r="R65" s="421">
        <v>3447</v>
      </c>
      <c r="S65" s="421">
        <v>2591</v>
      </c>
      <c r="T65" s="421">
        <v>2232</v>
      </c>
      <c r="U65" s="421">
        <v>2173</v>
      </c>
      <c r="V65" s="1337">
        <v>10213</v>
      </c>
      <c r="W65" s="421">
        <v>6662</v>
      </c>
      <c r="X65" s="421">
        <v>6583</v>
      </c>
      <c r="Y65" s="421">
        <v>-262</v>
      </c>
      <c r="Z65" s="1337">
        <v>-115</v>
      </c>
      <c r="AA65" s="421">
        <v>-132</v>
      </c>
      <c r="AB65" s="421">
        <v>-255</v>
      </c>
      <c r="AC65" s="421">
        <v>-45</v>
      </c>
      <c r="AD65" s="1330">
        <v>-388</v>
      </c>
      <c r="AE65" s="421">
        <v>-274</v>
      </c>
      <c r="AF65" s="703">
        <v>-218</v>
      </c>
      <c r="AG65" s="703">
        <v>-343</v>
      </c>
      <c r="AH65" s="832">
        <v>5363</v>
      </c>
      <c r="AI65" s="536"/>
      <c r="AJ65" s="536"/>
      <c r="AK65" s="421"/>
      <c r="AL65" s="536"/>
      <c r="AM65" s="421"/>
      <c r="AN65" s="421"/>
      <c r="AO65" s="536"/>
      <c r="AP65" s="751"/>
      <c r="AQ65" s="750">
        <v>12963</v>
      </c>
      <c r="AR65" s="750">
        <v>20870</v>
      </c>
      <c r="AS65" s="581">
        <v>-11671</v>
      </c>
      <c r="AT65" s="1000">
        <v>-0.40106529209621994</v>
      </c>
      <c r="AU65" s="992"/>
      <c r="AV65" s="751">
        <v>17429</v>
      </c>
      <c r="AW65" s="751">
        <v>29100</v>
      </c>
      <c r="AX65" s="751">
        <v>24506</v>
      </c>
      <c r="AY65" s="751">
        <v>10443</v>
      </c>
      <c r="AZ65" s="565">
        <v>28332</v>
      </c>
      <c r="BA65" s="705">
        <v>23190</v>
      </c>
      <c r="BB65" s="705">
        <v>9476</v>
      </c>
      <c r="BC65" s="43">
        <v>4419</v>
      </c>
      <c r="BD65" s="1117">
        <v>-524</v>
      </c>
      <c r="BE65" s="1025">
        <v>4647</v>
      </c>
      <c r="BF65" s="1089"/>
      <c r="BG65" s="1089"/>
      <c r="BH65" s="962"/>
    </row>
    <row r="66" spans="1:60" ht="12.75" customHeight="1" x14ac:dyDescent="0.2">
      <c r="A66" s="996"/>
      <c r="B66" s="7" t="s">
        <v>67</v>
      </c>
      <c r="C66" s="1106">
        <v>-65</v>
      </c>
      <c r="D66" s="1207" t="s">
        <v>42</v>
      </c>
      <c r="E66" s="991"/>
      <c r="F66" s="1108">
        <v>-54</v>
      </c>
      <c r="G66" s="421">
        <v>14</v>
      </c>
      <c r="H66" s="421">
        <v>-51</v>
      </c>
      <c r="I66" s="703">
        <v>9</v>
      </c>
      <c r="J66" s="1108">
        <v>11</v>
      </c>
      <c r="K66" s="421">
        <v>2</v>
      </c>
      <c r="L66" s="421">
        <v>-25</v>
      </c>
      <c r="M66" s="703">
        <v>7</v>
      </c>
      <c r="N66" s="421">
        <v>19</v>
      </c>
      <c r="O66" s="421">
        <v>106</v>
      </c>
      <c r="P66" s="421">
        <v>43</v>
      </c>
      <c r="Q66" s="703">
        <v>59</v>
      </c>
      <c r="R66" s="421">
        <v>15</v>
      </c>
      <c r="S66" s="421">
        <v>0</v>
      </c>
      <c r="T66" s="421">
        <v>3</v>
      </c>
      <c r="U66" s="421">
        <v>2</v>
      </c>
      <c r="V66" s="1337">
        <v>15</v>
      </c>
      <c r="W66" s="421">
        <v>3</v>
      </c>
      <c r="X66" s="421">
        <v>4</v>
      </c>
      <c r="Y66" s="421">
        <v>46</v>
      </c>
      <c r="Z66" s="1337">
        <v>102</v>
      </c>
      <c r="AA66" s="421">
        <v>0</v>
      </c>
      <c r="AB66" s="421">
        <v>0</v>
      </c>
      <c r="AC66" s="421">
        <v>37</v>
      </c>
      <c r="AD66" s="1330">
        <v>50</v>
      </c>
      <c r="AE66" s="421">
        <v>93</v>
      </c>
      <c r="AF66" s="703">
        <v>168</v>
      </c>
      <c r="AG66" s="703">
        <v>178</v>
      </c>
      <c r="AH66" s="832">
        <v>-3063</v>
      </c>
      <c r="AI66" s="536">
        <v>42952</v>
      </c>
      <c r="AJ66" s="536">
        <v>39210</v>
      </c>
      <c r="AK66" s="421">
        <v>62549</v>
      </c>
      <c r="AL66" s="536">
        <v>57382</v>
      </c>
      <c r="AM66" s="421">
        <v>48897</v>
      </c>
      <c r="AN66" s="421">
        <v>38533</v>
      </c>
      <c r="AO66" s="536">
        <v>42750</v>
      </c>
      <c r="AP66" s="751"/>
      <c r="AQ66" s="750">
        <v>-28</v>
      </c>
      <c r="AR66" s="750">
        <v>-16</v>
      </c>
      <c r="AS66" s="581">
        <v>-77</v>
      </c>
      <c r="AT66" s="1000" t="s">
        <v>42</v>
      </c>
      <c r="AU66" s="992"/>
      <c r="AV66" s="751">
        <v>-82</v>
      </c>
      <c r="AW66" s="751">
        <v>-5</v>
      </c>
      <c r="AX66" s="751">
        <v>227</v>
      </c>
      <c r="AY66" s="751">
        <v>20</v>
      </c>
      <c r="AZ66" s="565">
        <v>25</v>
      </c>
      <c r="BA66" s="705">
        <v>94</v>
      </c>
      <c r="BB66" s="705">
        <v>2226</v>
      </c>
      <c r="BC66" s="43">
        <v>3339</v>
      </c>
      <c r="BD66" s="1117">
        <v>543</v>
      </c>
      <c r="BE66" s="1025">
        <v>236</v>
      </c>
      <c r="BF66" s="1089"/>
      <c r="BG66" s="1089"/>
      <c r="BH66" s="962"/>
    </row>
    <row r="67" spans="1:60" ht="12.75" customHeight="1" x14ac:dyDescent="0.2">
      <c r="A67" s="1100"/>
      <c r="B67" s="7" t="s">
        <v>68</v>
      </c>
      <c r="C67" s="1106">
        <v>232</v>
      </c>
      <c r="D67" s="1207">
        <v>-1.0593607305936072</v>
      </c>
      <c r="E67" s="1139"/>
      <c r="F67" s="1108">
        <v>451</v>
      </c>
      <c r="G67" s="1322">
        <v>118</v>
      </c>
      <c r="H67" s="1322">
        <v>10</v>
      </c>
      <c r="I67" s="837">
        <v>-157</v>
      </c>
      <c r="J67" s="1108">
        <v>219</v>
      </c>
      <c r="K67" s="1322">
        <v>-315</v>
      </c>
      <c r="L67" s="1322">
        <v>-270</v>
      </c>
      <c r="M67" s="837">
        <v>120</v>
      </c>
      <c r="N67" s="421">
        <v>-241</v>
      </c>
      <c r="O67" s="421">
        <v>-287</v>
      </c>
      <c r="P67" s="1322">
        <v>-5</v>
      </c>
      <c r="Q67" s="837">
        <v>-198</v>
      </c>
      <c r="R67" s="421">
        <v>-6</v>
      </c>
      <c r="S67" s="421">
        <v>17</v>
      </c>
      <c r="T67" s="1322">
        <v>-68</v>
      </c>
      <c r="U67" s="1322">
        <v>-53</v>
      </c>
      <c r="V67" s="1337">
        <v>-38</v>
      </c>
      <c r="W67" s="421">
        <v>8</v>
      </c>
      <c r="X67" s="1322">
        <v>-69</v>
      </c>
      <c r="Y67" s="1322">
        <v>45</v>
      </c>
      <c r="Z67" s="1337">
        <v>1</v>
      </c>
      <c r="AA67" s="421">
        <v>0</v>
      </c>
      <c r="AB67" s="1322">
        <v>0</v>
      </c>
      <c r="AC67" s="1322">
        <v>414</v>
      </c>
      <c r="AD67" s="1330">
        <v>0</v>
      </c>
      <c r="AE67" s="1322">
        <v>1</v>
      </c>
      <c r="AF67" s="837">
        <v>0</v>
      </c>
      <c r="AG67" s="837">
        <v>1</v>
      </c>
      <c r="AH67" s="1310">
        <v>60</v>
      </c>
      <c r="AI67" s="1341"/>
      <c r="AJ67" s="1341"/>
      <c r="AK67" s="1341"/>
      <c r="AL67" s="1341"/>
      <c r="AM67" s="1341"/>
      <c r="AN67" s="1341"/>
      <c r="AO67" s="1341"/>
      <c r="AP67" s="751"/>
      <c r="AQ67" s="750">
        <v>-29</v>
      </c>
      <c r="AR67" s="750">
        <v>-465</v>
      </c>
      <c r="AS67" s="581">
        <v>668</v>
      </c>
      <c r="AT67" s="1116">
        <v>2.7154471544715446</v>
      </c>
      <c r="AU67" s="996"/>
      <c r="AV67" s="751">
        <v>422</v>
      </c>
      <c r="AW67" s="751">
        <v>-246</v>
      </c>
      <c r="AX67" s="751">
        <v>-731</v>
      </c>
      <c r="AY67" s="751">
        <v>-110</v>
      </c>
      <c r="AZ67" s="566">
        <v>-89</v>
      </c>
      <c r="BA67" s="705">
        <v>158</v>
      </c>
      <c r="BB67" s="705">
        <v>2224</v>
      </c>
      <c r="BC67" s="43">
        <v>3314</v>
      </c>
      <c r="BD67" s="1119">
        <v>294</v>
      </c>
      <c r="BE67" s="1120">
        <v>118</v>
      </c>
      <c r="BF67" s="1089"/>
      <c r="BG67" s="1089"/>
      <c r="BH67" s="962"/>
    </row>
    <row r="68" spans="1:60" ht="12.75" customHeight="1" x14ac:dyDescent="0.2">
      <c r="A68" s="1100"/>
      <c r="B68" s="7"/>
      <c r="C68" s="1144">
        <v>-24581</v>
      </c>
      <c r="D68" s="1145">
        <v>-0.38909378709932729</v>
      </c>
      <c r="E68" s="957"/>
      <c r="F68" s="1146">
        <v>38594</v>
      </c>
      <c r="G68" s="512">
        <v>23692</v>
      </c>
      <c r="H68" s="512">
        <v>48910</v>
      </c>
      <c r="I68" s="1342">
        <v>44746</v>
      </c>
      <c r="J68" s="1146">
        <v>63175</v>
      </c>
      <c r="K68" s="512">
        <v>65707</v>
      </c>
      <c r="L68" s="512">
        <v>42936</v>
      </c>
      <c r="M68" s="1342">
        <v>40489</v>
      </c>
      <c r="N68" s="512">
        <v>45552</v>
      </c>
      <c r="O68" s="512">
        <v>44248</v>
      </c>
      <c r="P68" s="512">
        <v>39034</v>
      </c>
      <c r="Q68" s="1342">
        <v>29220</v>
      </c>
      <c r="R68" s="512">
        <v>19861</v>
      </c>
      <c r="S68" s="512">
        <v>12748</v>
      </c>
      <c r="T68" s="512">
        <v>9338</v>
      </c>
      <c r="U68" s="512">
        <v>9246</v>
      </c>
      <c r="V68" s="674">
        <v>34555</v>
      </c>
      <c r="W68" s="512">
        <v>23339</v>
      </c>
      <c r="X68" s="512">
        <v>18338</v>
      </c>
      <c r="Y68" s="512">
        <v>53057</v>
      </c>
      <c r="Z68" s="674">
        <v>32806</v>
      </c>
      <c r="AA68" s="512">
        <v>57181</v>
      </c>
      <c r="AB68" s="512">
        <v>27314</v>
      </c>
      <c r="AC68" s="512">
        <v>30054</v>
      </c>
      <c r="AD68" s="674">
        <v>25033</v>
      </c>
      <c r="AE68" s="512">
        <v>12639</v>
      </c>
      <c r="AF68" s="1342">
        <v>23461</v>
      </c>
      <c r="AG68" s="1342">
        <v>34352</v>
      </c>
      <c r="AH68" s="1342">
        <v>31944</v>
      </c>
      <c r="AI68" s="1343"/>
      <c r="AJ68" s="1343"/>
      <c r="AK68" s="1343"/>
      <c r="AL68" s="1343"/>
      <c r="AM68" s="1343"/>
      <c r="AN68" s="1343"/>
      <c r="AO68" s="1343"/>
      <c r="AP68" s="1344"/>
      <c r="AQ68" s="674">
        <v>117348</v>
      </c>
      <c r="AR68" s="512">
        <v>149132</v>
      </c>
      <c r="AS68" s="583">
        <v>-56365</v>
      </c>
      <c r="AT68" s="1150">
        <v>-0.26548818456292067</v>
      </c>
      <c r="AV68" s="513">
        <v>155942</v>
      </c>
      <c r="AW68" s="513">
        <v>212307</v>
      </c>
      <c r="AX68" s="513">
        <v>158054</v>
      </c>
      <c r="AY68" s="513">
        <v>51193</v>
      </c>
      <c r="AZ68" s="513">
        <v>92677</v>
      </c>
      <c r="BA68" s="513">
        <v>82454</v>
      </c>
      <c r="BB68" s="1342">
        <v>72926</v>
      </c>
      <c r="BC68" s="1152">
        <v>118332</v>
      </c>
      <c r="BD68" s="1152">
        <v>187562</v>
      </c>
      <c r="BE68" s="1152">
        <v>150470</v>
      </c>
      <c r="BF68" s="1089"/>
      <c r="BG68" s="1089"/>
    </row>
    <row r="69" spans="1:60" ht="12.75" customHeight="1" x14ac:dyDescent="0.2">
      <c r="A69" s="1100"/>
      <c r="B69" s="7"/>
      <c r="C69" s="1121"/>
      <c r="D69" s="1153"/>
      <c r="E69" s="957"/>
      <c r="F69" s="1154"/>
      <c r="G69" s="536"/>
      <c r="H69" s="536"/>
      <c r="I69" s="1310"/>
      <c r="J69" s="1154"/>
      <c r="K69" s="536"/>
      <c r="L69" s="536"/>
      <c r="M69" s="1310"/>
      <c r="N69" s="536"/>
      <c r="O69" s="535"/>
      <c r="P69" s="536"/>
      <c r="Q69" s="832"/>
      <c r="R69" s="536"/>
      <c r="S69" s="535"/>
      <c r="T69" s="536"/>
      <c r="U69" s="536"/>
      <c r="V69" s="1330"/>
      <c r="W69" s="537"/>
      <c r="X69" s="537"/>
      <c r="Y69" s="537"/>
      <c r="Z69" s="651"/>
      <c r="AA69" s="537"/>
      <c r="AB69" s="537"/>
      <c r="AC69" s="537"/>
      <c r="AD69" s="536"/>
      <c r="AE69" s="536"/>
      <c r="AF69" s="536"/>
      <c r="AG69" s="536"/>
      <c r="AH69" s="536"/>
      <c r="AI69" s="1343"/>
      <c r="AJ69" s="1343"/>
      <c r="AK69" s="1343"/>
      <c r="AL69" s="1343"/>
      <c r="AM69" s="1343"/>
      <c r="AN69" s="1343"/>
      <c r="AO69" s="1343"/>
      <c r="AP69" s="1344"/>
      <c r="AQ69" s="651"/>
      <c r="AR69" s="537"/>
      <c r="AS69" s="582"/>
      <c r="AT69" s="1158"/>
      <c r="AV69" s="1159"/>
      <c r="AW69" s="1159"/>
      <c r="AX69" s="1159"/>
      <c r="AY69" s="1159"/>
      <c r="AZ69" s="1159"/>
      <c r="BA69" s="1159"/>
      <c r="BB69" s="1160"/>
      <c r="BC69" s="1159"/>
      <c r="BD69" s="1160"/>
      <c r="BE69" s="1006"/>
      <c r="BF69" s="1089"/>
      <c r="BG69" s="1089"/>
    </row>
    <row r="70" spans="1:60" s="721" customFormat="1" ht="13.5" customHeight="1" x14ac:dyDescent="0.2">
      <c r="A70" s="190"/>
      <c r="B70" s="7" t="s">
        <v>400</v>
      </c>
      <c r="C70" s="152">
        <v>405</v>
      </c>
      <c r="D70" s="1406" t="s">
        <v>42</v>
      </c>
      <c r="E70" s="24"/>
      <c r="F70" s="1345">
        <v>-546</v>
      </c>
      <c r="G70" s="1345">
        <v>-433</v>
      </c>
      <c r="H70" s="1345">
        <v>-574</v>
      </c>
      <c r="I70" s="1310">
        <v>-741</v>
      </c>
      <c r="J70" s="1345">
        <v>-951</v>
      </c>
      <c r="K70" s="1345">
        <v>-802</v>
      </c>
      <c r="L70" s="1345">
        <v>0</v>
      </c>
      <c r="M70" s="1310">
        <v>0</v>
      </c>
      <c r="N70" s="1346">
        <v>-276</v>
      </c>
      <c r="O70" s="1345">
        <v>-520</v>
      </c>
      <c r="P70" s="1345">
        <v>0</v>
      </c>
      <c r="Q70" s="1342">
        <v>-190</v>
      </c>
      <c r="R70" s="1346">
        <v>0</v>
      </c>
      <c r="S70" s="1345">
        <v>0</v>
      </c>
      <c r="T70" s="1345">
        <v>0</v>
      </c>
      <c r="U70" s="1347">
        <v>0</v>
      </c>
      <c r="V70" s="1346">
        <v>0</v>
      </c>
      <c r="W70" s="654">
        <v>0</v>
      </c>
      <c r="X70" s="654">
        <v>0</v>
      </c>
      <c r="Y70" s="1348">
        <v>0</v>
      </c>
      <c r="Z70" s="1349" t="s">
        <v>186</v>
      </c>
      <c r="AA70" s="1350" t="s">
        <v>186</v>
      </c>
      <c r="AB70" s="1350" t="s">
        <v>186</v>
      </c>
      <c r="AC70" s="1350" t="s">
        <v>186</v>
      </c>
      <c r="AD70" s="1351"/>
      <c r="AE70" s="1351"/>
      <c r="AF70" s="1351"/>
      <c r="AG70" s="1351"/>
      <c r="AH70" s="1351"/>
      <c r="AI70" s="1352"/>
      <c r="AJ70" s="1352"/>
      <c r="AK70" s="1352"/>
      <c r="AL70" s="1352"/>
      <c r="AM70" s="1352"/>
      <c r="AN70" s="1352"/>
      <c r="AO70" s="1352"/>
      <c r="AP70" s="1353"/>
      <c r="AQ70" s="651">
        <v>-1748</v>
      </c>
      <c r="AR70" s="1327">
        <v>-802</v>
      </c>
      <c r="AS70" s="654">
        <v>-541</v>
      </c>
      <c r="AT70" s="483" t="s">
        <v>42</v>
      </c>
      <c r="AU70" s="97"/>
      <c r="AV70" s="822">
        <v>-2294</v>
      </c>
      <c r="AW70" s="822">
        <v>-1753</v>
      </c>
      <c r="AX70" s="822">
        <v>-986</v>
      </c>
      <c r="AY70" s="822">
        <v>0</v>
      </c>
      <c r="AZ70" s="822">
        <v>0</v>
      </c>
      <c r="BA70" s="644">
        <v>0</v>
      </c>
      <c r="BB70" s="645" t="s">
        <v>186</v>
      </c>
      <c r="BC70" s="644" t="s">
        <v>186</v>
      </c>
      <c r="BD70" s="644" t="s">
        <v>186</v>
      </c>
      <c r="BE70" s="730"/>
      <c r="BF70" s="727"/>
      <c r="BG70" s="727"/>
    </row>
    <row r="71" spans="1:60" x14ac:dyDescent="0.2">
      <c r="F71" s="944"/>
      <c r="G71" s="944"/>
      <c r="H71" s="944"/>
      <c r="I71" s="944"/>
      <c r="J71" s="944"/>
      <c r="K71" s="944"/>
      <c r="L71" s="944"/>
      <c r="M71" s="944"/>
      <c r="N71" s="944"/>
      <c r="O71" s="944"/>
      <c r="P71" s="944"/>
      <c r="Q71" s="944"/>
      <c r="R71" s="944"/>
      <c r="S71" s="944"/>
      <c r="T71" s="944"/>
      <c r="U71" s="944"/>
      <c r="V71" s="944"/>
      <c r="W71" s="944"/>
      <c r="X71" s="944"/>
      <c r="Y71" s="944"/>
      <c r="Z71" s="944"/>
      <c r="AA71" s="944"/>
      <c r="AB71" s="944"/>
      <c r="AC71" s="944"/>
      <c r="AD71" s="944"/>
      <c r="AE71" s="944"/>
      <c r="AF71" s="944"/>
      <c r="AG71" s="944"/>
      <c r="AH71" s="944"/>
      <c r="AI71" s="944"/>
      <c r="AJ71" s="944"/>
      <c r="AK71" s="944"/>
      <c r="AL71" s="944"/>
      <c r="AM71" s="944"/>
      <c r="AN71" s="944"/>
      <c r="AO71" s="944"/>
      <c r="AP71" s="944"/>
      <c r="AQ71" s="944"/>
      <c r="AR71" s="944"/>
      <c r="AS71" s="1182"/>
      <c r="AT71" s="1182"/>
      <c r="AU71" s="944"/>
      <c r="AV71" s="944"/>
      <c r="AW71" s="944"/>
      <c r="AX71" s="944"/>
      <c r="AY71" s="944"/>
      <c r="AZ71" s="944"/>
      <c r="BA71" s="944"/>
      <c r="BB71" s="944"/>
      <c r="BC71" s="944"/>
      <c r="BD71" s="944"/>
      <c r="BE71" s="944"/>
      <c r="BF71" s="944">
        <v>0</v>
      </c>
      <c r="BG71" s="944">
        <v>0</v>
      </c>
      <c r="BH71" s="944">
        <v>0</v>
      </c>
    </row>
    <row r="72" spans="1:60" x14ac:dyDescent="0.2">
      <c r="A72" s="7" t="s">
        <v>439</v>
      </c>
      <c r="F72" s="944"/>
      <c r="G72" s="944"/>
      <c r="H72" s="944"/>
      <c r="I72" s="944"/>
      <c r="J72" s="944"/>
      <c r="K72" s="944"/>
      <c r="L72" s="944"/>
      <c r="M72" s="944"/>
      <c r="N72" s="944"/>
      <c r="O72" s="944"/>
      <c r="P72" s="944"/>
      <c r="Q72" s="944"/>
      <c r="R72" s="944"/>
      <c r="T72" s="944"/>
      <c r="U72" s="944"/>
      <c r="Y72" s="944"/>
      <c r="AC72" s="944"/>
      <c r="AD72" s="944"/>
      <c r="AE72" s="944"/>
      <c r="AF72" s="944"/>
      <c r="AG72" s="944"/>
      <c r="AH72" s="944"/>
      <c r="AI72" s="944"/>
      <c r="AJ72" s="944"/>
      <c r="AK72" s="944"/>
      <c r="AL72" s="944"/>
      <c r="AM72" s="944"/>
      <c r="AN72" s="944"/>
      <c r="AO72" s="944"/>
      <c r="AP72" s="944"/>
      <c r="AQ72" s="944"/>
      <c r="AR72" s="944"/>
      <c r="AS72" s="1182"/>
      <c r="AT72" s="1182"/>
      <c r="AU72" s="944"/>
      <c r="AV72" s="944"/>
      <c r="AW72" s="944"/>
      <c r="AX72" s="944"/>
      <c r="AY72" s="944"/>
      <c r="AZ72" s="944"/>
      <c r="BA72" s="944"/>
      <c r="BB72" s="944"/>
      <c r="BC72" s="944"/>
      <c r="BD72" s="1183"/>
      <c r="BE72" s="1183"/>
    </row>
    <row r="73" spans="1:60" x14ac:dyDescent="0.2">
      <c r="A73" s="1" t="s">
        <v>29</v>
      </c>
      <c r="AG73" s="1094"/>
      <c r="AH73" s="1193"/>
      <c r="AI73" s="1091"/>
      <c r="AJ73" s="1091"/>
      <c r="AK73" s="1091"/>
      <c r="AL73" s="1193"/>
      <c r="AM73" s="1091"/>
      <c r="AN73" s="1091"/>
      <c r="AO73" s="1084"/>
      <c r="AP73" s="943"/>
      <c r="AQ73" s="943"/>
      <c r="AR73" s="943"/>
      <c r="BC73" s="1091"/>
      <c r="BD73" s="1091"/>
    </row>
    <row r="74" spans="1:60" x14ac:dyDescent="0.2">
      <c r="A74" s="2"/>
      <c r="I74" s="944"/>
      <c r="M74" s="944"/>
      <c r="AG74" s="1094"/>
      <c r="AH74" s="1091"/>
      <c r="AI74" s="1091"/>
      <c r="AJ74" s="1091"/>
      <c r="AK74" s="1091"/>
      <c r="AL74" s="1091"/>
      <c r="AM74" s="1091"/>
      <c r="AN74" s="1091"/>
      <c r="AO74" s="1084"/>
      <c r="AP74" s="943"/>
      <c r="AQ74" s="943"/>
      <c r="AR74" s="943"/>
      <c r="BC74" s="1091"/>
      <c r="BD74" s="1091"/>
    </row>
    <row r="75" spans="1:60" x14ac:dyDescent="0.2">
      <c r="A75" s="7" t="s">
        <v>339</v>
      </c>
      <c r="AG75" s="1094"/>
      <c r="AH75" s="1091"/>
      <c r="AI75" s="1091"/>
      <c r="AJ75" s="1091"/>
      <c r="AK75" s="1091"/>
      <c r="AL75" s="1091"/>
      <c r="AM75" s="1091"/>
      <c r="AN75" s="1091"/>
      <c r="AO75" s="1084"/>
      <c r="AP75" s="943"/>
      <c r="AQ75" s="943"/>
      <c r="AR75" s="943"/>
      <c r="BC75" s="1091"/>
      <c r="BD75" s="1091"/>
    </row>
    <row r="76" spans="1:60" x14ac:dyDescent="0.2">
      <c r="AG76" s="1091"/>
      <c r="AH76" s="1091"/>
      <c r="AI76" s="1091"/>
      <c r="AJ76" s="1091"/>
      <c r="AK76" s="1091"/>
      <c r="AL76" s="1091"/>
      <c r="AM76" s="1091"/>
      <c r="AN76" s="1091"/>
      <c r="AO76" s="1091"/>
      <c r="AP76" s="943"/>
      <c r="AQ76" s="943"/>
      <c r="AR76" s="943"/>
      <c r="BC76" s="1194"/>
      <c r="BD76" s="1194"/>
    </row>
    <row r="77" spans="1:60" x14ac:dyDescent="0.2">
      <c r="AG77" s="1194"/>
      <c r="AH77" s="1194"/>
      <c r="AI77" s="1194"/>
      <c r="AJ77" s="1194"/>
      <c r="AK77" s="1194"/>
      <c r="AL77" s="1194"/>
      <c r="AM77" s="1194"/>
      <c r="AN77" s="1194"/>
      <c r="AO77" s="1194"/>
      <c r="AP77" s="943"/>
      <c r="AQ77" s="943"/>
      <c r="AR77" s="943"/>
      <c r="BC77" s="1194"/>
      <c r="BD77" s="1194"/>
    </row>
    <row r="78" spans="1:60" x14ac:dyDescent="0.2">
      <c r="AG78" s="1194"/>
      <c r="AH78" s="1194"/>
      <c r="AI78" s="1194"/>
      <c r="AJ78" s="1194"/>
      <c r="AK78" s="1194"/>
      <c r="AL78" s="1194"/>
      <c r="AM78" s="1194"/>
      <c r="AN78" s="1194"/>
      <c r="AO78" s="1194"/>
      <c r="AP78" s="943"/>
      <c r="AQ78" s="943"/>
      <c r="AR78" s="943"/>
      <c r="BC78" s="943"/>
      <c r="BD78" s="943"/>
    </row>
    <row r="79" spans="1:60" x14ac:dyDescent="0.2">
      <c r="AG79" s="943"/>
      <c r="AH79" s="943"/>
      <c r="AI79" s="943"/>
      <c r="AJ79" s="943"/>
      <c r="AK79" s="943"/>
      <c r="AL79" s="943"/>
      <c r="AM79" s="943"/>
      <c r="AN79" s="943"/>
      <c r="AO79" s="943"/>
      <c r="AP79" s="943"/>
      <c r="AQ79" s="943"/>
      <c r="AR79" s="943"/>
      <c r="BC79" s="943"/>
      <c r="BD79" s="943"/>
    </row>
    <row r="80" spans="1:60" x14ac:dyDescent="0.2">
      <c r="AG80" s="943"/>
      <c r="AH80" s="943"/>
      <c r="AI80" s="943"/>
      <c r="AJ80" s="943"/>
      <c r="AK80" s="943"/>
      <c r="AL80" s="943"/>
      <c r="AM80" s="943"/>
      <c r="AN80" s="943"/>
      <c r="AO80" s="943"/>
      <c r="AP80" s="943"/>
      <c r="AQ80" s="943"/>
      <c r="AR80" s="943"/>
      <c r="BC80" s="943"/>
      <c r="BD80" s="943"/>
    </row>
    <row r="81" spans="33:56" x14ac:dyDescent="0.2">
      <c r="AG81" s="943"/>
      <c r="AH81" s="943"/>
      <c r="AI81" s="943"/>
      <c r="AJ81" s="943"/>
      <c r="AK81" s="943"/>
      <c r="AL81" s="943"/>
      <c r="AM81" s="943"/>
      <c r="AN81" s="943"/>
      <c r="AO81" s="943"/>
      <c r="AP81" s="943"/>
      <c r="AQ81" s="943"/>
      <c r="AR81" s="943"/>
      <c r="BC81" s="943"/>
      <c r="BD81" s="943"/>
    </row>
    <row r="82" spans="33:56" x14ac:dyDescent="0.2">
      <c r="AG82" s="943"/>
      <c r="AH82" s="943"/>
      <c r="AI82" s="943"/>
      <c r="AJ82" s="943"/>
      <c r="AK82" s="943"/>
      <c r="AL82" s="943"/>
      <c r="AM82" s="943"/>
      <c r="AN82" s="943"/>
      <c r="AO82" s="943"/>
      <c r="AP82" s="943"/>
      <c r="AQ82" s="943"/>
      <c r="AR82" s="943"/>
      <c r="BC82" s="943"/>
      <c r="BD82" s="943"/>
    </row>
    <row r="83" spans="33:56" x14ac:dyDescent="0.2">
      <c r="AG83" s="943"/>
      <c r="AH83" s="943"/>
      <c r="AI83" s="943"/>
      <c r="AJ83" s="943"/>
      <c r="AK83" s="943"/>
      <c r="AL83" s="943"/>
      <c r="AM83" s="943"/>
      <c r="AN83" s="943"/>
      <c r="AO83" s="943"/>
      <c r="AP83" s="943"/>
      <c r="AQ83" s="943"/>
      <c r="AR83" s="943"/>
    </row>
  </sheetData>
  <mergeCells count="11">
    <mergeCell ref="C60:D60"/>
    <mergeCell ref="C61:D61"/>
    <mergeCell ref="AS61:AT61"/>
    <mergeCell ref="A34:B34"/>
    <mergeCell ref="C10:D10"/>
    <mergeCell ref="C11:D11"/>
    <mergeCell ref="AS11:AT11"/>
    <mergeCell ref="A32:B32"/>
    <mergeCell ref="C48:D48"/>
    <mergeCell ref="C49:D49"/>
    <mergeCell ref="AS49:AT49"/>
  </mergeCells>
  <conditionalFormatting sqref="A46:A47 AI55:AO58 A67:A68 A59 AK42:AO42 AI38:AO41 A35:B35 A38:B39 B36 AX55:BD58 BB41:BD42 BB38:BD39 AV55:AX57">
    <cfRule type="cellIs" dxfId="32" priority="9" stopIfTrue="1" operator="equal">
      <formula>0</formula>
    </cfRule>
  </conditionalFormatting>
  <conditionalFormatting sqref="AX58">
    <cfRule type="cellIs" dxfId="31" priority="8" stopIfTrue="1" operator="equal">
      <formula>0</formula>
    </cfRule>
  </conditionalFormatting>
  <conditionalFormatting sqref="A69">
    <cfRule type="cellIs" dxfId="30" priority="7" stopIfTrue="1" operator="equal">
      <formula>0</formula>
    </cfRule>
  </conditionalFormatting>
  <conditionalFormatting sqref="A70">
    <cfRule type="cellIs" dxfId="29" priority="5" stopIfTrue="1" operator="equal">
      <formula>0</formula>
    </cfRule>
  </conditionalFormatting>
  <conditionalFormatting sqref="A70">
    <cfRule type="cellIs" dxfId="28" priority="6" stopIfTrue="1" operator="equal">
      <formula>0</formula>
    </cfRule>
  </conditionalFormatting>
  <conditionalFormatting sqref="A36:A37">
    <cfRule type="cellIs" dxfId="27" priority="4" stopIfTrue="1" operator="equal">
      <formula>0</formula>
    </cfRule>
  </conditionalFormatting>
  <conditionalFormatting sqref="AW58">
    <cfRule type="cellIs" dxfId="26" priority="3" stopIfTrue="1" operator="equal">
      <formula>0</formula>
    </cfRule>
  </conditionalFormatting>
  <conditionalFormatting sqref="AV58">
    <cfRule type="cellIs" dxfId="25" priority="1" stopIfTrue="1" operator="equal">
      <formula>0</formula>
    </cfRule>
  </conditionalFormatting>
  <printOptions horizontalCentered="1"/>
  <pageMargins left="0.3" right="0.3" top="0.4" bottom="0.53" header="0" footer="0.3"/>
  <pageSetup scale="54" orientation="landscape" r:id="rId1"/>
  <headerFooter alignWithMargins="0">
    <oddFooter>&amp;CPage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O89"/>
  <sheetViews>
    <sheetView zoomScaleNormal="100" zoomScaleSheetLayoutView="80" workbookViewId="0">
      <selection activeCell="AS32" sqref="AS32"/>
    </sheetView>
  </sheetViews>
  <sheetFormatPr defaultRowHeight="12.75" x14ac:dyDescent="0.2"/>
  <cols>
    <col min="1" max="1" width="2.7109375" style="613" customWidth="1"/>
    <col min="2" max="2" width="45.7109375" style="613" customWidth="1"/>
    <col min="3" max="3" width="10.7109375" style="613" customWidth="1"/>
    <col min="4" max="4" width="10.140625" style="613" customWidth="1"/>
    <col min="5" max="5" width="1.5703125" style="3" customWidth="1"/>
    <col min="6" max="6" width="9.7109375" style="722" customWidth="1"/>
    <col min="7" max="7" width="7.7109375" style="722" bestFit="1" customWidth="1"/>
    <col min="8" max="8" width="9.140625" style="722" customWidth="1"/>
    <col min="9" max="9" width="8.5703125" style="722" customWidth="1"/>
    <col min="10" max="12" width="9.140625" style="722" customWidth="1"/>
    <col min="13" max="13" width="8.5703125" style="722" customWidth="1"/>
    <col min="14" max="14" width="9.140625" style="722" customWidth="1"/>
    <col min="15" max="15" width="9.140625" style="722" hidden="1" customWidth="1"/>
    <col min="16" max="16" width="8.42578125" style="722" hidden="1" customWidth="1"/>
    <col min="17" max="17" width="8.5703125" style="722" hidden="1" customWidth="1"/>
    <col min="18" max="19" width="8.5703125" style="3" hidden="1" customWidth="1"/>
    <col min="20" max="20" width="9.140625" style="3" hidden="1" customWidth="1"/>
    <col min="21" max="30" width="8.5703125" style="3" hidden="1" customWidth="1"/>
    <col min="31" max="32" width="9.7109375" style="3" hidden="1" customWidth="1"/>
    <col min="33" max="41" width="9.7109375" style="613" hidden="1" customWidth="1"/>
    <col min="42" max="42" width="1.5703125" style="613" customWidth="1"/>
    <col min="43" max="44" width="9.85546875" style="613" hidden="1" customWidth="1"/>
    <col min="45" max="45" width="10.140625" style="106" customWidth="1"/>
    <col min="46" max="46" width="9.85546875" style="106" customWidth="1"/>
    <col min="47" max="47" width="1.5703125" style="613" customWidth="1"/>
    <col min="48" max="52" width="9.7109375" style="106" customWidth="1"/>
    <col min="53" max="53" width="9.28515625" style="613" hidden="1" customWidth="1"/>
    <col min="54" max="59" width="9.7109375" style="613" hidden="1" customWidth="1"/>
    <col min="60" max="60" width="1.5703125" style="613" customWidth="1"/>
    <col min="61" max="274" width="9.140625" style="613"/>
    <col min="275" max="275" width="2.7109375" style="613" customWidth="1"/>
    <col min="276" max="276" width="38.140625" style="613" customWidth="1"/>
    <col min="277" max="277" width="9.85546875" style="613" customWidth="1"/>
    <col min="278" max="278" width="9.7109375" style="613" customWidth="1"/>
    <col min="279" max="279" width="1.5703125" style="613" customWidth="1"/>
    <col min="280" max="282" width="0" style="613" hidden="1" customWidth="1"/>
    <col min="283" max="291" width="8.5703125" style="613" customWidth="1"/>
    <col min="292" max="306" width="0" style="613" hidden="1" customWidth="1"/>
    <col min="307" max="307" width="1.5703125" style="613" customWidth="1"/>
    <col min="308" max="308" width="9.7109375" style="613" customWidth="1"/>
    <col min="309" max="309" width="9.28515625" style="613" customWidth="1"/>
    <col min="310" max="312" width="9.7109375" style="613" customWidth="1"/>
    <col min="313" max="315" width="0" style="613" hidden="1" customWidth="1"/>
    <col min="316" max="316" width="1.5703125" style="613" customWidth="1"/>
    <col min="317" max="530" width="9.140625" style="613"/>
    <col min="531" max="531" width="2.7109375" style="613" customWidth="1"/>
    <col min="532" max="532" width="38.140625" style="613" customWidth="1"/>
    <col min="533" max="533" width="9.85546875" style="613" customWidth="1"/>
    <col min="534" max="534" width="9.7109375" style="613" customWidth="1"/>
    <col min="535" max="535" width="1.5703125" style="613" customWidth="1"/>
    <col min="536" max="538" width="0" style="613" hidden="1" customWidth="1"/>
    <col min="539" max="547" width="8.5703125" style="613" customWidth="1"/>
    <col min="548" max="562" width="0" style="613" hidden="1" customWidth="1"/>
    <col min="563" max="563" width="1.5703125" style="613" customWidth="1"/>
    <col min="564" max="564" width="9.7109375" style="613" customWidth="1"/>
    <col min="565" max="565" width="9.28515625" style="613" customWidth="1"/>
    <col min="566" max="568" width="9.7109375" style="613" customWidth="1"/>
    <col min="569" max="571" width="0" style="613" hidden="1" customWidth="1"/>
    <col min="572" max="572" width="1.5703125" style="613" customWidth="1"/>
    <col min="573" max="786" width="9.140625" style="613"/>
    <col min="787" max="787" width="2.7109375" style="613" customWidth="1"/>
    <col min="788" max="788" width="38.140625" style="613" customWidth="1"/>
    <col min="789" max="789" width="9.85546875" style="613" customWidth="1"/>
    <col min="790" max="790" width="9.7109375" style="613" customWidth="1"/>
    <col min="791" max="791" width="1.5703125" style="613" customWidth="1"/>
    <col min="792" max="794" width="0" style="613" hidden="1" customWidth="1"/>
    <col min="795" max="803" width="8.5703125" style="613" customWidth="1"/>
    <col min="804" max="818" width="0" style="613" hidden="1" customWidth="1"/>
    <col min="819" max="819" width="1.5703125" style="613" customWidth="1"/>
    <col min="820" max="820" width="9.7109375" style="613" customWidth="1"/>
    <col min="821" max="821" width="9.28515625" style="613" customWidth="1"/>
    <col min="822" max="824" width="9.7109375" style="613" customWidth="1"/>
    <col min="825" max="827" width="0" style="613" hidden="1" customWidth="1"/>
    <col min="828" max="828" width="1.5703125" style="613" customWidth="1"/>
    <col min="829" max="1042" width="9.140625" style="613"/>
    <col min="1043" max="1043" width="2.7109375" style="613" customWidth="1"/>
    <col min="1044" max="1044" width="38.140625" style="613" customWidth="1"/>
    <col min="1045" max="1045" width="9.85546875" style="613" customWidth="1"/>
    <col min="1046" max="1046" width="9.7109375" style="613" customWidth="1"/>
    <col min="1047" max="1047" width="1.5703125" style="613" customWidth="1"/>
    <col min="1048" max="1050" width="0" style="613" hidden="1" customWidth="1"/>
    <col min="1051" max="1059" width="8.5703125" style="613" customWidth="1"/>
    <col min="1060" max="1074" width="0" style="613" hidden="1" customWidth="1"/>
    <col min="1075" max="1075" width="1.5703125" style="613" customWidth="1"/>
    <col min="1076" max="1076" width="9.7109375" style="613" customWidth="1"/>
    <col min="1077" max="1077" width="9.28515625" style="613" customWidth="1"/>
    <col min="1078" max="1080" width="9.7109375" style="613" customWidth="1"/>
    <col min="1081" max="1083" width="0" style="613" hidden="1" customWidth="1"/>
    <col min="1084" max="1084" width="1.5703125" style="613" customWidth="1"/>
    <col min="1085" max="1298" width="9.140625" style="613"/>
    <col min="1299" max="1299" width="2.7109375" style="613" customWidth="1"/>
    <col min="1300" max="1300" width="38.140625" style="613" customWidth="1"/>
    <col min="1301" max="1301" width="9.85546875" style="613" customWidth="1"/>
    <col min="1302" max="1302" width="9.7109375" style="613" customWidth="1"/>
    <col min="1303" max="1303" width="1.5703125" style="613" customWidth="1"/>
    <col min="1304" max="1306" width="0" style="613" hidden="1" customWidth="1"/>
    <col min="1307" max="1315" width="8.5703125" style="613" customWidth="1"/>
    <col min="1316" max="1330" width="0" style="613" hidden="1" customWidth="1"/>
    <col min="1331" max="1331" width="1.5703125" style="613" customWidth="1"/>
    <col min="1332" max="1332" width="9.7109375" style="613" customWidth="1"/>
    <col min="1333" max="1333" width="9.28515625" style="613" customWidth="1"/>
    <col min="1334" max="1336" width="9.7109375" style="613" customWidth="1"/>
    <col min="1337" max="1339" width="0" style="613" hidden="1" customWidth="1"/>
    <col min="1340" max="1340" width="1.5703125" style="613" customWidth="1"/>
    <col min="1341" max="1554" width="9.140625" style="613"/>
    <col min="1555" max="1555" width="2.7109375" style="613" customWidth="1"/>
    <col min="1556" max="1556" width="38.140625" style="613" customWidth="1"/>
    <col min="1557" max="1557" width="9.85546875" style="613" customWidth="1"/>
    <col min="1558" max="1558" width="9.7109375" style="613" customWidth="1"/>
    <col min="1559" max="1559" width="1.5703125" style="613" customWidth="1"/>
    <col min="1560" max="1562" width="0" style="613" hidden="1" customWidth="1"/>
    <col min="1563" max="1571" width="8.5703125" style="613" customWidth="1"/>
    <col min="1572" max="1586" width="0" style="613" hidden="1" customWidth="1"/>
    <col min="1587" max="1587" width="1.5703125" style="613" customWidth="1"/>
    <col min="1588" max="1588" width="9.7109375" style="613" customWidth="1"/>
    <col min="1589" max="1589" width="9.28515625" style="613" customWidth="1"/>
    <col min="1590" max="1592" width="9.7109375" style="613" customWidth="1"/>
    <col min="1593" max="1595" width="0" style="613" hidden="1" customWidth="1"/>
    <col min="1596" max="1596" width="1.5703125" style="613" customWidth="1"/>
    <col min="1597" max="1810" width="9.140625" style="613"/>
    <col min="1811" max="1811" width="2.7109375" style="613" customWidth="1"/>
    <col min="1812" max="1812" width="38.140625" style="613" customWidth="1"/>
    <col min="1813" max="1813" width="9.85546875" style="613" customWidth="1"/>
    <col min="1814" max="1814" width="9.7109375" style="613" customWidth="1"/>
    <col min="1815" max="1815" width="1.5703125" style="613" customWidth="1"/>
    <col min="1816" max="1818" width="0" style="613" hidden="1" customWidth="1"/>
    <col min="1819" max="1827" width="8.5703125" style="613" customWidth="1"/>
    <col min="1828" max="1842" width="0" style="613" hidden="1" customWidth="1"/>
    <col min="1843" max="1843" width="1.5703125" style="613" customWidth="1"/>
    <col min="1844" max="1844" width="9.7109375" style="613" customWidth="1"/>
    <col min="1845" max="1845" width="9.28515625" style="613" customWidth="1"/>
    <col min="1846" max="1848" width="9.7109375" style="613" customWidth="1"/>
    <col min="1849" max="1851" width="0" style="613" hidden="1" customWidth="1"/>
    <col min="1852" max="1852" width="1.5703125" style="613" customWidth="1"/>
    <col min="1853" max="2066" width="9.140625" style="613"/>
    <col min="2067" max="2067" width="2.7109375" style="613" customWidth="1"/>
    <col min="2068" max="2068" width="38.140625" style="613" customWidth="1"/>
    <col min="2069" max="2069" width="9.85546875" style="613" customWidth="1"/>
    <col min="2070" max="2070" width="9.7109375" style="613" customWidth="1"/>
    <col min="2071" max="2071" width="1.5703125" style="613" customWidth="1"/>
    <col min="2072" max="2074" width="0" style="613" hidden="1" customWidth="1"/>
    <col min="2075" max="2083" width="8.5703125" style="613" customWidth="1"/>
    <col min="2084" max="2098" width="0" style="613" hidden="1" customWidth="1"/>
    <col min="2099" max="2099" width="1.5703125" style="613" customWidth="1"/>
    <col min="2100" max="2100" width="9.7109375" style="613" customWidth="1"/>
    <col min="2101" max="2101" width="9.28515625" style="613" customWidth="1"/>
    <col min="2102" max="2104" width="9.7109375" style="613" customWidth="1"/>
    <col min="2105" max="2107" width="0" style="613" hidden="1" customWidth="1"/>
    <col min="2108" max="2108" width="1.5703125" style="613" customWidth="1"/>
    <col min="2109" max="2322" width="9.140625" style="613"/>
    <col min="2323" max="2323" width="2.7109375" style="613" customWidth="1"/>
    <col min="2324" max="2324" width="38.140625" style="613" customWidth="1"/>
    <col min="2325" max="2325" width="9.85546875" style="613" customWidth="1"/>
    <col min="2326" max="2326" width="9.7109375" style="613" customWidth="1"/>
    <col min="2327" max="2327" width="1.5703125" style="613" customWidth="1"/>
    <col min="2328" max="2330" width="0" style="613" hidden="1" customWidth="1"/>
    <col min="2331" max="2339" width="8.5703125" style="613" customWidth="1"/>
    <col min="2340" max="2354" width="0" style="613" hidden="1" customWidth="1"/>
    <col min="2355" max="2355" width="1.5703125" style="613" customWidth="1"/>
    <col min="2356" max="2356" width="9.7109375" style="613" customWidth="1"/>
    <col min="2357" max="2357" width="9.28515625" style="613" customWidth="1"/>
    <col min="2358" max="2360" width="9.7109375" style="613" customWidth="1"/>
    <col min="2361" max="2363" width="0" style="613" hidden="1" customWidth="1"/>
    <col min="2364" max="2364" width="1.5703125" style="613" customWidth="1"/>
    <col min="2365" max="2578" width="9.140625" style="613"/>
    <col min="2579" max="2579" width="2.7109375" style="613" customWidth="1"/>
    <col min="2580" max="2580" width="38.140625" style="613" customWidth="1"/>
    <col min="2581" max="2581" width="9.85546875" style="613" customWidth="1"/>
    <col min="2582" max="2582" width="9.7109375" style="613" customWidth="1"/>
    <col min="2583" max="2583" width="1.5703125" style="613" customWidth="1"/>
    <col min="2584" max="2586" width="0" style="613" hidden="1" customWidth="1"/>
    <col min="2587" max="2595" width="8.5703125" style="613" customWidth="1"/>
    <col min="2596" max="2610" width="0" style="613" hidden="1" customWidth="1"/>
    <col min="2611" max="2611" width="1.5703125" style="613" customWidth="1"/>
    <col min="2612" max="2612" width="9.7109375" style="613" customWidth="1"/>
    <col min="2613" max="2613" width="9.28515625" style="613" customWidth="1"/>
    <col min="2614" max="2616" width="9.7109375" style="613" customWidth="1"/>
    <col min="2617" max="2619" width="0" style="613" hidden="1" customWidth="1"/>
    <col min="2620" max="2620" width="1.5703125" style="613" customWidth="1"/>
    <col min="2621" max="2834" width="9.140625" style="613"/>
    <col min="2835" max="2835" width="2.7109375" style="613" customWidth="1"/>
    <col min="2836" max="2836" width="38.140625" style="613" customWidth="1"/>
    <col min="2837" max="2837" width="9.85546875" style="613" customWidth="1"/>
    <col min="2838" max="2838" width="9.7109375" style="613" customWidth="1"/>
    <col min="2839" max="2839" width="1.5703125" style="613" customWidth="1"/>
    <col min="2840" max="2842" width="0" style="613" hidden="1" customWidth="1"/>
    <col min="2843" max="2851" width="8.5703125" style="613" customWidth="1"/>
    <col min="2852" max="2866" width="0" style="613" hidden="1" customWidth="1"/>
    <col min="2867" max="2867" width="1.5703125" style="613" customWidth="1"/>
    <col min="2868" max="2868" width="9.7109375" style="613" customWidth="1"/>
    <col min="2869" max="2869" width="9.28515625" style="613" customWidth="1"/>
    <col min="2870" max="2872" width="9.7109375" style="613" customWidth="1"/>
    <col min="2873" max="2875" width="0" style="613" hidden="1" customWidth="1"/>
    <col min="2876" max="2876" width="1.5703125" style="613" customWidth="1"/>
    <col min="2877" max="3090" width="9.140625" style="613"/>
    <col min="3091" max="3091" width="2.7109375" style="613" customWidth="1"/>
    <col min="3092" max="3092" width="38.140625" style="613" customWidth="1"/>
    <col min="3093" max="3093" width="9.85546875" style="613" customWidth="1"/>
    <col min="3094" max="3094" width="9.7109375" style="613" customWidth="1"/>
    <col min="3095" max="3095" width="1.5703125" style="613" customWidth="1"/>
    <col min="3096" max="3098" width="0" style="613" hidden="1" customWidth="1"/>
    <col min="3099" max="3107" width="8.5703125" style="613" customWidth="1"/>
    <col min="3108" max="3122" width="0" style="613" hidden="1" customWidth="1"/>
    <col min="3123" max="3123" width="1.5703125" style="613" customWidth="1"/>
    <col min="3124" max="3124" width="9.7109375" style="613" customWidth="1"/>
    <col min="3125" max="3125" width="9.28515625" style="613" customWidth="1"/>
    <col min="3126" max="3128" width="9.7109375" style="613" customWidth="1"/>
    <col min="3129" max="3131" width="0" style="613" hidden="1" customWidth="1"/>
    <col min="3132" max="3132" width="1.5703125" style="613" customWidth="1"/>
    <col min="3133" max="3346" width="9.140625" style="613"/>
    <col min="3347" max="3347" width="2.7109375" style="613" customWidth="1"/>
    <col min="3348" max="3348" width="38.140625" style="613" customWidth="1"/>
    <col min="3349" max="3349" width="9.85546875" style="613" customWidth="1"/>
    <col min="3350" max="3350" width="9.7109375" style="613" customWidth="1"/>
    <col min="3351" max="3351" width="1.5703125" style="613" customWidth="1"/>
    <col min="3352" max="3354" width="0" style="613" hidden="1" customWidth="1"/>
    <col min="3355" max="3363" width="8.5703125" style="613" customWidth="1"/>
    <col min="3364" max="3378" width="0" style="613" hidden="1" customWidth="1"/>
    <col min="3379" max="3379" width="1.5703125" style="613" customWidth="1"/>
    <col min="3380" max="3380" width="9.7109375" style="613" customWidth="1"/>
    <col min="3381" max="3381" width="9.28515625" style="613" customWidth="1"/>
    <col min="3382" max="3384" width="9.7109375" style="613" customWidth="1"/>
    <col min="3385" max="3387" width="0" style="613" hidden="1" customWidth="1"/>
    <col min="3388" max="3388" width="1.5703125" style="613" customWidth="1"/>
    <col min="3389" max="3602" width="9.140625" style="613"/>
    <col min="3603" max="3603" width="2.7109375" style="613" customWidth="1"/>
    <col min="3604" max="3604" width="38.140625" style="613" customWidth="1"/>
    <col min="3605" max="3605" width="9.85546875" style="613" customWidth="1"/>
    <col min="3606" max="3606" width="9.7109375" style="613" customWidth="1"/>
    <col min="3607" max="3607" width="1.5703125" style="613" customWidth="1"/>
    <col min="3608" max="3610" width="0" style="613" hidden="1" customWidth="1"/>
    <col min="3611" max="3619" width="8.5703125" style="613" customWidth="1"/>
    <col min="3620" max="3634" width="0" style="613" hidden="1" customWidth="1"/>
    <col min="3635" max="3635" width="1.5703125" style="613" customWidth="1"/>
    <col min="3636" max="3636" width="9.7109375" style="613" customWidth="1"/>
    <col min="3637" max="3637" width="9.28515625" style="613" customWidth="1"/>
    <col min="3638" max="3640" width="9.7109375" style="613" customWidth="1"/>
    <col min="3641" max="3643" width="0" style="613" hidden="1" customWidth="1"/>
    <col min="3644" max="3644" width="1.5703125" style="613" customWidth="1"/>
    <col min="3645" max="3858" width="9.140625" style="613"/>
    <col min="3859" max="3859" width="2.7109375" style="613" customWidth="1"/>
    <col min="3860" max="3860" width="38.140625" style="613" customWidth="1"/>
    <col min="3861" max="3861" width="9.85546875" style="613" customWidth="1"/>
    <col min="3862" max="3862" width="9.7109375" style="613" customWidth="1"/>
    <col min="3863" max="3863" width="1.5703125" style="613" customWidth="1"/>
    <col min="3864" max="3866" width="0" style="613" hidden="1" customWidth="1"/>
    <col min="3867" max="3875" width="8.5703125" style="613" customWidth="1"/>
    <col min="3876" max="3890" width="0" style="613" hidden="1" customWidth="1"/>
    <col min="3891" max="3891" width="1.5703125" style="613" customWidth="1"/>
    <col min="3892" max="3892" width="9.7109375" style="613" customWidth="1"/>
    <col min="3893" max="3893" width="9.28515625" style="613" customWidth="1"/>
    <col min="3894" max="3896" width="9.7109375" style="613" customWidth="1"/>
    <col min="3897" max="3899" width="0" style="613" hidden="1" customWidth="1"/>
    <col min="3900" max="3900" width="1.5703125" style="613" customWidth="1"/>
    <col min="3901" max="4114" width="9.140625" style="613"/>
    <col min="4115" max="4115" width="2.7109375" style="613" customWidth="1"/>
    <col min="4116" max="4116" width="38.140625" style="613" customWidth="1"/>
    <col min="4117" max="4117" width="9.85546875" style="613" customWidth="1"/>
    <col min="4118" max="4118" width="9.7109375" style="613" customWidth="1"/>
    <col min="4119" max="4119" width="1.5703125" style="613" customWidth="1"/>
    <col min="4120" max="4122" width="0" style="613" hidden="1" customWidth="1"/>
    <col min="4123" max="4131" width="8.5703125" style="613" customWidth="1"/>
    <col min="4132" max="4146" width="0" style="613" hidden="1" customWidth="1"/>
    <col min="4147" max="4147" width="1.5703125" style="613" customWidth="1"/>
    <col min="4148" max="4148" width="9.7109375" style="613" customWidth="1"/>
    <col min="4149" max="4149" width="9.28515625" style="613" customWidth="1"/>
    <col min="4150" max="4152" width="9.7109375" style="613" customWidth="1"/>
    <col min="4153" max="4155" width="0" style="613" hidden="1" customWidth="1"/>
    <col min="4156" max="4156" width="1.5703125" style="613" customWidth="1"/>
    <col min="4157" max="4370" width="9.140625" style="613"/>
    <col min="4371" max="4371" width="2.7109375" style="613" customWidth="1"/>
    <col min="4372" max="4372" width="38.140625" style="613" customWidth="1"/>
    <col min="4373" max="4373" width="9.85546875" style="613" customWidth="1"/>
    <col min="4374" max="4374" width="9.7109375" style="613" customWidth="1"/>
    <col min="4375" max="4375" width="1.5703125" style="613" customWidth="1"/>
    <col min="4376" max="4378" width="0" style="613" hidden="1" customWidth="1"/>
    <col min="4379" max="4387" width="8.5703125" style="613" customWidth="1"/>
    <col min="4388" max="4402" width="0" style="613" hidden="1" customWidth="1"/>
    <col min="4403" max="4403" width="1.5703125" style="613" customWidth="1"/>
    <col min="4404" max="4404" width="9.7109375" style="613" customWidth="1"/>
    <col min="4405" max="4405" width="9.28515625" style="613" customWidth="1"/>
    <col min="4406" max="4408" width="9.7109375" style="613" customWidth="1"/>
    <col min="4409" max="4411" width="0" style="613" hidden="1" customWidth="1"/>
    <col min="4412" max="4412" width="1.5703125" style="613" customWidth="1"/>
    <col min="4413" max="4626" width="9.140625" style="613"/>
    <col min="4627" max="4627" width="2.7109375" style="613" customWidth="1"/>
    <col min="4628" max="4628" width="38.140625" style="613" customWidth="1"/>
    <col min="4629" max="4629" width="9.85546875" style="613" customWidth="1"/>
    <col min="4630" max="4630" width="9.7109375" style="613" customWidth="1"/>
    <col min="4631" max="4631" width="1.5703125" style="613" customWidth="1"/>
    <col min="4632" max="4634" width="0" style="613" hidden="1" customWidth="1"/>
    <col min="4635" max="4643" width="8.5703125" style="613" customWidth="1"/>
    <col min="4644" max="4658" width="0" style="613" hidden="1" customWidth="1"/>
    <col min="4659" max="4659" width="1.5703125" style="613" customWidth="1"/>
    <col min="4660" max="4660" width="9.7109375" style="613" customWidth="1"/>
    <col min="4661" max="4661" width="9.28515625" style="613" customWidth="1"/>
    <col min="4662" max="4664" width="9.7109375" style="613" customWidth="1"/>
    <col min="4665" max="4667" width="0" style="613" hidden="1" customWidth="1"/>
    <col min="4668" max="4668" width="1.5703125" style="613" customWidth="1"/>
    <col min="4669" max="4882" width="9.140625" style="613"/>
    <col min="4883" max="4883" width="2.7109375" style="613" customWidth="1"/>
    <col min="4884" max="4884" width="38.140625" style="613" customWidth="1"/>
    <col min="4885" max="4885" width="9.85546875" style="613" customWidth="1"/>
    <col min="4886" max="4886" width="9.7109375" style="613" customWidth="1"/>
    <col min="4887" max="4887" width="1.5703125" style="613" customWidth="1"/>
    <col min="4888" max="4890" width="0" style="613" hidden="1" customWidth="1"/>
    <col min="4891" max="4899" width="8.5703125" style="613" customWidth="1"/>
    <col min="4900" max="4914" width="0" style="613" hidden="1" customWidth="1"/>
    <col min="4915" max="4915" width="1.5703125" style="613" customWidth="1"/>
    <col min="4916" max="4916" width="9.7109375" style="613" customWidth="1"/>
    <col min="4917" max="4917" width="9.28515625" style="613" customWidth="1"/>
    <col min="4918" max="4920" width="9.7109375" style="613" customWidth="1"/>
    <col min="4921" max="4923" width="0" style="613" hidden="1" customWidth="1"/>
    <col min="4924" max="4924" width="1.5703125" style="613" customWidth="1"/>
    <col min="4925" max="5138" width="9.140625" style="613"/>
    <col min="5139" max="5139" width="2.7109375" style="613" customWidth="1"/>
    <col min="5140" max="5140" width="38.140625" style="613" customWidth="1"/>
    <col min="5141" max="5141" width="9.85546875" style="613" customWidth="1"/>
    <col min="5142" max="5142" width="9.7109375" style="613" customWidth="1"/>
    <col min="5143" max="5143" width="1.5703125" style="613" customWidth="1"/>
    <col min="5144" max="5146" width="0" style="613" hidden="1" customWidth="1"/>
    <col min="5147" max="5155" width="8.5703125" style="613" customWidth="1"/>
    <col min="5156" max="5170" width="0" style="613" hidden="1" customWidth="1"/>
    <col min="5171" max="5171" width="1.5703125" style="613" customWidth="1"/>
    <col min="5172" max="5172" width="9.7109375" style="613" customWidth="1"/>
    <col min="5173" max="5173" width="9.28515625" style="613" customWidth="1"/>
    <col min="5174" max="5176" width="9.7109375" style="613" customWidth="1"/>
    <col min="5177" max="5179" width="0" style="613" hidden="1" customWidth="1"/>
    <col min="5180" max="5180" width="1.5703125" style="613" customWidth="1"/>
    <col min="5181" max="5394" width="9.140625" style="613"/>
    <col min="5395" max="5395" width="2.7109375" style="613" customWidth="1"/>
    <col min="5396" max="5396" width="38.140625" style="613" customWidth="1"/>
    <col min="5397" max="5397" width="9.85546875" style="613" customWidth="1"/>
    <col min="5398" max="5398" width="9.7109375" style="613" customWidth="1"/>
    <col min="5399" max="5399" width="1.5703125" style="613" customWidth="1"/>
    <col min="5400" max="5402" width="0" style="613" hidden="1" customWidth="1"/>
    <col min="5403" max="5411" width="8.5703125" style="613" customWidth="1"/>
    <col min="5412" max="5426" width="0" style="613" hidden="1" customWidth="1"/>
    <col min="5427" max="5427" width="1.5703125" style="613" customWidth="1"/>
    <col min="5428" max="5428" width="9.7109375" style="613" customWidth="1"/>
    <col min="5429" max="5429" width="9.28515625" style="613" customWidth="1"/>
    <col min="5430" max="5432" width="9.7109375" style="613" customWidth="1"/>
    <col min="5433" max="5435" width="0" style="613" hidden="1" customWidth="1"/>
    <col min="5436" max="5436" width="1.5703125" style="613" customWidth="1"/>
    <col min="5437" max="5650" width="9.140625" style="613"/>
    <col min="5651" max="5651" width="2.7109375" style="613" customWidth="1"/>
    <col min="5652" max="5652" width="38.140625" style="613" customWidth="1"/>
    <col min="5653" max="5653" width="9.85546875" style="613" customWidth="1"/>
    <col min="5654" max="5654" width="9.7109375" style="613" customWidth="1"/>
    <col min="5655" max="5655" width="1.5703125" style="613" customWidth="1"/>
    <col min="5656" max="5658" width="0" style="613" hidden="1" customWidth="1"/>
    <col min="5659" max="5667" width="8.5703125" style="613" customWidth="1"/>
    <col min="5668" max="5682" width="0" style="613" hidden="1" customWidth="1"/>
    <col min="5683" max="5683" width="1.5703125" style="613" customWidth="1"/>
    <col min="5684" max="5684" width="9.7109375" style="613" customWidth="1"/>
    <col min="5685" max="5685" width="9.28515625" style="613" customWidth="1"/>
    <col min="5686" max="5688" width="9.7109375" style="613" customWidth="1"/>
    <col min="5689" max="5691" width="0" style="613" hidden="1" customWidth="1"/>
    <col min="5692" max="5692" width="1.5703125" style="613" customWidth="1"/>
    <col min="5693" max="5906" width="9.140625" style="613"/>
    <col min="5907" max="5907" width="2.7109375" style="613" customWidth="1"/>
    <col min="5908" max="5908" width="38.140625" style="613" customWidth="1"/>
    <col min="5909" max="5909" width="9.85546875" style="613" customWidth="1"/>
    <col min="5910" max="5910" width="9.7109375" style="613" customWidth="1"/>
    <col min="5911" max="5911" width="1.5703125" style="613" customWidth="1"/>
    <col min="5912" max="5914" width="0" style="613" hidden="1" customWidth="1"/>
    <col min="5915" max="5923" width="8.5703125" style="613" customWidth="1"/>
    <col min="5924" max="5938" width="0" style="613" hidden="1" customWidth="1"/>
    <col min="5939" max="5939" width="1.5703125" style="613" customWidth="1"/>
    <col min="5940" max="5940" width="9.7109375" style="613" customWidth="1"/>
    <col min="5941" max="5941" width="9.28515625" style="613" customWidth="1"/>
    <col min="5942" max="5944" width="9.7109375" style="613" customWidth="1"/>
    <col min="5945" max="5947" width="0" style="613" hidden="1" customWidth="1"/>
    <col min="5948" max="5948" width="1.5703125" style="613" customWidth="1"/>
    <col min="5949" max="6162" width="9.140625" style="613"/>
    <col min="6163" max="6163" width="2.7109375" style="613" customWidth="1"/>
    <col min="6164" max="6164" width="38.140625" style="613" customWidth="1"/>
    <col min="6165" max="6165" width="9.85546875" style="613" customWidth="1"/>
    <col min="6166" max="6166" width="9.7109375" style="613" customWidth="1"/>
    <col min="6167" max="6167" width="1.5703125" style="613" customWidth="1"/>
    <col min="6168" max="6170" width="0" style="613" hidden="1" customWidth="1"/>
    <col min="6171" max="6179" width="8.5703125" style="613" customWidth="1"/>
    <col min="6180" max="6194" width="0" style="613" hidden="1" customWidth="1"/>
    <col min="6195" max="6195" width="1.5703125" style="613" customWidth="1"/>
    <col min="6196" max="6196" width="9.7109375" style="613" customWidth="1"/>
    <col min="6197" max="6197" width="9.28515625" style="613" customWidth="1"/>
    <col min="6198" max="6200" width="9.7109375" style="613" customWidth="1"/>
    <col min="6201" max="6203" width="0" style="613" hidden="1" customWidth="1"/>
    <col min="6204" max="6204" width="1.5703125" style="613" customWidth="1"/>
    <col min="6205" max="6418" width="9.140625" style="613"/>
    <col min="6419" max="6419" width="2.7109375" style="613" customWidth="1"/>
    <col min="6420" max="6420" width="38.140625" style="613" customWidth="1"/>
    <col min="6421" max="6421" width="9.85546875" style="613" customWidth="1"/>
    <col min="6422" max="6422" width="9.7109375" style="613" customWidth="1"/>
    <col min="6423" max="6423" width="1.5703125" style="613" customWidth="1"/>
    <col min="6424" max="6426" width="0" style="613" hidden="1" customWidth="1"/>
    <col min="6427" max="6435" width="8.5703125" style="613" customWidth="1"/>
    <col min="6436" max="6450" width="0" style="613" hidden="1" customWidth="1"/>
    <col min="6451" max="6451" width="1.5703125" style="613" customWidth="1"/>
    <col min="6452" max="6452" width="9.7109375" style="613" customWidth="1"/>
    <col min="6453" max="6453" width="9.28515625" style="613" customWidth="1"/>
    <col min="6454" max="6456" width="9.7109375" style="613" customWidth="1"/>
    <col min="6457" max="6459" width="0" style="613" hidden="1" customWidth="1"/>
    <col min="6460" max="6460" width="1.5703125" style="613" customWidth="1"/>
    <col min="6461" max="6674" width="9.140625" style="613"/>
    <col min="6675" max="6675" width="2.7109375" style="613" customWidth="1"/>
    <col min="6676" max="6676" width="38.140625" style="613" customWidth="1"/>
    <col min="6677" max="6677" width="9.85546875" style="613" customWidth="1"/>
    <col min="6678" max="6678" width="9.7109375" style="613" customWidth="1"/>
    <col min="6679" max="6679" width="1.5703125" style="613" customWidth="1"/>
    <col min="6680" max="6682" width="0" style="613" hidden="1" customWidth="1"/>
    <col min="6683" max="6691" width="8.5703125" style="613" customWidth="1"/>
    <col min="6692" max="6706" width="0" style="613" hidden="1" customWidth="1"/>
    <col min="6707" max="6707" width="1.5703125" style="613" customWidth="1"/>
    <col min="6708" max="6708" width="9.7109375" style="613" customWidth="1"/>
    <col min="6709" max="6709" width="9.28515625" style="613" customWidth="1"/>
    <col min="6710" max="6712" width="9.7109375" style="613" customWidth="1"/>
    <col min="6713" max="6715" width="0" style="613" hidden="1" customWidth="1"/>
    <col min="6716" max="6716" width="1.5703125" style="613" customWidth="1"/>
    <col min="6717" max="6930" width="9.140625" style="613"/>
    <col min="6931" max="6931" width="2.7109375" style="613" customWidth="1"/>
    <col min="6932" max="6932" width="38.140625" style="613" customWidth="1"/>
    <col min="6933" max="6933" width="9.85546875" style="613" customWidth="1"/>
    <col min="6934" max="6934" width="9.7109375" style="613" customWidth="1"/>
    <col min="6935" max="6935" width="1.5703125" style="613" customWidth="1"/>
    <col min="6936" max="6938" width="0" style="613" hidden="1" customWidth="1"/>
    <col min="6939" max="6947" width="8.5703125" style="613" customWidth="1"/>
    <col min="6948" max="6962" width="0" style="613" hidden="1" customWidth="1"/>
    <col min="6963" max="6963" width="1.5703125" style="613" customWidth="1"/>
    <col min="6964" max="6964" width="9.7109375" style="613" customWidth="1"/>
    <col min="6965" max="6965" width="9.28515625" style="613" customWidth="1"/>
    <col min="6966" max="6968" width="9.7109375" style="613" customWidth="1"/>
    <col min="6969" max="6971" width="0" style="613" hidden="1" customWidth="1"/>
    <col min="6972" max="6972" width="1.5703125" style="613" customWidth="1"/>
    <col min="6973" max="7186" width="9.140625" style="613"/>
    <col min="7187" max="7187" width="2.7109375" style="613" customWidth="1"/>
    <col min="7188" max="7188" width="38.140625" style="613" customWidth="1"/>
    <col min="7189" max="7189" width="9.85546875" style="613" customWidth="1"/>
    <col min="7190" max="7190" width="9.7109375" style="613" customWidth="1"/>
    <col min="7191" max="7191" width="1.5703125" style="613" customWidth="1"/>
    <col min="7192" max="7194" width="0" style="613" hidden="1" customWidth="1"/>
    <col min="7195" max="7203" width="8.5703125" style="613" customWidth="1"/>
    <col min="7204" max="7218" width="0" style="613" hidden="1" customWidth="1"/>
    <col min="7219" max="7219" width="1.5703125" style="613" customWidth="1"/>
    <col min="7220" max="7220" width="9.7109375" style="613" customWidth="1"/>
    <col min="7221" max="7221" width="9.28515625" style="613" customWidth="1"/>
    <col min="7222" max="7224" width="9.7109375" style="613" customWidth="1"/>
    <col min="7225" max="7227" width="0" style="613" hidden="1" customWidth="1"/>
    <col min="7228" max="7228" width="1.5703125" style="613" customWidth="1"/>
    <col min="7229" max="7442" width="9.140625" style="613"/>
    <col min="7443" max="7443" width="2.7109375" style="613" customWidth="1"/>
    <col min="7444" max="7444" width="38.140625" style="613" customWidth="1"/>
    <col min="7445" max="7445" width="9.85546875" style="613" customWidth="1"/>
    <col min="7446" max="7446" width="9.7109375" style="613" customWidth="1"/>
    <col min="7447" max="7447" width="1.5703125" style="613" customWidth="1"/>
    <col min="7448" max="7450" width="0" style="613" hidden="1" customWidth="1"/>
    <col min="7451" max="7459" width="8.5703125" style="613" customWidth="1"/>
    <col min="7460" max="7474" width="0" style="613" hidden="1" customWidth="1"/>
    <col min="7475" max="7475" width="1.5703125" style="613" customWidth="1"/>
    <col min="7476" max="7476" width="9.7109375" style="613" customWidth="1"/>
    <col min="7477" max="7477" width="9.28515625" style="613" customWidth="1"/>
    <col min="7478" max="7480" width="9.7109375" style="613" customWidth="1"/>
    <col min="7481" max="7483" width="0" style="613" hidden="1" customWidth="1"/>
    <col min="7484" max="7484" width="1.5703125" style="613" customWidth="1"/>
    <col min="7485" max="7698" width="9.140625" style="613"/>
    <col min="7699" max="7699" width="2.7109375" style="613" customWidth="1"/>
    <col min="7700" max="7700" width="38.140625" style="613" customWidth="1"/>
    <col min="7701" max="7701" width="9.85546875" style="613" customWidth="1"/>
    <col min="7702" max="7702" width="9.7109375" style="613" customWidth="1"/>
    <col min="7703" max="7703" width="1.5703125" style="613" customWidth="1"/>
    <col min="7704" max="7706" width="0" style="613" hidden="1" customWidth="1"/>
    <col min="7707" max="7715" width="8.5703125" style="613" customWidth="1"/>
    <col min="7716" max="7730" width="0" style="613" hidden="1" customWidth="1"/>
    <col min="7731" max="7731" width="1.5703125" style="613" customWidth="1"/>
    <col min="7732" max="7732" width="9.7109375" style="613" customWidth="1"/>
    <col min="7733" max="7733" width="9.28515625" style="613" customWidth="1"/>
    <col min="7734" max="7736" width="9.7109375" style="613" customWidth="1"/>
    <col min="7737" max="7739" width="0" style="613" hidden="1" customWidth="1"/>
    <col min="7740" max="7740" width="1.5703125" style="613" customWidth="1"/>
    <col min="7741" max="7954" width="9.140625" style="613"/>
    <col min="7955" max="7955" width="2.7109375" style="613" customWidth="1"/>
    <col min="7956" max="7956" width="38.140625" style="613" customWidth="1"/>
    <col min="7957" max="7957" width="9.85546875" style="613" customWidth="1"/>
    <col min="7958" max="7958" width="9.7109375" style="613" customWidth="1"/>
    <col min="7959" max="7959" width="1.5703125" style="613" customWidth="1"/>
    <col min="7960" max="7962" width="0" style="613" hidden="1" customWidth="1"/>
    <col min="7963" max="7971" width="8.5703125" style="613" customWidth="1"/>
    <col min="7972" max="7986" width="0" style="613" hidden="1" customWidth="1"/>
    <col min="7987" max="7987" width="1.5703125" style="613" customWidth="1"/>
    <col min="7988" max="7988" width="9.7109375" style="613" customWidth="1"/>
    <col min="7989" max="7989" width="9.28515625" style="613" customWidth="1"/>
    <col min="7990" max="7992" width="9.7109375" style="613" customWidth="1"/>
    <col min="7993" max="7995" width="0" style="613" hidden="1" customWidth="1"/>
    <col min="7996" max="7996" width="1.5703125" style="613" customWidth="1"/>
    <col min="7997" max="8210" width="9.140625" style="613"/>
    <col min="8211" max="8211" width="2.7109375" style="613" customWidth="1"/>
    <col min="8212" max="8212" width="38.140625" style="613" customWidth="1"/>
    <col min="8213" max="8213" width="9.85546875" style="613" customWidth="1"/>
    <col min="8214" max="8214" width="9.7109375" style="613" customWidth="1"/>
    <col min="8215" max="8215" width="1.5703125" style="613" customWidth="1"/>
    <col min="8216" max="8218" width="0" style="613" hidden="1" customWidth="1"/>
    <col min="8219" max="8227" width="8.5703125" style="613" customWidth="1"/>
    <col min="8228" max="8242" width="0" style="613" hidden="1" customWidth="1"/>
    <col min="8243" max="8243" width="1.5703125" style="613" customWidth="1"/>
    <col min="8244" max="8244" width="9.7109375" style="613" customWidth="1"/>
    <col min="8245" max="8245" width="9.28515625" style="613" customWidth="1"/>
    <col min="8246" max="8248" width="9.7109375" style="613" customWidth="1"/>
    <col min="8249" max="8251" width="0" style="613" hidden="1" customWidth="1"/>
    <col min="8252" max="8252" width="1.5703125" style="613" customWidth="1"/>
    <col min="8253" max="8466" width="9.140625" style="613"/>
    <col min="8467" max="8467" width="2.7109375" style="613" customWidth="1"/>
    <col min="8468" max="8468" width="38.140625" style="613" customWidth="1"/>
    <col min="8469" max="8469" width="9.85546875" style="613" customWidth="1"/>
    <col min="8470" max="8470" width="9.7109375" style="613" customWidth="1"/>
    <col min="8471" max="8471" width="1.5703125" style="613" customWidth="1"/>
    <col min="8472" max="8474" width="0" style="613" hidden="1" customWidth="1"/>
    <col min="8475" max="8483" width="8.5703125" style="613" customWidth="1"/>
    <col min="8484" max="8498" width="0" style="613" hidden="1" customWidth="1"/>
    <col min="8499" max="8499" width="1.5703125" style="613" customWidth="1"/>
    <col min="8500" max="8500" width="9.7109375" style="613" customWidth="1"/>
    <col min="8501" max="8501" width="9.28515625" style="613" customWidth="1"/>
    <col min="8502" max="8504" width="9.7109375" style="613" customWidth="1"/>
    <col min="8505" max="8507" width="0" style="613" hidden="1" customWidth="1"/>
    <col min="8508" max="8508" width="1.5703125" style="613" customWidth="1"/>
    <col min="8509" max="8722" width="9.140625" style="613"/>
    <col min="8723" max="8723" width="2.7109375" style="613" customWidth="1"/>
    <col min="8724" max="8724" width="38.140625" style="613" customWidth="1"/>
    <col min="8725" max="8725" width="9.85546875" style="613" customWidth="1"/>
    <col min="8726" max="8726" width="9.7109375" style="613" customWidth="1"/>
    <col min="8727" max="8727" width="1.5703125" style="613" customWidth="1"/>
    <col min="8728" max="8730" width="0" style="613" hidden="1" customWidth="1"/>
    <col min="8731" max="8739" width="8.5703125" style="613" customWidth="1"/>
    <col min="8740" max="8754" width="0" style="613" hidden="1" customWidth="1"/>
    <col min="8755" max="8755" width="1.5703125" style="613" customWidth="1"/>
    <col min="8756" max="8756" width="9.7109375" style="613" customWidth="1"/>
    <col min="8757" max="8757" width="9.28515625" style="613" customWidth="1"/>
    <col min="8758" max="8760" width="9.7109375" style="613" customWidth="1"/>
    <col min="8761" max="8763" width="0" style="613" hidden="1" customWidth="1"/>
    <col min="8764" max="8764" width="1.5703125" style="613" customWidth="1"/>
    <col min="8765" max="8978" width="9.140625" style="613"/>
    <col min="8979" max="8979" width="2.7109375" style="613" customWidth="1"/>
    <col min="8980" max="8980" width="38.140625" style="613" customWidth="1"/>
    <col min="8981" max="8981" width="9.85546875" style="613" customWidth="1"/>
    <col min="8982" max="8982" width="9.7109375" style="613" customWidth="1"/>
    <col min="8983" max="8983" width="1.5703125" style="613" customWidth="1"/>
    <col min="8984" max="8986" width="0" style="613" hidden="1" customWidth="1"/>
    <col min="8987" max="8995" width="8.5703125" style="613" customWidth="1"/>
    <col min="8996" max="9010" width="0" style="613" hidden="1" customWidth="1"/>
    <col min="9011" max="9011" width="1.5703125" style="613" customWidth="1"/>
    <col min="9012" max="9012" width="9.7109375" style="613" customWidth="1"/>
    <col min="9013" max="9013" width="9.28515625" style="613" customWidth="1"/>
    <col min="9014" max="9016" width="9.7109375" style="613" customWidth="1"/>
    <col min="9017" max="9019" width="0" style="613" hidden="1" customWidth="1"/>
    <col min="9020" max="9020" width="1.5703125" style="613" customWidth="1"/>
    <col min="9021" max="9234" width="9.140625" style="613"/>
    <col min="9235" max="9235" width="2.7109375" style="613" customWidth="1"/>
    <col min="9236" max="9236" width="38.140625" style="613" customWidth="1"/>
    <col min="9237" max="9237" width="9.85546875" style="613" customWidth="1"/>
    <col min="9238" max="9238" width="9.7109375" style="613" customWidth="1"/>
    <col min="9239" max="9239" width="1.5703125" style="613" customWidth="1"/>
    <col min="9240" max="9242" width="0" style="613" hidden="1" customWidth="1"/>
    <col min="9243" max="9251" width="8.5703125" style="613" customWidth="1"/>
    <col min="9252" max="9266" width="0" style="613" hidden="1" customWidth="1"/>
    <col min="9267" max="9267" width="1.5703125" style="613" customWidth="1"/>
    <col min="9268" max="9268" width="9.7109375" style="613" customWidth="1"/>
    <col min="9269" max="9269" width="9.28515625" style="613" customWidth="1"/>
    <col min="9270" max="9272" width="9.7109375" style="613" customWidth="1"/>
    <col min="9273" max="9275" width="0" style="613" hidden="1" customWidth="1"/>
    <col min="9276" max="9276" width="1.5703125" style="613" customWidth="1"/>
    <col min="9277" max="9490" width="9.140625" style="613"/>
    <col min="9491" max="9491" width="2.7109375" style="613" customWidth="1"/>
    <col min="9492" max="9492" width="38.140625" style="613" customWidth="1"/>
    <col min="9493" max="9493" width="9.85546875" style="613" customWidth="1"/>
    <col min="9494" max="9494" width="9.7109375" style="613" customWidth="1"/>
    <col min="9495" max="9495" width="1.5703125" style="613" customWidth="1"/>
    <col min="9496" max="9498" width="0" style="613" hidden="1" customWidth="1"/>
    <col min="9499" max="9507" width="8.5703125" style="613" customWidth="1"/>
    <col min="9508" max="9522" width="0" style="613" hidden="1" customWidth="1"/>
    <col min="9523" max="9523" width="1.5703125" style="613" customWidth="1"/>
    <col min="9524" max="9524" width="9.7109375" style="613" customWidth="1"/>
    <col min="9525" max="9525" width="9.28515625" style="613" customWidth="1"/>
    <col min="9526" max="9528" width="9.7109375" style="613" customWidth="1"/>
    <col min="9529" max="9531" width="0" style="613" hidden="1" customWidth="1"/>
    <col min="9532" max="9532" width="1.5703125" style="613" customWidth="1"/>
    <col min="9533" max="9746" width="9.140625" style="613"/>
    <col min="9747" max="9747" width="2.7109375" style="613" customWidth="1"/>
    <col min="9748" max="9748" width="38.140625" style="613" customWidth="1"/>
    <col min="9749" max="9749" width="9.85546875" style="613" customWidth="1"/>
    <col min="9750" max="9750" width="9.7109375" style="613" customWidth="1"/>
    <col min="9751" max="9751" width="1.5703125" style="613" customWidth="1"/>
    <col min="9752" max="9754" width="0" style="613" hidden="1" customWidth="1"/>
    <col min="9755" max="9763" width="8.5703125" style="613" customWidth="1"/>
    <col min="9764" max="9778" width="0" style="613" hidden="1" customWidth="1"/>
    <col min="9779" max="9779" width="1.5703125" style="613" customWidth="1"/>
    <col min="9780" max="9780" width="9.7109375" style="613" customWidth="1"/>
    <col min="9781" max="9781" width="9.28515625" style="613" customWidth="1"/>
    <col min="9782" max="9784" width="9.7109375" style="613" customWidth="1"/>
    <col min="9785" max="9787" width="0" style="613" hidden="1" customWidth="1"/>
    <col min="9788" max="9788" width="1.5703125" style="613" customWidth="1"/>
    <col min="9789" max="10002" width="9.140625" style="613"/>
    <col min="10003" max="10003" width="2.7109375" style="613" customWidth="1"/>
    <col min="10004" max="10004" width="38.140625" style="613" customWidth="1"/>
    <col min="10005" max="10005" width="9.85546875" style="613" customWidth="1"/>
    <col min="10006" max="10006" width="9.7109375" style="613" customWidth="1"/>
    <col min="10007" max="10007" width="1.5703125" style="613" customWidth="1"/>
    <col min="10008" max="10010" width="0" style="613" hidden="1" customWidth="1"/>
    <col min="10011" max="10019" width="8.5703125" style="613" customWidth="1"/>
    <col min="10020" max="10034" width="0" style="613" hidden="1" customWidth="1"/>
    <col min="10035" max="10035" width="1.5703125" style="613" customWidth="1"/>
    <col min="10036" max="10036" width="9.7109375" style="613" customWidth="1"/>
    <col min="10037" max="10037" width="9.28515625" style="613" customWidth="1"/>
    <col min="10038" max="10040" width="9.7109375" style="613" customWidth="1"/>
    <col min="10041" max="10043" width="0" style="613" hidden="1" customWidth="1"/>
    <col min="10044" max="10044" width="1.5703125" style="613" customWidth="1"/>
    <col min="10045" max="10258" width="9.140625" style="613"/>
    <col min="10259" max="10259" width="2.7109375" style="613" customWidth="1"/>
    <col min="10260" max="10260" width="38.140625" style="613" customWidth="1"/>
    <col min="10261" max="10261" width="9.85546875" style="613" customWidth="1"/>
    <col min="10262" max="10262" width="9.7109375" style="613" customWidth="1"/>
    <col min="10263" max="10263" width="1.5703125" style="613" customWidth="1"/>
    <col min="10264" max="10266" width="0" style="613" hidden="1" customWidth="1"/>
    <col min="10267" max="10275" width="8.5703125" style="613" customWidth="1"/>
    <col min="10276" max="10290" width="0" style="613" hidden="1" customWidth="1"/>
    <col min="10291" max="10291" width="1.5703125" style="613" customWidth="1"/>
    <col min="10292" max="10292" width="9.7109375" style="613" customWidth="1"/>
    <col min="10293" max="10293" width="9.28515625" style="613" customWidth="1"/>
    <col min="10294" max="10296" width="9.7109375" style="613" customWidth="1"/>
    <col min="10297" max="10299" width="0" style="613" hidden="1" customWidth="1"/>
    <col min="10300" max="10300" width="1.5703125" style="613" customWidth="1"/>
    <col min="10301" max="10514" width="9.140625" style="613"/>
    <col min="10515" max="10515" width="2.7109375" style="613" customWidth="1"/>
    <col min="10516" max="10516" width="38.140625" style="613" customWidth="1"/>
    <col min="10517" max="10517" width="9.85546875" style="613" customWidth="1"/>
    <col min="10518" max="10518" width="9.7109375" style="613" customWidth="1"/>
    <col min="10519" max="10519" width="1.5703125" style="613" customWidth="1"/>
    <col min="10520" max="10522" width="0" style="613" hidden="1" customWidth="1"/>
    <col min="10523" max="10531" width="8.5703125" style="613" customWidth="1"/>
    <col min="10532" max="10546" width="0" style="613" hidden="1" customWidth="1"/>
    <col min="10547" max="10547" width="1.5703125" style="613" customWidth="1"/>
    <col min="10548" max="10548" width="9.7109375" style="613" customWidth="1"/>
    <col min="10549" max="10549" width="9.28515625" style="613" customWidth="1"/>
    <col min="10550" max="10552" width="9.7109375" style="613" customWidth="1"/>
    <col min="10553" max="10555" width="0" style="613" hidden="1" customWidth="1"/>
    <col min="10556" max="10556" width="1.5703125" style="613" customWidth="1"/>
    <col min="10557" max="10770" width="9.140625" style="613"/>
    <col min="10771" max="10771" width="2.7109375" style="613" customWidth="1"/>
    <col min="10772" max="10772" width="38.140625" style="613" customWidth="1"/>
    <col min="10773" max="10773" width="9.85546875" style="613" customWidth="1"/>
    <col min="10774" max="10774" width="9.7109375" style="613" customWidth="1"/>
    <col min="10775" max="10775" width="1.5703125" style="613" customWidth="1"/>
    <col min="10776" max="10778" width="0" style="613" hidden="1" customWidth="1"/>
    <col min="10779" max="10787" width="8.5703125" style="613" customWidth="1"/>
    <col min="10788" max="10802" width="0" style="613" hidden="1" customWidth="1"/>
    <col min="10803" max="10803" width="1.5703125" style="613" customWidth="1"/>
    <col min="10804" max="10804" width="9.7109375" style="613" customWidth="1"/>
    <col min="10805" max="10805" width="9.28515625" style="613" customWidth="1"/>
    <col min="10806" max="10808" width="9.7109375" style="613" customWidth="1"/>
    <col min="10809" max="10811" width="0" style="613" hidden="1" customWidth="1"/>
    <col min="10812" max="10812" width="1.5703125" style="613" customWidth="1"/>
    <col min="10813" max="11026" width="9.140625" style="613"/>
    <col min="11027" max="11027" width="2.7109375" style="613" customWidth="1"/>
    <col min="11028" max="11028" width="38.140625" style="613" customWidth="1"/>
    <col min="11029" max="11029" width="9.85546875" style="613" customWidth="1"/>
    <col min="11030" max="11030" width="9.7109375" style="613" customWidth="1"/>
    <col min="11031" max="11031" width="1.5703125" style="613" customWidth="1"/>
    <col min="11032" max="11034" width="0" style="613" hidden="1" customWidth="1"/>
    <col min="11035" max="11043" width="8.5703125" style="613" customWidth="1"/>
    <col min="11044" max="11058" width="0" style="613" hidden="1" customWidth="1"/>
    <col min="11059" max="11059" width="1.5703125" style="613" customWidth="1"/>
    <col min="11060" max="11060" width="9.7109375" style="613" customWidth="1"/>
    <col min="11061" max="11061" width="9.28515625" style="613" customWidth="1"/>
    <col min="11062" max="11064" width="9.7109375" style="613" customWidth="1"/>
    <col min="11065" max="11067" width="0" style="613" hidden="1" customWidth="1"/>
    <col min="11068" max="11068" width="1.5703125" style="613" customWidth="1"/>
    <col min="11069" max="11282" width="9.140625" style="613"/>
    <col min="11283" max="11283" width="2.7109375" style="613" customWidth="1"/>
    <col min="11284" max="11284" width="38.140625" style="613" customWidth="1"/>
    <col min="11285" max="11285" width="9.85546875" style="613" customWidth="1"/>
    <col min="11286" max="11286" width="9.7109375" style="613" customWidth="1"/>
    <col min="11287" max="11287" width="1.5703125" style="613" customWidth="1"/>
    <col min="11288" max="11290" width="0" style="613" hidden="1" customWidth="1"/>
    <col min="11291" max="11299" width="8.5703125" style="613" customWidth="1"/>
    <col min="11300" max="11314" width="0" style="613" hidden="1" customWidth="1"/>
    <col min="11315" max="11315" width="1.5703125" style="613" customWidth="1"/>
    <col min="11316" max="11316" width="9.7109375" style="613" customWidth="1"/>
    <col min="11317" max="11317" width="9.28515625" style="613" customWidth="1"/>
    <col min="11318" max="11320" width="9.7109375" style="613" customWidth="1"/>
    <col min="11321" max="11323" width="0" style="613" hidden="1" customWidth="1"/>
    <col min="11324" max="11324" width="1.5703125" style="613" customWidth="1"/>
    <col min="11325" max="11538" width="9.140625" style="613"/>
    <col min="11539" max="11539" width="2.7109375" style="613" customWidth="1"/>
    <col min="11540" max="11540" width="38.140625" style="613" customWidth="1"/>
    <col min="11541" max="11541" width="9.85546875" style="613" customWidth="1"/>
    <col min="11542" max="11542" width="9.7109375" style="613" customWidth="1"/>
    <col min="11543" max="11543" width="1.5703125" style="613" customWidth="1"/>
    <col min="11544" max="11546" width="0" style="613" hidden="1" customWidth="1"/>
    <col min="11547" max="11555" width="8.5703125" style="613" customWidth="1"/>
    <col min="11556" max="11570" width="0" style="613" hidden="1" customWidth="1"/>
    <col min="11571" max="11571" width="1.5703125" style="613" customWidth="1"/>
    <col min="11572" max="11572" width="9.7109375" style="613" customWidth="1"/>
    <col min="11573" max="11573" width="9.28515625" style="613" customWidth="1"/>
    <col min="11574" max="11576" width="9.7109375" style="613" customWidth="1"/>
    <col min="11577" max="11579" width="0" style="613" hidden="1" customWidth="1"/>
    <col min="11580" max="11580" width="1.5703125" style="613" customWidth="1"/>
    <col min="11581" max="11794" width="9.140625" style="613"/>
    <col min="11795" max="11795" width="2.7109375" style="613" customWidth="1"/>
    <col min="11796" max="11796" width="38.140625" style="613" customWidth="1"/>
    <col min="11797" max="11797" width="9.85546875" style="613" customWidth="1"/>
    <col min="11798" max="11798" width="9.7109375" style="613" customWidth="1"/>
    <col min="11799" max="11799" width="1.5703125" style="613" customWidth="1"/>
    <col min="11800" max="11802" width="0" style="613" hidden="1" customWidth="1"/>
    <col min="11803" max="11811" width="8.5703125" style="613" customWidth="1"/>
    <col min="11812" max="11826" width="0" style="613" hidden="1" customWidth="1"/>
    <col min="11827" max="11827" width="1.5703125" style="613" customWidth="1"/>
    <col min="11828" max="11828" width="9.7109375" style="613" customWidth="1"/>
    <col min="11829" max="11829" width="9.28515625" style="613" customWidth="1"/>
    <col min="11830" max="11832" width="9.7109375" style="613" customWidth="1"/>
    <col min="11833" max="11835" width="0" style="613" hidden="1" customWidth="1"/>
    <col min="11836" max="11836" width="1.5703125" style="613" customWidth="1"/>
    <col min="11837" max="12050" width="9.140625" style="613"/>
    <col min="12051" max="12051" width="2.7109375" style="613" customWidth="1"/>
    <col min="12052" max="12052" width="38.140625" style="613" customWidth="1"/>
    <col min="12053" max="12053" width="9.85546875" style="613" customWidth="1"/>
    <col min="12054" max="12054" width="9.7109375" style="613" customWidth="1"/>
    <col min="12055" max="12055" width="1.5703125" style="613" customWidth="1"/>
    <col min="12056" max="12058" width="0" style="613" hidden="1" customWidth="1"/>
    <col min="12059" max="12067" width="8.5703125" style="613" customWidth="1"/>
    <col min="12068" max="12082" width="0" style="613" hidden="1" customWidth="1"/>
    <col min="12083" max="12083" width="1.5703125" style="613" customWidth="1"/>
    <col min="12084" max="12084" width="9.7109375" style="613" customWidth="1"/>
    <col min="12085" max="12085" width="9.28515625" style="613" customWidth="1"/>
    <col min="12086" max="12088" width="9.7109375" style="613" customWidth="1"/>
    <col min="12089" max="12091" width="0" style="613" hidden="1" customWidth="1"/>
    <col min="12092" max="12092" width="1.5703125" style="613" customWidth="1"/>
    <col min="12093" max="12306" width="9.140625" style="613"/>
    <col min="12307" max="12307" width="2.7109375" style="613" customWidth="1"/>
    <col min="12308" max="12308" width="38.140625" style="613" customWidth="1"/>
    <col min="12309" max="12309" width="9.85546875" style="613" customWidth="1"/>
    <col min="12310" max="12310" width="9.7109375" style="613" customWidth="1"/>
    <col min="12311" max="12311" width="1.5703125" style="613" customWidth="1"/>
    <col min="12312" max="12314" width="0" style="613" hidden="1" customWidth="1"/>
    <col min="12315" max="12323" width="8.5703125" style="613" customWidth="1"/>
    <col min="12324" max="12338" width="0" style="613" hidden="1" customWidth="1"/>
    <col min="12339" max="12339" width="1.5703125" style="613" customWidth="1"/>
    <col min="12340" max="12340" width="9.7109375" style="613" customWidth="1"/>
    <col min="12341" max="12341" width="9.28515625" style="613" customWidth="1"/>
    <col min="12342" max="12344" width="9.7109375" style="613" customWidth="1"/>
    <col min="12345" max="12347" width="0" style="613" hidden="1" customWidth="1"/>
    <col min="12348" max="12348" width="1.5703125" style="613" customWidth="1"/>
    <col min="12349" max="12562" width="9.140625" style="613"/>
    <col min="12563" max="12563" width="2.7109375" style="613" customWidth="1"/>
    <col min="12564" max="12564" width="38.140625" style="613" customWidth="1"/>
    <col min="12565" max="12565" width="9.85546875" style="613" customWidth="1"/>
    <col min="12566" max="12566" width="9.7109375" style="613" customWidth="1"/>
    <col min="12567" max="12567" width="1.5703125" style="613" customWidth="1"/>
    <col min="12568" max="12570" width="0" style="613" hidden="1" customWidth="1"/>
    <col min="12571" max="12579" width="8.5703125" style="613" customWidth="1"/>
    <col min="12580" max="12594" width="0" style="613" hidden="1" customWidth="1"/>
    <col min="12595" max="12595" width="1.5703125" style="613" customWidth="1"/>
    <col min="12596" max="12596" width="9.7109375" style="613" customWidth="1"/>
    <col min="12597" max="12597" width="9.28515625" style="613" customWidth="1"/>
    <col min="12598" max="12600" width="9.7109375" style="613" customWidth="1"/>
    <col min="12601" max="12603" width="0" style="613" hidden="1" customWidth="1"/>
    <col min="12604" max="12604" width="1.5703125" style="613" customWidth="1"/>
    <col min="12605" max="12818" width="9.140625" style="613"/>
    <col min="12819" max="12819" width="2.7109375" style="613" customWidth="1"/>
    <col min="12820" max="12820" width="38.140625" style="613" customWidth="1"/>
    <col min="12821" max="12821" width="9.85546875" style="613" customWidth="1"/>
    <col min="12822" max="12822" width="9.7109375" style="613" customWidth="1"/>
    <col min="12823" max="12823" width="1.5703125" style="613" customWidth="1"/>
    <col min="12824" max="12826" width="0" style="613" hidden="1" customWidth="1"/>
    <col min="12827" max="12835" width="8.5703125" style="613" customWidth="1"/>
    <col min="12836" max="12850" width="0" style="613" hidden="1" customWidth="1"/>
    <col min="12851" max="12851" width="1.5703125" style="613" customWidth="1"/>
    <col min="12852" max="12852" width="9.7109375" style="613" customWidth="1"/>
    <col min="12853" max="12853" width="9.28515625" style="613" customWidth="1"/>
    <col min="12854" max="12856" width="9.7109375" style="613" customWidth="1"/>
    <col min="12857" max="12859" width="0" style="613" hidden="1" customWidth="1"/>
    <col min="12860" max="12860" width="1.5703125" style="613" customWidth="1"/>
    <col min="12861" max="13074" width="9.140625" style="613"/>
    <col min="13075" max="13075" width="2.7109375" style="613" customWidth="1"/>
    <col min="13076" max="13076" width="38.140625" style="613" customWidth="1"/>
    <col min="13077" max="13077" width="9.85546875" style="613" customWidth="1"/>
    <col min="13078" max="13078" width="9.7109375" style="613" customWidth="1"/>
    <col min="13079" max="13079" width="1.5703125" style="613" customWidth="1"/>
    <col min="13080" max="13082" width="0" style="613" hidden="1" customWidth="1"/>
    <col min="13083" max="13091" width="8.5703125" style="613" customWidth="1"/>
    <col min="13092" max="13106" width="0" style="613" hidden="1" customWidth="1"/>
    <col min="13107" max="13107" width="1.5703125" style="613" customWidth="1"/>
    <col min="13108" max="13108" width="9.7109375" style="613" customWidth="1"/>
    <col min="13109" max="13109" width="9.28515625" style="613" customWidth="1"/>
    <col min="13110" max="13112" width="9.7109375" style="613" customWidth="1"/>
    <col min="13113" max="13115" width="0" style="613" hidden="1" customWidth="1"/>
    <col min="13116" max="13116" width="1.5703125" style="613" customWidth="1"/>
    <col min="13117" max="13330" width="9.140625" style="613"/>
    <col min="13331" max="13331" width="2.7109375" style="613" customWidth="1"/>
    <col min="13332" max="13332" width="38.140625" style="613" customWidth="1"/>
    <col min="13333" max="13333" width="9.85546875" style="613" customWidth="1"/>
    <col min="13334" max="13334" width="9.7109375" style="613" customWidth="1"/>
    <col min="13335" max="13335" width="1.5703125" style="613" customWidth="1"/>
    <col min="13336" max="13338" width="0" style="613" hidden="1" customWidth="1"/>
    <col min="13339" max="13347" width="8.5703125" style="613" customWidth="1"/>
    <col min="13348" max="13362" width="0" style="613" hidden="1" customWidth="1"/>
    <col min="13363" max="13363" width="1.5703125" style="613" customWidth="1"/>
    <col min="13364" max="13364" width="9.7109375" style="613" customWidth="1"/>
    <col min="13365" max="13365" width="9.28515625" style="613" customWidth="1"/>
    <col min="13366" max="13368" width="9.7109375" style="613" customWidth="1"/>
    <col min="13369" max="13371" width="0" style="613" hidden="1" customWidth="1"/>
    <col min="13372" max="13372" width="1.5703125" style="613" customWidth="1"/>
    <col min="13373" max="13586" width="9.140625" style="613"/>
    <col min="13587" max="13587" width="2.7109375" style="613" customWidth="1"/>
    <col min="13588" max="13588" width="38.140625" style="613" customWidth="1"/>
    <col min="13589" max="13589" width="9.85546875" style="613" customWidth="1"/>
    <col min="13590" max="13590" width="9.7109375" style="613" customWidth="1"/>
    <col min="13591" max="13591" width="1.5703125" style="613" customWidth="1"/>
    <col min="13592" max="13594" width="0" style="613" hidden="1" customWidth="1"/>
    <col min="13595" max="13603" width="8.5703125" style="613" customWidth="1"/>
    <col min="13604" max="13618" width="0" style="613" hidden="1" customWidth="1"/>
    <col min="13619" max="13619" width="1.5703125" style="613" customWidth="1"/>
    <col min="13620" max="13620" width="9.7109375" style="613" customWidth="1"/>
    <col min="13621" max="13621" width="9.28515625" style="613" customWidth="1"/>
    <col min="13622" max="13624" width="9.7109375" style="613" customWidth="1"/>
    <col min="13625" max="13627" width="0" style="613" hidden="1" customWidth="1"/>
    <col min="13628" max="13628" width="1.5703125" style="613" customWidth="1"/>
    <col min="13629" max="13842" width="9.140625" style="613"/>
    <col min="13843" max="13843" width="2.7109375" style="613" customWidth="1"/>
    <col min="13844" max="13844" width="38.140625" style="613" customWidth="1"/>
    <col min="13845" max="13845" width="9.85546875" style="613" customWidth="1"/>
    <col min="13846" max="13846" width="9.7109375" style="613" customWidth="1"/>
    <col min="13847" max="13847" width="1.5703125" style="613" customWidth="1"/>
    <col min="13848" max="13850" width="0" style="613" hidden="1" customWidth="1"/>
    <col min="13851" max="13859" width="8.5703125" style="613" customWidth="1"/>
    <col min="13860" max="13874" width="0" style="613" hidden="1" customWidth="1"/>
    <col min="13875" max="13875" width="1.5703125" style="613" customWidth="1"/>
    <col min="13876" max="13876" width="9.7109375" style="613" customWidth="1"/>
    <col min="13877" max="13877" width="9.28515625" style="613" customWidth="1"/>
    <col min="13878" max="13880" width="9.7109375" style="613" customWidth="1"/>
    <col min="13881" max="13883" width="0" style="613" hidden="1" customWidth="1"/>
    <col min="13884" max="13884" width="1.5703125" style="613" customWidth="1"/>
    <col min="13885" max="14098" width="9.140625" style="613"/>
    <col min="14099" max="14099" width="2.7109375" style="613" customWidth="1"/>
    <col min="14100" max="14100" width="38.140625" style="613" customWidth="1"/>
    <col min="14101" max="14101" width="9.85546875" style="613" customWidth="1"/>
    <col min="14102" max="14102" width="9.7109375" style="613" customWidth="1"/>
    <col min="14103" max="14103" width="1.5703125" style="613" customWidth="1"/>
    <col min="14104" max="14106" width="0" style="613" hidden="1" customWidth="1"/>
    <col min="14107" max="14115" width="8.5703125" style="613" customWidth="1"/>
    <col min="14116" max="14130" width="0" style="613" hidden="1" customWidth="1"/>
    <col min="14131" max="14131" width="1.5703125" style="613" customWidth="1"/>
    <col min="14132" max="14132" width="9.7109375" style="613" customWidth="1"/>
    <col min="14133" max="14133" width="9.28515625" style="613" customWidth="1"/>
    <col min="14134" max="14136" width="9.7109375" style="613" customWidth="1"/>
    <col min="14137" max="14139" width="0" style="613" hidden="1" customWidth="1"/>
    <col min="14140" max="14140" width="1.5703125" style="613" customWidth="1"/>
    <col min="14141" max="14354" width="9.140625" style="613"/>
    <col min="14355" max="14355" width="2.7109375" style="613" customWidth="1"/>
    <col min="14356" max="14356" width="38.140625" style="613" customWidth="1"/>
    <col min="14357" max="14357" width="9.85546875" style="613" customWidth="1"/>
    <col min="14358" max="14358" width="9.7109375" style="613" customWidth="1"/>
    <col min="14359" max="14359" width="1.5703125" style="613" customWidth="1"/>
    <col min="14360" max="14362" width="0" style="613" hidden="1" customWidth="1"/>
    <col min="14363" max="14371" width="8.5703125" style="613" customWidth="1"/>
    <col min="14372" max="14386" width="0" style="613" hidden="1" customWidth="1"/>
    <col min="14387" max="14387" width="1.5703125" style="613" customWidth="1"/>
    <col min="14388" max="14388" width="9.7109375" style="613" customWidth="1"/>
    <col min="14389" max="14389" width="9.28515625" style="613" customWidth="1"/>
    <col min="14390" max="14392" width="9.7109375" style="613" customWidth="1"/>
    <col min="14393" max="14395" width="0" style="613" hidden="1" customWidth="1"/>
    <col min="14396" max="14396" width="1.5703125" style="613" customWidth="1"/>
    <col min="14397" max="14610" width="9.140625" style="613"/>
    <col min="14611" max="14611" width="2.7109375" style="613" customWidth="1"/>
    <col min="14612" max="14612" width="38.140625" style="613" customWidth="1"/>
    <col min="14613" max="14613" width="9.85546875" style="613" customWidth="1"/>
    <col min="14614" max="14614" width="9.7109375" style="613" customWidth="1"/>
    <col min="14615" max="14615" width="1.5703125" style="613" customWidth="1"/>
    <col min="14616" max="14618" width="0" style="613" hidden="1" customWidth="1"/>
    <col min="14619" max="14627" width="8.5703125" style="613" customWidth="1"/>
    <col min="14628" max="14642" width="0" style="613" hidden="1" customWidth="1"/>
    <col min="14643" max="14643" width="1.5703125" style="613" customWidth="1"/>
    <col min="14644" max="14644" width="9.7109375" style="613" customWidth="1"/>
    <col min="14645" max="14645" width="9.28515625" style="613" customWidth="1"/>
    <col min="14646" max="14648" width="9.7109375" style="613" customWidth="1"/>
    <col min="14649" max="14651" width="0" style="613" hidden="1" customWidth="1"/>
    <col min="14652" max="14652" width="1.5703125" style="613" customWidth="1"/>
    <col min="14653" max="14866" width="9.140625" style="613"/>
    <col min="14867" max="14867" width="2.7109375" style="613" customWidth="1"/>
    <col min="14868" max="14868" width="38.140625" style="613" customWidth="1"/>
    <col min="14869" max="14869" width="9.85546875" style="613" customWidth="1"/>
    <col min="14870" max="14870" width="9.7109375" style="613" customWidth="1"/>
    <col min="14871" max="14871" width="1.5703125" style="613" customWidth="1"/>
    <col min="14872" max="14874" width="0" style="613" hidden="1" customWidth="1"/>
    <col min="14875" max="14883" width="8.5703125" style="613" customWidth="1"/>
    <col min="14884" max="14898" width="0" style="613" hidden="1" customWidth="1"/>
    <col min="14899" max="14899" width="1.5703125" style="613" customWidth="1"/>
    <col min="14900" max="14900" width="9.7109375" style="613" customWidth="1"/>
    <col min="14901" max="14901" width="9.28515625" style="613" customWidth="1"/>
    <col min="14902" max="14904" width="9.7109375" style="613" customWidth="1"/>
    <col min="14905" max="14907" width="0" style="613" hidden="1" customWidth="1"/>
    <col min="14908" max="14908" width="1.5703125" style="613" customWidth="1"/>
    <col min="14909" max="15122" width="9.140625" style="613"/>
    <col min="15123" max="15123" width="2.7109375" style="613" customWidth="1"/>
    <col min="15124" max="15124" width="38.140625" style="613" customWidth="1"/>
    <col min="15125" max="15125" width="9.85546875" style="613" customWidth="1"/>
    <col min="15126" max="15126" width="9.7109375" style="613" customWidth="1"/>
    <col min="15127" max="15127" width="1.5703125" style="613" customWidth="1"/>
    <col min="15128" max="15130" width="0" style="613" hidden="1" customWidth="1"/>
    <col min="15131" max="15139" width="8.5703125" style="613" customWidth="1"/>
    <col min="15140" max="15154" width="0" style="613" hidden="1" customWidth="1"/>
    <col min="15155" max="15155" width="1.5703125" style="613" customWidth="1"/>
    <col min="15156" max="15156" width="9.7109375" style="613" customWidth="1"/>
    <col min="15157" max="15157" width="9.28515625" style="613" customWidth="1"/>
    <col min="15158" max="15160" width="9.7109375" style="613" customWidth="1"/>
    <col min="15161" max="15163" width="0" style="613" hidden="1" customWidth="1"/>
    <col min="15164" max="15164" width="1.5703125" style="613" customWidth="1"/>
    <col min="15165" max="15378" width="9.140625" style="613"/>
    <col min="15379" max="15379" width="2.7109375" style="613" customWidth="1"/>
    <col min="15380" max="15380" width="38.140625" style="613" customWidth="1"/>
    <col min="15381" max="15381" width="9.85546875" style="613" customWidth="1"/>
    <col min="15382" max="15382" width="9.7109375" style="613" customWidth="1"/>
    <col min="15383" max="15383" width="1.5703125" style="613" customWidth="1"/>
    <col min="15384" max="15386" width="0" style="613" hidden="1" customWidth="1"/>
    <col min="15387" max="15395" width="8.5703125" style="613" customWidth="1"/>
    <col min="15396" max="15410" width="0" style="613" hidden="1" customWidth="1"/>
    <col min="15411" max="15411" width="1.5703125" style="613" customWidth="1"/>
    <col min="15412" max="15412" width="9.7109375" style="613" customWidth="1"/>
    <col min="15413" max="15413" width="9.28515625" style="613" customWidth="1"/>
    <col min="15414" max="15416" width="9.7109375" style="613" customWidth="1"/>
    <col min="15417" max="15419" width="0" style="613" hidden="1" customWidth="1"/>
    <col min="15420" max="15420" width="1.5703125" style="613" customWidth="1"/>
    <col min="15421" max="15634" width="9.140625" style="613"/>
    <col min="15635" max="15635" width="2.7109375" style="613" customWidth="1"/>
    <col min="15636" max="15636" width="38.140625" style="613" customWidth="1"/>
    <col min="15637" max="15637" width="9.85546875" style="613" customWidth="1"/>
    <col min="15638" max="15638" width="9.7109375" style="613" customWidth="1"/>
    <col min="15639" max="15639" width="1.5703125" style="613" customWidth="1"/>
    <col min="15640" max="15642" width="0" style="613" hidden="1" customWidth="1"/>
    <col min="15643" max="15651" width="8.5703125" style="613" customWidth="1"/>
    <col min="15652" max="15666" width="0" style="613" hidden="1" customWidth="1"/>
    <col min="15667" max="15667" width="1.5703125" style="613" customWidth="1"/>
    <col min="15668" max="15668" width="9.7109375" style="613" customWidth="1"/>
    <col min="15669" max="15669" width="9.28515625" style="613" customWidth="1"/>
    <col min="15670" max="15672" width="9.7109375" style="613" customWidth="1"/>
    <col min="15673" max="15675" width="0" style="613" hidden="1" customWidth="1"/>
    <col min="15676" max="15676" width="1.5703125" style="613" customWidth="1"/>
    <col min="15677" max="15890" width="9.140625" style="613"/>
    <col min="15891" max="15891" width="2.7109375" style="613" customWidth="1"/>
    <col min="15892" max="15892" width="38.140625" style="613" customWidth="1"/>
    <col min="15893" max="15893" width="9.85546875" style="613" customWidth="1"/>
    <col min="15894" max="15894" width="9.7109375" style="613" customWidth="1"/>
    <col min="15895" max="15895" width="1.5703125" style="613" customWidth="1"/>
    <col min="15896" max="15898" width="0" style="613" hidden="1" customWidth="1"/>
    <col min="15899" max="15907" width="8.5703125" style="613" customWidth="1"/>
    <col min="15908" max="15922" width="0" style="613" hidden="1" customWidth="1"/>
    <col min="15923" max="15923" width="1.5703125" style="613" customWidth="1"/>
    <col min="15924" max="15924" width="9.7109375" style="613" customWidth="1"/>
    <col min="15925" max="15925" width="9.28515625" style="613" customWidth="1"/>
    <col min="15926" max="15928" width="9.7109375" style="613" customWidth="1"/>
    <col min="15929" max="15931" width="0" style="613" hidden="1" customWidth="1"/>
    <col min="15932" max="15932" width="1.5703125" style="613" customWidth="1"/>
    <col min="15933" max="16146" width="9.140625" style="613"/>
    <col min="16147" max="16147" width="2.7109375" style="613" customWidth="1"/>
    <col min="16148" max="16148" width="38.140625" style="613" customWidth="1"/>
    <col min="16149" max="16149" width="9.85546875" style="613" customWidth="1"/>
    <col min="16150" max="16150" width="9.7109375" style="613" customWidth="1"/>
    <col min="16151" max="16151" width="1.5703125" style="613" customWidth="1"/>
    <col min="16152" max="16154" width="0" style="613" hidden="1" customWidth="1"/>
    <col min="16155" max="16163" width="8.5703125" style="613" customWidth="1"/>
    <col min="16164" max="16178" width="0" style="613" hidden="1" customWidth="1"/>
    <col min="16179" max="16179" width="1.5703125" style="613" customWidth="1"/>
    <col min="16180" max="16180" width="9.7109375" style="613" customWidth="1"/>
    <col min="16181" max="16181" width="9.28515625" style="613" customWidth="1"/>
    <col min="16182" max="16184" width="9.7109375" style="613" customWidth="1"/>
    <col min="16185" max="16187" width="0" style="613" hidden="1" customWidth="1"/>
    <col min="16188" max="16188" width="1.5703125" style="613" customWidth="1"/>
    <col min="16189" max="16384" width="9.140625" style="613"/>
  </cols>
  <sheetData>
    <row r="3" spans="1:67" x14ac:dyDescent="0.2">
      <c r="G3" s="523"/>
      <c r="H3" s="486"/>
      <c r="I3" s="486"/>
      <c r="K3" s="523"/>
      <c r="L3" s="486"/>
      <c r="M3" s="486"/>
      <c r="O3" s="523"/>
      <c r="P3" s="486"/>
      <c r="Q3" s="486"/>
      <c r="S3" s="523"/>
    </row>
    <row r="4" spans="1:67" x14ac:dyDescent="0.2">
      <c r="S4" s="591"/>
      <c r="AR4" s="591"/>
    </row>
    <row r="5" spans="1:67" x14ac:dyDescent="0.2">
      <c r="A5" s="3"/>
      <c r="B5" s="3"/>
      <c r="C5" s="3"/>
      <c r="D5" s="3"/>
      <c r="AG5" s="3"/>
      <c r="AH5" s="3"/>
      <c r="AI5" s="3"/>
    </row>
    <row r="6" spans="1:67" ht="18" customHeight="1" x14ac:dyDescent="0.2">
      <c r="A6" s="132" t="s">
        <v>416</v>
      </c>
      <c r="B6" s="3"/>
      <c r="C6" s="3"/>
      <c r="D6" s="3"/>
      <c r="AG6" s="3"/>
      <c r="AH6" s="3"/>
      <c r="AI6" s="3"/>
    </row>
    <row r="7" spans="1:67" s="721" customFormat="1" ht="18" customHeight="1" x14ac:dyDescent="0.2">
      <c r="A7" s="132" t="s">
        <v>412</v>
      </c>
      <c r="B7" s="722"/>
      <c r="C7" s="722"/>
      <c r="D7" s="722"/>
      <c r="E7" s="722"/>
      <c r="F7" s="722"/>
      <c r="G7" s="665"/>
      <c r="H7" s="665"/>
      <c r="I7" s="722"/>
      <c r="J7" s="722"/>
      <c r="K7" s="665"/>
      <c r="L7" s="665"/>
      <c r="M7" s="722"/>
      <c r="N7" s="722"/>
      <c r="O7" s="722"/>
      <c r="P7" s="722"/>
      <c r="Q7" s="722"/>
      <c r="R7" s="722"/>
      <c r="S7" s="722"/>
      <c r="T7" s="722"/>
      <c r="U7" s="722"/>
      <c r="V7" s="722"/>
      <c r="W7" s="722"/>
      <c r="X7" s="722"/>
      <c r="Y7" s="722"/>
      <c r="Z7" s="722"/>
      <c r="AA7" s="722"/>
      <c r="AB7" s="722"/>
      <c r="AC7" s="722"/>
      <c r="AD7" s="722"/>
      <c r="AE7" s="722"/>
      <c r="AF7" s="722"/>
      <c r="AG7" s="722"/>
      <c r="AH7" s="722"/>
      <c r="AI7" s="722"/>
      <c r="AS7" s="106"/>
      <c r="AT7" s="106"/>
      <c r="AV7" s="106"/>
      <c r="AW7" s="106"/>
      <c r="AX7" s="106"/>
      <c r="AY7" s="106"/>
      <c r="AZ7" s="106"/>
    </row>
    <row r="8" spans="1:67" ht="18" customHeight="1" x14ac:dyDescent="0.2">
      <c r="A8" s="132" t="s">
        <v>410</v>
      </c>
      <c r="B8" s="3"/>
      <c r="C8" s="3"/>
      <c r="D8" s="3"/>
      <c r="G8" s="665"/>
      <c r="H8" s="665"/>
      <c r="K8" s="665"/>
      <c r="L8" s="665"/>
      <c r="AG8" s="3"/>
      <c r="AH8" s="3"/>
      <c r="AI8" s="3"/>
      <c r="AR8" s="523"/>
      <c r="AV8" s="878"/>
      <c r="AW8" s="878"/>
      <c r="AX8" s="878"/>
      <c r="AY8" s="878"/>
    </row>
    <row r="9" spans="1:67" s="721" customFormat="1" x14ac:dyDescent="0.2">
      <c r="A9" s="760" t="s">
        <v>281</v>
      </c>
      <c r="B9" s="722"/>
      <c r="C9" s="722"/>
      <c r="D9" s="722"/>
      <c r="E9" s="722"/>
      <c r="F9" s="722"/>
      <c r="G9" s="523"/>
      <c r="H9" s="722"/>
      <c r="I9" s="722"/>
      <c r="J9" s="722"/>
      <c r="K9" s="523"/>
      <c r="L9" s="722"/>
      <c r="M9" s="722"/>
      <c r="N9" s="722"/>
      <c r="O9" s="722"/>
      <c r="P9" s="722"/>
      <c r="Q9" s="722"/>
      <c r="R9" s="722"/>
      <c r="S9" s="722"/>
      <c r="T9" s="722"/>
      <c r="U9" s="722"/>
      <c r="V9" s="722"/>
      <c r="W9" s="722"/>
      <c r="X9" s="722"/>
      <c r="Y9" s="722"/>
      <c r="Z9" s="722"/>
      <c r="AA9" s="722"/>
      <c r="AB9" s="722"/>
      <c r="AC9" s="722"/>
      <c r="AD9" s="722"/>
      <c r="AE9" s="722"/>
      <c r="AF9" s="722"/>
      <c r="AG9" s="722"/>
      <c r="AH9" s="722"/>
      <c r="AI9" s="722"/>
      <c r="AS9" s="106"/>
      <c r="AT9" s="106"/>
      <c r="AV9" s="106"/>
      <c r="AW9" s="106"/>
      <c r="AX9" s="106"/>
      <c r="AY9" s="106"/>
      <c r="AZ9" s="106"/>
    </row>
    <row r="10" spans="1:67" ht="9.75" customHeight="1" x14ac:dyDescent="0.2">
      <c r="A10" s="2"/>
      <c r="B10" s="2"/>
      <c r="C10" s="2"/>
      <c r="D10" s="2"/>
      <c r="E10" s="2"/>
      <c r="F10" s="2"/>
      <c r="G10" s="2"/>
      <c r="H10" s="2"/>
      <c r="I10" s="2"/>
      <c r="J10" s="2"/>
      <c r="K10" s="2"/>
      <c r="L10" s="2"/>
      <c r="M10" s="2"/>
      <c r="N10" s="2"/>
      <c r="O10" s="2"/>
      <c r="P10" s="2"/>
      <c r="Q10" s="2"/>
      <c r="R10" s="424"/>
      <c r="S10" s="2"/>
      <c r="T10" s="2"/>
      <c r="U10" s="2"/>
      <c r="V10" s="424"/>
      <c r="W10" s="2"/>
      <c r="X10" s="424"/>
      <c r="Y10" s="2"/>
      <c r="Z10" s="424"/>
      <c r="AA10" s="2"/>
      <c r="AB10" s="424"/>
      <c r="AC10" s="2"/>
      <c r="AD10" s="424"/>
      <c r="AE10" s="2"/>
      <c r="AF10" s="2"/>
      <c r="AG10" s="3"/>
      <c r="AH10" s="3"/>
      <c r="AI10" s="3"/>
      <c r="AS10" s="552"/>
      <c r="AT10" s="552"/>
      <c r="AV10" s="552"/>
      <c r="AW10" s="552"/>
      <c r="AX10" s="552"/>
      <c r="AY10" s="552"/>
      <c r="AZ10" s="552"/>
      <c r="BE10" s="3"/>
      <c r="BF10" s="3"/>
      <c r="BG10" s="3"/>
    </row>
    <row r="11" spans="1:67" x14ac:dyDescent="0.2">
      <c r="A11" s="6" t="s">
        <v>1</v>
      </c>
      <c r="B11" s="7"/>
      <c r="C11" s="1479" t="s">
        <v>447</v>
      </c>
      <c r="D11" s="1480"/>
      <c r="E11" s="256"/>
      <c r="F11" s="410"/>
      <c r="G11" s="410"/>
      <c r="H11" s="993"/>
      <c r="I11" s="1205"/>
      <c r="J11" s="410"/>
      <c r="K11" s="410"/>
      <c r="L11" s="993"/>
      <c r="M11" s="1205"/>
      <c r="N11" s="993"/>
      <c r="O11" s="993"/>
      <c r="P11" s="993"/>
      <c r="Q11" s="1205"/>
      <c r="R11" s="993"/>
      <c r="S11" s="993"/>
      <c r="T11" s="993"/>
      <c r="U11" s="993"/>
      <c r="V11" s="1102"/>
      <c r="W11" s="993"/>
      <c r="X11" s="993"/>
      <c r="Y11" s="993"/>
      <c r="Z11" s="1102"/>
      <c r="AA11" s="993"/>
      <c r="AB11" s="993"/>
      <c r="AC11" s="993"/>
      <c r="AD11" s="1102"/>
      <c r="AE11" s="993"/>
      <c r="AF11" s="1205"/>
      <c r="AG11" s="1205"/>
      <c r="AH11" s="1205"/>
      <c r="AI11" s="992"/>
      <c r="AJ11" s="992"/>
      <c r="AK11" s="952"/>
      <c r="AL11" s="992"/>
      <c r="AM11" s="952"/>
      <c r="AN11" s="952"/>
      <c r="AO11" s="992"/>
      <c r="AP11" s="991"/>
      <c r="AQ11" s="661" t="s">
        <v>340</v>
      </c>
      <c r="AR11" s="647"/>
      <c r="AS11" s="647" t="s">
        <v>432</v>
      </c>
      <c r="AT11" s="648"/>
      <c r="AU11" s="15"/>
      <c r="AV11" s="1443"/>
      <c r="AW11" s="1395"/>
      <c r="AX11" s="1395"/>
      <c r="AY11" s="694"/>
      <c r="AZ11" s="666"/>
      <c r="BA11" s="87"/>
      <c r="BB11" s="87"/>
      <c r="BC11" s="22"/>
      <c r="BD11" s="22"/>
      <c r="BE11" s="87"/>
      <c r="BF11" s="87"/>
      <c r="BG11" s="1443"/>
      <c r="BH11" s="25"/>
    </row>
    <row r="12" spans="1:67" ht="13.5" x14ac:dyDescent="0.2">
      <c r="A12" s="6" t="s">
        <v>2</v>
      </c>
      <c r="B12" s="7"/>
      <c r="C12" s="1481" t="s">
        <v>39</v>
      </c>
      <c r="D12" s="1482"/>
      <c r="E12" s="530"/>
      <c r="F12" s="21" t="s">
        <v>425</v>
      </c>
      <c r="G12" s="21" t="s">
        <v>426</v>
      </c>
      <c r="H12" s="21" t="s">
        <v>427</v>
      </c>
      <c r="I12" s="14" t="s">
        <v>428</v>
      </c>
      <c r="J12" s="21" t="s">
        <v>363</v>
      </c>
      <c r="K12" s="964" t="s">
        <v>362</v>
      </c>
      <c r="L12" s="964" t="s">
        <v>361</v>
      </c>
      <c r="M12" s="965" t="s">
        <v>359</v>
      </c>
      <c r="N12" s="964" t="s">
        <v>302</v>
      </c>
      <c r="O12" s="964" t="s">
        <v>303</v>
      </c>
      <c r="P12" s="964" t="s">
        <v>304</v>
      </c>
      <c r="Q12" s="965" t="s">
        <v>305</v>
      </c>
      <c r="R12" s="964" t="s">
        <v>231</v>
      </c>
      <c r="S12" s="964" t="s">
        <v>232</v>
      </c>
      <c r="T12" s="964" t="s">
        <v>233</v>
      </c>
      <c r="U12" s="965" t="s">
        <v>230</v>
      </c>
      <c r="V12" s="966" t="s">
        <v>194</v>
      </c>
      <c r="W12" s="964" t="s">
        <v>195</v>
      </c>
      <c r="X12" s="964" t="s">
        <v>196</v>
      </c>
      <c r="Y12" s="964" t="e">
        <v>#REF!</v>
      </c>
      <c r="Z12" s="966" t="s">
        <v>126</v>
      </c>
      <c r="AA12" s="964" t="s">
        <v>125</v>
      </c>
      <c r="AB12" s="964" t="s">
        <v>124</v>
      </c>
      <c r="AC12" s="964" t="s">
        <v>123</v>
      </c>
      <c r="AD12" s="966" t="s">
        <v>86</v>
      </c>
      <c r="AE12" s="964" t="s">
        <v>87</v>
      </c>
      <c r="AF12" s="965" t="s">
        <v>88</v>
      </c>
      <c r="AG12" s="965" t="s">
        <v>30</v>
      </c>
      <c r="AH12" s="965" t="s">
        <v>30</v>
      </c>
      <c r="AI12" s="992"/>
      <c r="AJ12" s="992"/>
      <c r="AK12" s="952"/>
      <c r="AL12" s="992"/>
      <c r="AM12" s="952"/>
      <c r="AN12" s="952"/>
      <c r="AO12" s="992"/>
      <c r="AP12" s="991"/>
      <c r="AQ12" s="21" t="s">
        <v>426</v>
      </c>
      <c r="AR12" s="21" t="s">
        <v>362</v>
      </c>
      <c r="AS12" s="1494" t="s">
        <v>39</v>
      </c>
      <c r="AT12" s="1482"/>
      <c r="AU12" s="668"/>
      <c r="AV12" s="20" t="s">
        <v>446</v>
      </c>
      <c r="AW12" s="20" t="s">
        <v>365</v>
      </c>
      <c r="AX12" s="20" t="s">
        <v>307</v>
      </c>
      <c r="AY12" s="20" t="s">
        <v>235</v>
      </c>
      <c r="AZ12" s="20" t="s">
        <v>128</v>
      </c>
      <c r="BA12" s="23" t="s">
        <v>127</v>
      </c>
      <c r="BB12" s="23" t="s">
        <v>43</v>
      </c>
      <c r="BC12" s="23" t="s">
        <v>40</v>
      </c>
      <c r="BD12" s="23" t="s">
        <v>41</v>
      </c>
      <c r="BE12" s="23" t="s">
        <v>146</v>
      </c>
      <c r="BF12" s="23" t="s">
        <v>147</v>
      </c>
      <c r="BG12" s="20" t="s">
        <v>148</v>
      </c>
      <c r="BH12" s="25"/>
      <c r="BI12" s="3"/>
      <c r="BJ12" s="3"/>
      <c r="BM12" s="3"/>
      <c r="BN12" s="3"/>
      <c r="BO12" s="3"/>
    </row>
    <row r="13" spans="1:67" x14ac:dyDescent="0.2">
      <c r="A13" s="6"/>
      <c r="B13" s="7"/>
      <c r="C13" s="630"/>
      <c r="D13" s="669"/>
      <c r="E13" s="667"/>
      <c r="F13" s="633" t="s">
        <v>254</v>
      </c>
      <c r="G13" s="633" t="s">
        <v>254</v>
      </c>
      <c r="H13" s="633" t="s">
        <v>254</v>
      </c>
      <c r="I13" s="634" t="s">
        <v>254</v>
      </c>
      <c r="J13" s="633" t="s">
        <v>254</v>
      </c>
      <c r="K13" s="972" t="s">
        <v>254</v>
      </c>
      <c r="L13" s="633" t="s">
        <v>254</v>
      </c>
      <c r="M13" s="634" t="s">
        <v>254</v>
      </c>
      <c r="N13" s="633" t="s">
        <v>254</v>
      </c>
      <c r="O13" s="633" t="s">
        <v>254</v>
      </c>
      <c r="P13" s="633" t="s">
        <v>254</v>
      </c>
      <c r="Q13" s="634" t="s">
        <v>254</v>
      </c>
      <c r="R13" s="632" t="s">
        <v>254</v>
      </c>
      <c r="S13" s="633" t="s">
        <v>254</v>
      </c>
      <c r="T13" s="633" t="s">
        <v>254</v>
      </c>
      <c r="U13" s="634" t="s">
        <v>254</v>
      </c>
      <c r="V13" s="632" t="s">
        <v>254</v>
      </c>
      <c r="W13" s="633" t="s">
        <v>254</v>
      </c>
      <c r="X13" s="633" t="s">
        <v>254</v>
      </c>
      <c r="Y13" s="634" t="s">
        <v>254</v>
      </c>
      <c r="Z13" s="632" t="s">
        <v>255</v>
      </c>
      <c r="AA13" s="633" t="s">
        <v>255</v>
      </c>
      <c r="AB13" s="633" t="s">
        <v>255</v>
      </c>
      <c r="AC13" s="634" t="s">
        <v>255</v>
      </c>
      <c r="AD13" s="15"/>
      <c r="AE13" s="15"/>
      <c r="AF13" s="15"/>
      <c r="AG13" s="230"/>
      <c r="AH13" s="15"/>
      <c r="AI13" s="15"/>
      <c r="AJ13" s="15"/>
      <c r="AK13" s="15"/>
      <c r="AL13" s="256"/>
      <c r="AM13" s="230"/>
      <c r="AN13" s="230"/>
      <c r="AO13" s="230"/>
      <c r="AP13" s="256"/>
      <c r="AQ13" s="633" t="s">
        <v>254</v>
      </c>
      <c r="AR13" s="633" t="s">
        <v>254</v>
      </c>
      <c r="AS13" s="649"/>
      <c r="AT13" s="650"/>
      <c r="AU13" s="668"/>
      <c r="AV13" s="632" t="s">
        <v>254</v>
      </c>
      <c r="AW13" s="632" t="s">
        <v>254</v>
      </c>
      <c r="AX13" s="632" t="s">
        <v>254</v>
      </c>
      <c r="AY13" s="632" t="s">
        <v>254</v>
      </c>
      <c r="AZ13" s="632" t="s">
        <v>254</v>
      </c>
      <c r="BA13" s="635" t="s">
        <v>255</v>
      </c>
      <c r="BB13" s="635" t="s">
        <v>255</v>
      </c>
      <c r="BC13" s="635" t="s">
        <v>255</v>
      </c>
      <c r="BD13" s="635" t="s">
        <v>255</v>
      </c>
      <c r="BE13" s="256"/>
      <c r="BF13" s="256"/>
      <c r="BG13" s="229"/>
      <c r="BH13" s="25"/>
      <c r="BI13" s="3"/>
      <c r="BJ13" s="3"/>
      <c r="BM13" s="3"/>
      <c r="BN13" s="3"/>
      <c r="BO13" s="3"/>
    </row>
    <row r="14" spans="1:67" ht="12.75" customHeight="1" x14ac:dyDescent="0.2">
      <c r="A14" s="615" t="s">
        <v>64</v>
      </c>
      <c r="B14" s="8"/>
      <c r="C14" s="162"/>
      <c r="D14" s="164"/>
      <c r="E14" s="88"/>
      <c r="F14" s="7"/>
      <c r="G14" s="7"/>
      <c r="H14" s="7"/>
      <c r="I14" s="412"/>
      <c r="J14" s="7"/>
      <c r="K14" s="7"/>
      <c r="L14" s="7"/>
      <c r="M14" s="412"/>
      <c r="N14" s="7"/>
      <c r="O14" s="7"/>
      <c r="P14" s="7"/>
      <c r="Q14" s="412"/>
      <c r="R14" s="146"/>
      <c r="S14" s="7"/>
      <c r="T14" s="7"/>
      <c r="U14" s="412"/>
      <c r="V14" s="146"/>
      <c r="W14" s="7"/>
      <c r="X14" s="7"/>
      <c r="Y14" s="412"/>
      <c r="Z14" s="146"/>
      <c r="AA14" s="7"/>
      <c r="AB14" s="7"/>
      <c r="AC14" s="412"/>
      <c r="AD14" s="146"/>
      <c r="AE14" s="7"/>
      <c r="AF14" s="7"/>
      <c r="AG14" s="412"/>
      <c r="AH14" s="192"/>
      <c r="AI14" s="146"/>
      <c r="AJ14" s="146"/>
      <c r="AK14" s="164"/>
      <c r="AL14" s="191"/>
      <c r="AM14" s="164"/>
      <c r="AN14" s="164"/>
      <c r="AO14" s="163"/>
      <c r="AP14" s="88"/>
      <c r="AQ14" s="193"/>
      <c r="AR14" s="192"/>
      <c r="AS14" s="658"/>
      <c r="AT14" s="584"/>
      <c r="AU14" s="82"/>
      <c r="AV14" s="572"/>
      <c r="AW14" s="572"/>
      <c r="AX14" s="572"/>
      <c r="AY14" s="572"/>
      <c r="AZ14" s="572"/>
      <c r="BA14" s="88"/>
      <c r="BB14" s="88"/>
      <c r="BC14" s="88"/>
      <c r="BD14" s="88"/>
      <c r="BE14" s="307"/>
      <c r="BF14" s="307"/>
      <c r="BG14" s="469"/>
      <c r="BH14" s="25"/>
      <c r="BI14" s="3"/>
      <c r="BJ14" s="3"/>
      <c r="BM14" s="3"/>
    </row>
    <row r="15" spans="1:67" ht="12.75" customHeight="1" x14ac:dyDescent="0.2">
      <c r="A15" s="7"/>
      <c r="B15" s="82" t="s">
        <v>191</v>
      </c>
      <c r="C15" s="239">
        <v>6601</v>
      </c>
      <c r="D15" s="742">
        <v>0.87651042358252551</v>
      </c>
      <c r="E15" s="520"/>
      <c r="F15" s="745">
        <v>14132</v>
      </c>
      <c r="G15" s="745">
        <v>6111</v>
      </c>
      <c r="H15" s="745">
        <v>10560</v>
      </c>
      <c r="I15" s="746">
        <v>12445</v>
      </c>
      <c r="J15" s="745">
        <v>7531</v>
      </c>
      <c r="K15" s="745">
        <v>14494</v>
      </c>
      <c r="L15" s="745">
        <v>7549</v>
      </c>
      <c r="M15" s="746">
        <v>4109</v>
      </c>
      <c r="N15" s="745">
        <v>5127</v>
      </c>
      <c r="O15" s="745">
        <v>7120</v>
      </c>
      <c r="P15" s="745">
        <v>5004</v>
      </c>
      <c r="Q15" s="746">
        <v>4563</v>
      </c>
      <c r="R15" s="732">
        <v>3713</v>
      </c>
      <c r="S15" s="687">
        <v>6694</v>
      </c>
      <c r="T15" s="687">
        <v>-167</v>
      </c>
      <c r="U15" s="746">
        <v>252</v>
      </c>
      <c r="V15" s="732">
        <v>603</v>
      </c>
      <c r="W15" s="687">
        <v>416</v>
      </c>
      <c r="X15" s="745">
        <v>361</v>
      </c>
      <c r="Y15" s="746">
        <v>-152</v>
      </c>
      <c r="Z15" s="236">
        <v>3494</v>
      </c>
      <c r="AA15" s="687">
        <v>333</v>
      </c>
      <c r="AB15" s="237" t="e">
        <v>#REF!</v>
      </c>
      <c r="AC15" s="238" t="e">
        <v>#REF!</v>
      </c>
      <c r="AD15" s="231" t="e">
        <v>#REF!</v>
      </c>
      <c r="AE15" s="231" t="e">
        <v>#REF!</v>
      </c>
      <c r="AF15" s="231" t="e">
        <v>#REF!</v>
      </c>
      <c r="AG15" s="235" t="e">
        <v>#REF!</v>
      </c>
      <c r="AH15" s="231" t="e">
        <v>#REF!</v>
      </c>
      <c r="AI15" s="231" t="e">
        <v>#REF!</v>
      </c>
      <c r="AJ15" s="231" t="e">
        <v>#REF!</v>
      </c>
      <c r="AK15" s="235" t="e">
        <v>#REF!</v>
      </c>
      <c r="AL15" s="198" t="e">
        <v>#REF!</v>
      </c>
      <c r="AM15" s="238" t="e">
        <v>#REF!</v>
      </c>
      <c r="AN15" s="235" t="e">
        <v>#REF!</v>
      </c>
      <c r="AO15" s="231" t="e">
        <v>#REF!</v>
      </c>
      <c r="AP15" s="200"/>
      <c r="AQ15" s="675">
        <v>29116</v>
      </c>
      <c r="AR15" s="612">
        <v>26152</v>
      </c>
      <c r="AS15" s="251">
        <v>9565</v>
      </c>
      <c r="AT15" s="742">
        <v>0.28397114271294127</v>
      </c>
      <c r="AU15" s="242"/>
      <c r="AV15" s="744">
        <v>43248</v>
      </c>
      <c r="AW15" s="744">
        <v>33683</v>
      </c>
      <c r="AX15" s="744">
        <v>21814</v>
      </c>
      <c r="AY15" s="744">
        <v>10492</v>
      </c>
      <c r="AZ15" s="744">
        <v>1228</v>
      </c>
      <c r="BA15" s="744">
        <v>5894</v>
      </c>
      <c r="BB15" s="744">
        <v>6781</v>
      </c>
      <c r="BC15" s="744">
        <v>9937</v>
      </c>
      <c r="BD15" s="235">
        <v>15897</v>
      </c>
      <c r="BE15" s="43">
        <v>125900</v>
      </c>
      <c r="BF15" s="43">
        <v>116090</v>
      </c>
      <c r="BG15" s="686">
        <v>84489</v>
      </c>
      <c r="BH15" s="25"/>
      <c r="BI15" s="3"/>
      <c r="BJ15" s="3"/>
      <c r="BM15" s="3"/>
    </row>
    <row r="16" spans="1:67" s="721" customFormat="1" ht="12.75" customHeight="1" x14ac:dyDescent="0.2">
      <c r="A16" s="7"/>
      <c r="B16" s="724" t="s">
        <v>346</v>
      </c>
      <c r="C16" s="239">
        <v>223</v>
      </c>
      <c r="D16" s="742">
        <v>0.13739987677141097</v>
      </c>
      <c r="E16" s="741"/>
      <c r="F16" s="745">
        <v>1846</v>
      </c>
      <c r="G16" s="745">
        <v>1378</v>
      </c>
      <c r="H16" s="745">
        <v>1529</v>
      </c>
      <c r="I16" s="238">
        <v>1605</v>
      </c>
      <c r="J16" s="745">
        <v>1623</v>
      </c>
      <c r="K16" s="745">
        <v>1481</v>
      </c>
      <c r="L16" s="745">
        <v>942</v>
      </c>
      <c r="M16" s="238">
        <v>755</v>
      </c>
      <c r="N16" s="745">
        <v>1298</v>
      </c>
      <c r="O16" s="745">
        <v>178</v>
      </c>
      <c r="P16" s="745">
        <v>1153</v>
      </c>
      <c r="Q16" s="238">
        <v>844</v>
      </c>
      <c r="R16" s="754">
        <v>0</v>
      </c>
      <c r="S16" s="754">
        <v>0</v>
      </c>
      <c r="T16" s="754">
        <v>0</v>
      </c>
      <c r="U16" s="28">
        <v>0</v>
      </c>
      <c r="V16" s="686">
        <v>0</v>
      </c>
      <c r="W16" s="754">
        <v>0</v>
      </c>
      <c r="X16" s="754">
        <v>0</v>
      </c>
      <c r="Y16" s="28">
        <v>0</v>
      </c>
      <c r="Z16" s="237"/>
      <c r="AA16" s="745"/>
      <c r="AB16" s="237"/>
      <c r="AC16" s="238"/>
      <c r="AD16" s="745"/>
      <c r="AE16" s="745"/>
      <c r="AF16" s="745"/>
      <c r="AG16" s="746"/>
      <c r="AH16" s="745"/>
      <c r="AI16" s="745"/>
      <c r="AJ16" s="745"/>
      <c r="AK16" s="746"/>
      <c r="AL16" s="744"/>
      <c r="AM16" s="238"/>
      <c r="AN16" s="746"/>
      <c r="AO16" s="745"/>
      <c r="AP16" s="200"/>
      <c r="AQ16" s="675">
        <v>4512</v>
      </c>
      <c r="AR16" s="612">
        <v>3178</v>
      </c>
      <c r="AS16" s="251">
        <v>1557</v>
      </c>
      <c r="AT16" s="742">
        <v>0.32430743595084355</v>
      </c>
      <c r="AU16" s="242"/>
      <c r="AV16" s="744">
        <v>6358</v>
      </c>
      <c r="AW16" s="744">
        <v>4801</v>
      </c>
      <c r="AX16" s="212">
        <v>3473</v>
      </c>
      <c r="AY16" s="212">
        <v>0</v>
      </c>
      <c r="AZ16" s="212">
        <v>0</v>
      </c>
      <c r="BA16" s="617">
        <v>0</v>
      </c>
      <c r="BB16" s="617">
        <v>0</v>
      </c>
      <c r="BC16" s="692">
        <v>0</v>
      </c>
      <c r="BD16" s="746"/>
      <c r="BE16" s="43"/>
      <c r="BF16" s="43"/>
      <c r="BG16" s="686"/>
      <c r="BH16" s="25"/>
      <c r="BI16" s="722"/>
      <c r="BJ16" s="722"/>
      <c r="BM16" s="722"/>
    </row>
    <row r="17" spans="1:65" ht="12.75" customHeight="1" x14ac:dyDescent="0.2">
      <c r="A17" s="8"/>
      <c r="B17" s="7"/>
      <c r="C17" s="243">
        <v>6824</v>
      </c>
      <c r="D17" s="168">
        <v>0.74546646274852524</v>
      </c>
      <c r="E17" s="520"/>
      <c r="F17" s="245">
        <v>15978</v>
      </c>
      <c r="G17" s="245">
        <v>7489</v>
      </c>
      <c r="H17" s="245">
        <v>12089</v>
      </c>
      <c r="I17" s="246">
        <v>14050</v>
      </c>
      <c r="J17" s="245">
        <v>9154</v>
      </c>
      <c r="K17" s="245">
        <v>15975</v>
      </c>
      <c r="L17" s="245">
        <v>8491</v>
      </c>
      <c r="M17" s="246">
        <v>4864</v>
      </c>
      <c r="N17" s="245">
        <v>6425</v>
      </c>
      <c r="O17" s="245">
        <v>7298</v>
      </c>
      <c r="P17" s="245">
        <v>6157</v>
      </c>
      <c r="Q17" s="246">
        <v>5407</v>
      </c>
      <c r="R17" s="245">
        <v>3713</v>
      </c>
      <c r="S17" s="245">
        <v>6694</v>
      </c>
      <c r="T17" s="245">
        <v>-167</v>
      </c>
      <c r="U17" s="246">
        <v>252</v>
      </c>
      <c r="V17" s="245">
        <v>603</v>
      </c>
      <c r="W17" s="245">
        <v>416</v>
      </c>
      <c r="X17" s="245">
        <v>361</v>
      </c>
      <c r="Y17" s="246">
        <v>-152</v>
      </c>
      <c r="Z17" s="245">
        <v>3494</v>
      </c>
      <c r="AA17" s="245">
        <v>333</v>
      </c>
      <c r="AB17" s="245" t="e">
        <v>#REF!</v>
      </c>
      <c r="AC17" s="246" t="e">
        <v>#REF!</v>
      </c>
      <c r="AD17" s="245" t="e">
        <v>#REF!</v>
      </c>
      <c r="AE17" s="245" t="e">
        <v>#REF!</v>
      </c>
      <c r="AF17" s="245" t="e">
        <v>#REF!</v>
      </c>
      <c r="AG17" s="246" t="e">
        <v>#REF!</v>
      </c>
      <c r="AH17" s="245" t="e">
        <v>#REF!</v>
      </c>
      <c r="AI17" s="245" t="e">
        <v>#REF!</v>
      </c>
      <c r="AJ17" s="245" t="e">
        <v>#REF!</v>
      </c>
      <c r="AK17" s="246" t="e">
        <v>#REF!</v>
      </c>
      <c r="AL17" s="199" t="e">
        <v>#REF!</v>
      </c>
      <c r="AM17" s="246" t="e">
        <v>#REF!</v>
      </c>
      <c r="AN17" s="246" t="e">
        <v>#REF!</v>
      </c>
      <c r="AO17" s="245" t="e">
        <v>#REF!</v>
      </c>
      <c r="AP17" s="200"/>
      <c r="AQ17" s="243">
        <v>33628</v>
      </c>
      <c r="AR17" s="328">
        <v>29330</v>
      </c>
      <c r="AS17" s="328">
        <v>11122</v>
      </c>
      <c r="AT17" s="168">
        <v>0.28900322211828294</v>
      </c>
      <c r="AU17" s="242"/>
      <c r="AV17" s="333">
        <v>49606</v>
      </c>
      <c r="AW17" s="333">
        <v>38484</v>
      </c>
      <c r="AX17" s="333">
        <v>25287</v>
      </c>
      <c r="AY17" s="333">
        <v>10492</v>
      </c>
      <c r="AZ17" s="333">
        <v>1228</v>
      </c>
      <c r="BA17" s="199">
        <v>5894</v>
      </c>
      <c r="BB17" s="199">
        <v>6781</v>
      </c>
      <c r="BC17" s="199">
        <v>9937</v>
      </c>
      <c r="BD17" s="199">
        <v>15897</v>
      </c>
      <c r="BE17" s="302">
        <v>125900</v>
      </c>
      <c r="BF17" s="302">
        <v>116090</v>
      </c>
      <c r="BG17" s="167">
        <v>84489</v>
      </c>
      <c r="BH17" s="25"/>
      <c r="BI17" s="3"/>
      <c r="BJ17" s="3"/>
      <c r="BM17" s="3"/>
    </row>
    <row r="18" spans="1:65" ht="12.75" customHeight="1" x14ac:dyDescent="0.2">
      <c r="A18" s="615" t="s">
        <v>5</v>
      </c>
      <c r="B18" s="7"/>
      <c r="C18" s="239"/>
      <c r="D18" s="660"/>
      <c r="E18" s="520"/>
      <c r="F18" s="745"/>
      <c r="G18" s="745"/>
      <c r="H18" s="745"/>
      <c r="I18" s="746"/>
      <c r="J18" s="745"/>
      <c r="K18" s="745"/>
      <c r="L18" s="745"/>
      <c r="M18" s="746"/>
      <c r="N18" s="745"/>
      <c r="O18" s="745"/>
      <c r="P18" s="745"/>
      <c r="Q18" s="746"/>
      <c r="R18" s="687"/>
      <c r="S18" s="687"/>
      <c r="T18" s="687"/>
      <c r="U18" s="235"/>
      <c r="V18" s="687"/>
      <c r="W18" s="687"/>
      <c r="X18" s="687"/>
      <c r="Y18" s="235"/>
      <c r="Z18" s="687"/>
      <c r="AA18" s="687"/>
      <c r="AB18" s="231"/>
      <c r="AC18" s="235"/>
      <c r="AD18" s="231"/>
      <c r="AE18" s="231"/>
      <c r="AF18" s="231"/>
      <c r="AG18" s="235"/>
      <c r="AH18" s="231"/>
      <c r="AI18" s="231"/>
      <c r="AJ18" s="231"/>
      <c r="AK18" s="235"/>
      <c r="AL18" s="198"/>
      <c r="AM18" s="235"/>
      <c r="AN18" s="235"/>
      <c r="AO18" s="235"/>
      <c r="AP18" s="200"/>
      <c r="AQ18" s="241"/>
      <c r="AR18" s="240"/>
      <c r="AS18" s="251"/>
      <c r="AT18" s="685"/>
      <c r="AU18" s="242"/>
      <c r="AV18" s="737"/>
      <c r="AW18" s="737"/>
      <c r="AX18" s="737"/>
      <c r="AY18" s="326"/>
      <c r="AZ18" s="326"/>
      <c r="BA18" s="200"/>
      <c r="BB18" s="200"/>
      <c r="BC18" s="744"/>
      <c r="BD18" s="198"/>
      <c r="BE18" s="43"/>
      <c r="BF18" s="43"/>
      <c r="BG18" s="686"/>
      <c r="BH18" s="25"/>
      <c r="BI18" s="3"/>
      <c r="BJ18" s="3"/>
      <c r="BM18" s="3"/>
    </row>
    <row r="19" spans="1:65" s="721" customFormat="1" ht="12.75" customHeight="1" x14ac:dyDescent="0.2">
      <c r="A19" s="615"/>
      <c r="B19" s="7" t="s">
        <v>333</v>
      </c>
      <c r="C19" s="239">
        <v>4425</v>
      </c>
      <c r="D19" s="742">
        <v>1.0837619397501836</v>
      </c>
      <c r="E19" s="741"/>
      <c r="F19" s="745">
        <v>8508</v>
      </c>
      <c r="G19" s="745">
        <v>4153</v>
      </c>
      <c r="H19" s="745">
        <v>6897</v>
      </c>
      <c r="I19" s="746">
        <v>8588</v>
      </c>
      <c r="J19" s="745">
        <v>4083</v>
      </c>
      <c r="K19" s="745">
        <v>8715</v>
      </c>
      <c r="L19" s="745">
        <v>4407</v>
      </c>
      <c r="M19" s="746">
        <v>3869</v>
      </c>
      <c r="N19" s="745">
        <v>4588</v>
      </c>
      <c r="O19" s="745">
        <v>4373</v>
      </c>
      <c r="P19" s="745">
        <v>2709</v>
      </c>
      <c r="Q19" s="746">
        <v>3594</v>
      </c>
      <c r="R19" s="745">
        <v>2109</v>
      </c>
      <c r="S19" s="745">
        <v>2704</v>
      </c>
      <c r="T19" s="745">
        <v>613</v>
      </c>
      <c r="U19" s="746">
        <v>-1</v>
      </c>
      <c r="V19" s="745">
        <v>106</v>
      </c>
      <c r="W19" s="745">
        <v>7</v>
      </c>
      <c r="X19" s="745">
        <v>-2</v>
      </c>
      <c r="Y19" s="746"/>
      <c r="Z19" s="745"/>
      <c r="AA19" s="745"/>
      <c r="AB19" s="745"/>
      <c r="AC19" s="746"/>
      <c r="AD19" s="745"/>
      <c r="AE19" s="745"/>
      <c r="AF19" s="745"/>
      <c r="AG19" s="746"/>
      <c r="AH19" s="745"/>
      <c r="AI19" s="745"/>
      <c r="AJ19" s="745"/>
      <c r="AK19" s="746"/>
      <c r="AL19" s="744"/>
      <c r="AM19" s="746"/>
      <c r="AN19" s="746"/>
      <c r="AO19" s="746"/>
      <c r="AP19" s="200"/>
      <c r="AQ19" s="515">
        <v>19638</v>
      </c>
      <c r="AR19" s="612">
        <v>16991</v>
      </c>
      <c r="AS19" s="251">
        <v>7072</v>
      </c>
      <c r="AT19" s="742">
        <v>0.3355793869222739</v>
      </c>
      <c r="AU19" s="242"/>
      <c r="AV19" s="737">
        <v>28146</v>
      </c>
      <c r="AW19" s="737">
        <v>21074</v>
      </c>
      <c r="AX19" s="737">
        <v>15264</v>
      </c>
      <c r="AY19" s="737">
        <v>5425</v>
      </c>
      <c r="AZ19" s="737">
        <v>109</v>
      </c>
      <c r="BA19" s="735">
        <v>2225</v>
      </c>
      <c r="BB19" s="735">
        <v>3522</v>
      </c>
      <c r="BC19" s="735">
        <v>4944</v>
      </c>
      <c r="BD19" s="744"/>
      <c r="BE19" s="43"/>
      <c r="BF19" s="43"/>
      <c r="BG19" s="686"/>
      <c r="BH19" s="25"/>
      <c r="BI19" s="722"/>
      <c r="BJ19" s="722"/>
      <c r="BM19" s="722"/>
    </row>
    <row r="20" spans="1:65" s="721" customFormat="1" ht="12.75" customHeight="1" x14ac:dyDescent="0.2">
      <c r="A20" s="615"/>
      <c r="B20" s="7" t="s">
        <v>334</v>
      </c>
      <c r="C20" s="247">
        <v>39</v>
      </c>
      <c r="D20" s="147">
        <v>-1</v>
      </c>
      <c r="E20" s="741"/>
      <c r="F20" s="332">
        <v>0</v>
      </c>
      <c r="G20" s="332">
        <v>0</v>
      </c>
      <c r="H20" s="332">
        <v>0</v>
      </c>
      <c r="I20" s="332">
        <v>0</v>
      </c>
      <c r="J20" s="247">
        <v>-39</v>
      </c>
      <c r="K20" s="332">
        <v>37</v>
      </c>
      <c r="L20" s="332">
        <v>0</v>
      </c>
      <c r="M20" s="332">
        <v>0</v>
      </c>
      <c r="N20" s="247">
        <v>10</v>
      </c>
      <c r="O20" s="332">
        <v>269</v>
      </c>
      <c r="P20" s="332">
        <v>82</v>
      </c>
      <c r="Q20" s="332">
        <v>27</v>
      </c>
      <c r="R20" s="247">
        <v>0</v>
      </c>
      <c r="S20" s="332">
        <v>0</v>
      </c>
      <c r="T20" s="332">
        <v>0</v>
      </c>
      <c r="U20" s="419">
        <v>0</v>
      </c>
      <c r="V20" s="332">
        <v>0</v>
      </c>
      <c r="W20" s="332">
        <v>0</v>
      </c>
      <c r="X20" s="332">
        <v>0</v>
      </c>
      <c r="Y20" s="746"/>
      <c r="Z20" s="745"/>
      <c r="AA20" s="745"/>
      <c r="AB20" s="745"/>
      <c r="AC20" s="746"/>
      <c r="AD20" s="745"/>
      <c r="AE20" s="745"/>
      <c r="AF20" s="745"/>
      <c r="AG20" s="746"/>
      <c r="AH20" s="745"/>
      <c r="AI20" s="745"/>
      <c r="AJ20" s="745"/>
      <c r="AK20" s="746"/>
      <c r="AL20" s="744"/>
      <c r="AM20" s="746"/>
      <c r="AN20" s="746"/>
      <c r="AO20" s="746"/>
      <c r="AP20" s="200"/>
      <c r="AQ20" s="1215">
        <v>0</v>
      </c>
      <c r="AR20" s="654">
        <v>37</v>
      </c>
      <c r="AS20" s="332">
        <v>2</v>
      </c>
      <c r="AT20" s="147">
        <v>0</v>
      </c>
      <c r="AU20" s="242"/>
      <c r="AV20" s="652">
        <v>0</v>
      </c>
      <c r="AW20" s="652">
        <v>-2</v>
      </c>
      <c r="AX20" s="843">
        <v>388</v>
      </c>
      <c r="AY20" s="843">
        <v>0</v>
      </c>
      <c r="AZ20" s="843">
        <v>0</v>
      </c>
      <c r="BA20" s="272">
        <v>45</v>
      </c>
      <c r="BB20" s="272">
        <v>413</v>
      </c>
      <c r="BC20" s="272">
        <v>396</v>
      </c>
      <c r="BD20" s="744"/>
      <c r="BE20" s="43"/>
      <c r="BF20" s="43"/>
      <c r="BG20" s="686"/>
      <c r="BH20" s="25"/>
      <c r="BI20" s="722"/>
      <c r="BJ20" s="722"/>
      <c r="BM20" s="722"/>
    </row>
    <row r="21" spans="1:65" ht="12.75" customHeight="1" x14ac:dyDescent="0.2">
      <c r="A21" s="8"/>
      <c r="B21" s="164" t="s">
        <v>219</v>
      </c>
      <c r="C21" s="239">
        <v>4464</v>
      </c>
      <c r="D21" s="742">
        <v>1.1038575667655786</v>
      </c>
      <c r="E21" s="520"/>
      <c r="F21" s="745">
        <v>8508</v>
      </c>
      <c r="G21" s="745">
        <v>4153</v>
      </c>
      <c r="H21" s="745">
        <v>6897</v>
      </c>
      <c r="I21" s="746">
        <v>8588</v>
      </c>
      <c r="J21" s="745">
        <v>4044</v>
      </c>
      <c r="K21" s="745">
        <v>8752</v>
      </c>
      <c r="L21" s="745">
        <v>4407</v>
      </c>
      <c r="M21" s="746">
        <v>3869</v>
      </c>
      <c r="N21" s="745">
        <v>4598</v>
      </c>
      <c r="O21" s="745">
        <v>4642</v>
      </c>
      <c r="P21" s="745">
        <v>2791</v>
      </c>
      <c r="Q21" s="746">
        <v>3621</v>
      </c>
      <c r="R21" s="687">
        <v>2109</v>
      </c>
      <c r="S21" s="687">
        <v>2704</v>
      </c>
      <c r="T21" s="687">
        <v>613</v>
      </c>
      <c r="U21" s="235">
        <v>-1</v>
      </c>
      <c r="V21" s="687">
        <v>106</v>
      </c>
      <c r="W21" s="687">
        <v>7</v>
      </c>
      <c r="X21" s="687">
        <v>-2</v>
      </c>
      <c r="Y21" s="235">
        <v>-2</v>
      </c>
      <c r="Z21" s="687">
        <v>2008</v>
      </c>
      <c r="AA21" s="687">
        <v>1</v>
      </c>
      <c r="AB21" s="231" t="e">
        <v>#REF!</v>
      </c>
      <c r="AC21" s="235" t="e">
        <v>#REF!</v>
      </c>
      <c r="AD21" s="231" t="e">
        <v>#REF!</v>
      </c>
      <c r="AE21" s="231" t="e">
        <v>#REF!</v>
      </c>
      <c r="AF21" s="231" t="e">
        <v>#REF!</v>
      </c>
      <c r="AG21" s="235" t="e">
        <v>#REF!</v>
      </c>
      <c r="AH21" s="231" t="e">
        <v>#REF!</v>
      </c>
      <c r="AI21" s="231" t="e">
        <v>#REF!</v>
      </c>
      <c r="AJ21" s="231" t="e">
        <v>#REF!</v>
      </c>
      <c r="AK21" s="235" t="e">
        <v>#REF!</v>
      </c>
      <c r="AL21" s="254" t="e">
        <v>#REF!</v>
      </c>
      <c r="AM21" s="233" t="e">
        <v>#REF!</v>
      </c>
      <c r="AN21" s="235" t="e">
        <v>#REF!</v>
      </c>
      <c r="AO21" s="235" t="e">
        <v>#REF!</v>
      </c>
      <c r="AP21" s="200"/>
      <c r="AQ21" s="675">
        <v>19638</v>
      </c>
      <c r="AR21" s="612">
        <v>17028</v>
      </c>
      <c r="AS21" s="251">
        <v>7074</v>
      </c>
      <c r="AT21" s="742">
        <v>0.33570615034168566</v>
      </c>
      <c r="AU21" s="242"/>
      <c r="AV21" s="737">
        <v>28146</v>
      </c>
      <c r="AW21" s="737">
        <v>21072</v>
      </c>
      <c r="AX21" s="737">
        <v>15652</v>
      </c>
      <c r="AY21" s="326">
        <v>5425</v>
      </c>
      <c r="AZ21" s="326">
        <v>109</v>
      </c>
      <c r="BA21" s="735">
        <v>2271</v>
      </c>
      <c r="BB21" s="735">
        <v>3935</v>
      </c>
      <c r="BC21" s="735">
        <v>5340</v>
      </c>
      <c r="BD21" s="271">
        <v>4828</v>
      </c>
      <c r="BE21" s="307">
        <v>68889</v>
      </c>
      <c r="BF21" s="307">
        <v>66027</v>
      </c>
      <c r="BG21" s="469">
        <v>53976</v>
      </c>
      <c r="BH21" s="25"/>
      <c r="BI21" s="3"/>
      <c r="BJ21" s="3"/>
      <c r="BM21" s="3"/>
    </row>
    <row r="22" spans="1:65" ht="12.75" customHeight="1" x14ac:dyDescent="0.2">
      <c r="A22" s="8"/>
      <c r="B22" s="82" t="s">
        <v>69</v>
      </c>
      <c r="C22" s="239">
        <v>-309</v>
      </c>
      <c r="D22" s="685">
        <v>-0.23146067415730337</v>
      </c>
      <c r="E22" s="520"/>
      <c r="F22" s="745">
        <v>1026</v>
      </c>
      <c r="G22" s="745">
        <v>707</v>
      </c>
      <c r="H22" s="745">
        <v>786</v>
      </c>
      <c r="I22" s="746">
        <v>885</v>
      </c>
      <c r="J22" s="745">
        <v>1335</v>
      </c>
      <c r="K22" s="750">
        <v>-209</v>
      </c>
      <c r="L22" s="745">
        <v>1232</v>
      </c>
      <c r="M22" s="746">
        <v>1008</v>
      </c>
      <c r="N22" s="745">
        <v>1021</v>
      </c>
      <c r="O22" s="745">
        <v>726</v>
      </c>
      <c r="P22" s="745">
        <v>623</v>
      </c>
      <c r="Q22" s="746">
        <v>392</v>
      </c>
      <c r="R22" s="687">
        <v>519</v>
      </c>
      <c r="S22" s="687">
        <v>630</v>
      </c>
      <c r="T22" s="687">
        <v>174</v>
      </c>
      <c r="U22" s="235">
        <v>985</v>
      </c>
      <c r="V22" s="687">
        <v>630</v>
      </c>
      <c r="W22" s="687">
        <v>8</v>
      </c>
      <c r="X22" s="687">
        <v>8</v>
      </c>
      <c r="Y22" s="235">
        <v>7</v>
      </c>
      <c r="Z22" s="687">
        <v>11</v>
      </c>
      <c r="AA22" s="687">
        <v>8</v>
      </c>
      <c r="AB22" s="231" t="e">
        <v>#REF!</v>
      </c>
      <c r="AC22" s="235" t="e">
        <v>#REF!</v>
      </c>
      <c r="AD22" s="231" t="e">
        <v>#REF!</v>
      </c>
      <c r="AE22" s="231" t="e">
        <v>#REF!</v>
      </c>
      <c r="AF22" s="231" t="e">
        <v>#REF!</v>
      </c>
      <c r="AG22" s="235" t="e">
        <v>#REF!</v>
      </c>
      <c r="AH22" s="231" t="e">
        <v>#REF!</v>
      </c>
      <c r="AI22" s="231" t="e">
        <v>#REF!</v>
      </c>
      <c r="AJ22" s="231" t="e">
        <v>#REF!</v>
      </c>
      <c r="AK22" s="235" t="e">
        <v>#REF!</v>
      </c>
      <c r="AL22" s="254" t="e">
        <v>#REF!</v>
      </c>
      <c r="AM22" s="233" t="e">
        <v>#REF!</v>
      </c>
      <c r="AN22" s="235" t="e">
        <v>#REF!</v>
      </c>
      <c r="AO22" s="235" t="e">
        <v>#REF!</v>
      </c>
      <c r="AP22" s="200"/>
      <c r="AQ22" s="675">
        <v>2378</v>
      </c>
      <c r="AR22" s="612">
        <v>2031</v>
      </c>
      <c r="AS22" s="251">
        <v>38</v>
      </c>
      <c r="AT22" s="685">
        <v>1.1289364230540701E-2</v>
      </c>
      <c r="AU22" s="242"/>
      <c r="AV22" s="737">
        <v>3404</v>
      </c>
      <c r="AW22" s="737">
        <v>3366</v>
      </c>
      <c r="AX22" s="737">
        <v>2762</v>
      </c>
      <c r="AY22" s="326">
        <v>2308</v>
      </c>
      <c r="AZ22" s="326">
        <v>653</v>
      </c>
      <c r="BA22" s="735">
        <v>34</v>
      </c>
      <c r="BB22" s="735">
        <v>54</v>
      </c>
      <c r="BC22" s="735">
        <v>47</v>
      </c>
      <c r="BD22" s="271">
        <v>39</v>
      </c>
      <c r="BE22" s="43">
        <v>3210</v>
      </c>
      <c r="BF22" s="43">
        <v>8795</v>
      </c>
      <c r="BG22" s="686">
        <v>5858</v>
      </c>
      <c r="BH22" s="25"/>
      <c r="BI22" s="3"/>
      <c r="BJ22" s="3"/>
      <c r="BM22" s="3"/>
    </row>
    <row r="23" spans="1:65" ht="12.75" customHeight="1" x14ac:dyDescent="0.2">
      <c r="A23" s="8"/>
      <c r="B23" s="82" t="s">
        <v>98</v>
      </c>
      <c r="C23" s="239">
        <v>108</v>
      </c>
      <c r="D23" s="742">
        <v>0.24489795918367346</v>
      </c>
      <c r="E23" s="520"/>
      <c r="F23" s="754">
        <v>549</v>
      </c>
      <c r="G23" s="754">
        <v>519</v>
      </c>
      <c r="H23" s="754">
        <v>563</v>
      </c>
      <c r="I23" s="28">
        <v>418</v>
      </c>
      <c r="J23" s="754">
        <v>441</v>
      </c>
      <c r="K23" s="754">
        <v>472</v>
      </c>
      <c r="L23" s="754">
        <v>389</v>
      </c>
      <c r="M23" s="28">
        <v>489</v>
      </c>
      <c r="N23" s="754">
        <v>359</v>
      </c>
      <c r="O23" s="754">
        <v>355</v>
      </c>
      <c r="P23" s="754">
        <v>351</v>
      </c>
      <c r="Q23" s="28">
        <v>290</v>
      </c>
      <c r="R23" s="686">
        <v>229</v>
      </c>
      <c r="S23" s="31">
        <v>142</v>
      </c>
      <c r="T23" s="31">
        <v>0</v>
      </c>
      <c r="U23" s="28">
        <v>0</v>
      </c>
      <c r="V23" s="686">
        <v>0</v>
      </c>
      <c r="W23" s="31">
        <v>0</v>
      </c>
      <c r="X23" s="31">
        <v>0</v>
      </c>
      <c r="Y23" s="28">
        <v>0</v>
      </c>
      <c r="Z23" s="686">
        <v>0</v>
      </c>
      <c r="AA23" s="31">
        <v>0</v>
      </c>
      <c r="AB23" s="31" t="e">
        <v>#REF!</v>
      </c>
      <c r="AC23" s="28" t="e">
        <v>#REF!</v>
      </c>
      <c r="AD23" s="231" t="e">
        <v>#REF!</v>
      </c>
      <c r="AE23" s="231" t="e">
        <v>#REF!</v>
      </c>
      <c r="AF23" s="231" t="e">
        <v>#REF!</v>
      </c>
      <c r="AG23" s="235" t="e">
        <v>#REF!</v>
      </c>
      <c r="AH23" s="231" t="e">
        <v>#REF!</v>
      </c>
      <c r="AI23" s="231" t="e">
        <v>#REF!</v>
      </c>
      <c r="AJ23" s="231" t="e">
        <v>#REF!</v>
      </c>
      <c r="AK23" s="235" t="e">
        <v>#REF!</v>
      </c>
      <c r="AL23" s="198" t="e">
        <v>#REF!</v>
      </c>
      <c r="AM23" s="235" t="e">
        <v>#REF!</v>
      </c>
      <c r="AN23" s="235" t="e">
        <v>#REF!</v>
      </c>
      <c r="AO23" s="235" t="e">
        <v>#REF!</v>
      </c>
      <c r="AP23" s="200"/>
      <c r="AQ23" s="675">
        <v>1500</v>
      </c>
      <c r="AR23" s="612">
        <v>1350</v>
      </c>
      <c r="AS23" s="31">
        <v>258</v>
      </c>
      <c r="AT23" s="742">
        <v>0.1440536013400335</v>
      </c>
      <c r="AU23" s="242"/>
      <c r="AV23" s="737">
        <v>2049</v>
      </c>
      <c r="AW23" s="737">
        <v>1791</v>
      </c>
      <c r="AX23" s="737">
        <v>1355</v>
      </c>
      <c r="AY23" s="326">
        <v>371</v>
      </c>
      <c r="AZ23" s="212">
        <v>0</v>
      </c>
      <c r="BA23" s="617">
        <v>0</v>
      </c>
      <c r="BB23" s="617">
        <v>1</v>
      </c>
      <c r="BC23" s="617">
        <v>0</v>
      </c>
      <c r="BD23" s="617">
        <v>0</v>
      </c>
      <c r="BE23" s="43">
        <v>1190</v>
      </c>
      <c r="BF23" s="43">
        <v>1163</v>
      </c>
      <c r="BG23" s="686">
        <v>1117</v>
      </c>
      <c r="BH23" s="25"/>
      <c r="BI23" s="3"/>
      <c r="BJ23" s="3"/>
      <c r="BM23" s="3"/>
    </row>
    <row r="24" spans="1:65" ht="12.75" customHeight="1" x14ac:dyDescent="0.2">
      <c r="A24" s="8"/>
      <c r="B24" s="82" t="s">
        <v>71</v>
      </c>
      <c r="C24" s="239">
        <v>-20</v>
      </c>
      <c r="D24" s="685">
        <v>-4.0080160320641281E-2</v>
      </c>
      <c r="E24" s="520"/>
      <c r="F24" s="745">
        <v>479</v>
      </c>
      <c r="G24" s="745">
        <v>218</v>
      </c>
      <c r="H24" s="745">
        <v>716</v>
      </c>
      <c r="I24" s="746">
        <v>491</v>
      </c>
      <c r="J24" s="745">
        <v>499</v>
      </c>
      <c r="K24" s="745">
        <v>427</v>
      </c>
      <c r="L24" s="745">
        <v>434</v>
      </c>
      <c r="M24" s="746">
        <v>275</v>
      </c>
      <c r="N24" s="745">
        <v>453</v>
      </c>
      <c r="O24" s="745">
        <v>425</v>
      </c>
      <c r="P24" s="745">
        <v>586</v>
      </c>
      <c r="Q24" s="746">
        <v>345</v>
      </c>
      <c r="R24" s="687">
        <v>243</v>
      </c>
      <c r="S24" s="687">
        <v>219</v>
      </c>
      <c r="T24" s="687">
        <v>134</v>
      </c>
      <c r="U24" s="235">
        <v>138</v>
      </c>
      <c r="V24" s="687">
        <v>103</v>
      </c>
      <c r="W24" s="687">
        <v>13</v>
      </c>
      <c r="X24" s="687">
        <v>14</v>
      </c>
      <c r="Y24" s="235">
        <v>14</v>
      </c>
      <c r="Z24" s="687">
        <v>14</v>
      </c>
      <c r="AA24" s="687">
        <v>13</v>
      </c>
      <c r="AB24" s="231" t="e">
        <v>#REF!</v>
      </c>
      <c r="AC24" s="235" t="e">
        <v>#REF!</v>
      </c>
      <c r="AD24" s="231" t="e">
        <v>#REF!</v>
      </c>
      <c r="AE24" s="231" t="e">
        <v>#REF!</v>
      </c>
      <c r="AF24" s="231" t="e">
        <v>#REF!</v>
      </c>
      <c r="AG24" s="235" t="e">
        <v>#REF!</v>
      </c>
      <c r="AH24" s="231" t="e">
        <v>#REF!</v>
      </c>
      <c r="AI24" s="231" t="e">
        <v>#REF!</v>
      </c>
      <c r="AJ24" s="231" t="e">
        <v>#REF!</v>
      </c>
      <c r="AK24" s="235" t="e">
        <v>#REF!</v>
      </c>
      <c r="AL24" s="198" t="e">
        <v>#REF!</v>
      </c>
      <c r="AM24" s="235" t="e">
        <v>#REF!</v>
      </c>
      <c r="AN24" s="235" t="e">
        <v>#REF!</v>
      </c>
      <c r="AO24" s="235" t="e">
        <v>#REF!</v>
      </c>
      <c r="AP24" s="200"/>
      <c r="AQ24" s="675">
        <v>1425</v>
      </c>
      <c r="AR24" s="612">
        <v>1136</v>
      </c>
      <c r="AS24" s="251">
        <v>269</v>
      </c>
      <c r="AT24" s="742">
        <v>0.16452599388379205</v>
      </c>
      <c r="AU24" s="242"/>
      <c r="AV24" s="737">
        <v>1904</v>
      </c>
      <c r="AW24" s="737">
        <v>1635</v>
      </c>
      <c r="AX24" s="737">
        <v>1809</v>
      </c>
      <c r="AY24" s="326">
        <v>734</v>
      </c>
      <c r="AZ24" s="212">
        <v>144</v>
      </c>
      <c r="BA24" s="617">
        <v>55</v>
      </c>
      <c r="BB24" s="617">
        <v>55</v>
      </c>
      <c r="BC24" s="617">
        <v>51</v>
      </c>
      <c r="BD24" s="617">
        <v>57</v>
      </c>
      <c r="BE24" s="43">
        <v>2139</v>
      </c>
      <c r="BF24" s="43">
        <v>2143</v>
      </c>
      <c r="BG24" s="686">
        <v>2573</v>
      </c>
      <c r="BH24" s="25"/>
      <c r="BI24" s="3"/>
      <c r="BJ24" s="3"/>
      <c r="BM24" s="3"/>
    </row>
    <row r="25" spans="1:65" ht="12.75" customHeight="1" x14ac:dyDescent="0.2">
      <c r="A25" s="8"/>
      <c r="B25" s="82" t="s">
        <v>72</v>
      </c>
      <c r="C25" s="239">
        <v>82</v>
      </c>
      <c r="D25" s="742">
        <v>0.32931726907630521</v>
      </c>
      <c r="E25" s="520"/>
      <c r="F25" s="754">
        <v>331</v>
      </c>
      <c r="G25" s="754">
        <v>306</v>
      </c>
      <c r="H25" s="754">
        <v>286</v>
      </c>
      <c r="I25" s="746">
        <v>218</v>
      </c>
      <c r="J25" s="754">
        <v>249</v>
      </c>
      <c r="K25" s="754">
        <v>262</v>
      </c>
      <c r="L25" s="754">
        <v>183</v>
      </c>
      <c r="M25" s="746">
        <v>358</v>
      </c>
      <c r="N25" s="754">
        <v>196</v>
      </c>
      <c r="O25" s="754">
        <v>205</v>
      </c>
      <c r="P25" s="754">
        <v>134</v>
      </c>
      <c r="Q25" s="746">
        <v>172</v>
      </c>
      <c r="R25" s="687">
        <v>168</v>
      </c>
      <c r="S25" s="31">
        <v>103</v>
      </c>
      <c r="T25" s="31">
        <v>42</v>
      </c>
      <c r="U25" s="235">
        <v>22</v>
      </c>
      <c r="V25" s="687">
        <v>20</v>
      </c>
      <c r="W25" s="31">
        <v>0</v>
      </c>
      <c r="X25" s="31">
        <v>0</v>
      </c>
      <c r="Y25" s="28">
        <v>0</v>
      </c>
      <c r="Z25" s="686">
        <v>0</v>
      </c>
      <c r="AA25" s="31">
        <v>0</v>
      </c>
      <c r="AB25" s="31" t="e">
        <v>#REF!</v>
      </c>
      <c r="AC25" s="28" t="e">
        <v>#REF!</v>
      </c>
      <c r="AD25" s="231" t="e">
        <v>#REF!</v>
      </c>
      <c r="AE25" s="231" t="e">
        <v>#REF!</v>
      </c>
      <c r="AF25" s="231" t="e">
        <v>#REF!</v>
      </c>
      <c r="AG25" s="235" t="e">
        <v>#REF!</v>
      </c>
      <c r="AH25" s="231" t="e">
        <v>#REF!</v>
      </c>
      <c r="AI25" s="231" t="e">
        <v>#REF!</v>
      </c>
      <c r="AJ25" s="231" t="e">
        <v>#REF!</v>
      </c>
      <c r="AK25" s="235" t="e">
        <v>#REF!</v>
      </c>
      <c r="AL25" s="198" t="e">
        <v>#REF!</v>
      </c>
      <c r="AM25" s="235" t="e">
        <v>#REF!</v>
      </c>
      <c r="AN25" s="235" t="e">
        <v>#REF!</v>
      </c>
      <c r="AO25" s="235" t="e">
        <v>#REF!</v>
      </c>
      <c r="AP25" s="200"/>
      <c r="AQ25" s="675">
        <v>810</v>
      </c>
      <c r="AR25" s="612">
        <v>803</v>
      </c>
      <c r="AS25" s="251">
        <v>89</v>
      </c>
      <c r="AT25" s="742">
        <v>8.4600760456273766E-2</v>
      </c>
      <c r="AU25" s="242"/>
      <c r="AV25" s="737">
        <v>1141</v>
      </c>
      <c r="AW25" s="737">
        <v>1052</v>
      </c>
      <c r="AX25" s="737">
        <v>707</v>
      </c>
      <c r="AY25" s="326">
        <v>335</v>
      </c>
      <c r="AZ25" s="212">
        <v>20</v>
      </c>
      <c r="BA25" s="617">
        <v>0</v>
      </c>
      <c r="BB25" s="617">
        <v>-2</v>
      </c>
      <c r="BC25" s="617">
        <v>0</v>
      </c>
      <c r="BD25" s="617">
        <v>0</v>
      </c>
      <c r="BE25" s="43">
        <v>1440</v>
      </c>
      <c r="BF25" s="43">
        <v>1036</v>
      </c>
      <c r="BG25" s="686">
        <v>837</v>
      </c>
      <c r="BH25" s="25"/>
      <c r="BI25" s="3"/>
      <c r="BJ25" s="3"/>
      <c r="BM25" s="3"/>
    </row>
    <row r="26" spans="1:65" ht="12.75" customHeight="1" x14ac:dyDescent="0.2">
      <c r="A26" s="8"/>
      <c r="B26" s="82" t="s">
        <v>67</v>
      </c>
      <c r="C26" s="239">
        <v>-16</v>
      </c>
      <c r="D26" s="742">
        <v>-1.0666666666666667</v>
      </c>
      <c r="E26" s="520"/>
      <c r="F26" s="754">
        <v>-1</v>
      </c>
      <c r="G26" s="754">
        <v>15</v>
      </c>
      <c r="H26" s="754">
        <v>48</v>
      </c>
      <c r="I26" s="746">
        <v>14</v>
      </c>
      <c r="J26" s="754">
        <v>15</v>
      </c>
      <c r="K26" s="754">
        <v>20</v>
      </c>
      <c r="L26" s="754">
        <v>9</v>
      </c>
      <c r="M26" s="746">
        <v>9</v>
      </c>
      <c r="N26" s="754">
        <v>8</v>
      </c>
      <c r="O26" s="754">
        <v>5</v>
      </c>
      <c r="P26" s="754">
        <v>5</v>
      </c>
      <c r="Q26" s="746">
        <v>11</v>
      </c>
      <c r="R26" s="687">
        <v>6</v>
      </c>
      <c r="S26" s="31">
        <v>1</v>
      </c>
      <c r="T26" s="31">
        <v>1</v>
      </c>
      <c r="U26" s="235">
        <v>1</v>
      </c>
      <c r="V26" s="687">
        <v>2</v>
      </c>
      <c r="W26" s="31">
        <v>0</v>
      </c>
      <c r="X26" s="687">
        <v>-1</v>
      </c>
      <c r="Y26" s="28">
        <v>0</v>
      </c>
      <c r="Z26" s="686">
        <v>0</v>
      </c>
      <c r="AA26" s="31">
        <v>0</v>
      </c>
      <c r="AB26" s="31" t="e">
        <v>#REF!</v>
      </c>
      <c r="AC26" s="235" t="e">
        <v>#REF!</v>
      </c>
      <c r="AD26" s="231" t="e">
        <v>#REF!</v>
      </c>
      <c r="AE26" s="231" t="e">
        <v>#REF!</v>
      </c>
      <c r="AF26" s="231" t="e">
        <v>#REF!</v>
      </c>
      <c r="AG26" s="235" t="e">
        <v>#REF!</v>
      </c>
      <c r="AH26" s="231" t="e">
        <v>#REF!</v>
      </c>
      <c r="AI26" s="251" t="e">
        <v>#REF!</v>
      </c>
      <c r="AJ26" s="251" t="e">
        <v>#REF!</v>
      </c>
      <c r="AK26" s="300" t="e">
        <v>#REF!</v>
      </c>
      <c r="AL26" s="270" t="e">
        <v>#REF!</v>
      </c>
      <c r="AM26" s="235" t="e">
        <v>#REF!</v>
      </c>
      <c r="AN26" s="235" t="e">
        <v>#REF!</v>
      </c>
      <c r="AO26" s="300" t="e">
        <v>#REF!</v>
      </c>
      <c r="AP26" s="200"/>
      <c r="AQ26" s="675">
        <v>77</v>
      </c>
      <c r="AR26" s="612">
        <v>38</v>
      </c>
      <c r="AS26" s="251">
        <v>23</v>
      </c>
      <c r="AT26" s="742">
        <v>0.43396226415094341</v>
      </c>
      <c r="AU26" s="242"/>
      <c r="AV26" s="737">
        <v>76</v>
      </c>
      <c r="AW26" s="737">
        <v>53</v>
      </c>
      <c r="AX26" s="737">
        <v>29</v>
      </c>
      <c r="AY26" s="326">
        <v>9</v>
      </c>
      <c r="AZ26" s="212">
        <v>1</v>
      </c>
      <c r="BA26" s="617">
        <v>1</v>
      </c>
      <c r="BB26" s="617">
        <v>0</v>
      </c>
      <c r="BC26" s="617">
        <v>2</v>
      </c>
      <c r="BD26" s="617">
        <v>2</v>
      </c>
      <c r="BE26" s="43">
        <v>5</v>
      </c>
      <c r="BF26" s="43">
        <v>1</v>
      </c>
      <c r="BG26" s="686">
        <v>35</v>
      </c>
      <c r="BH26" s="25"/>
      <c r="BI26" s="3"/>
      <c r="BJ26" s="3"/>
      <c r="BM26" s="3"/>
    </row>
    <row r="27" spans="1:65" ht="12.75" customHeight="1" x14ac:dyDescent="0.2">
      <c r="A27" s="8"/>
      <c r="B27" s="82" t="s">
        <v>95</v>
      </c>
      <c r="C27" s="239">
        <v>-477</v>
      </c>
      <c r="D27" s="685">
        <v>-0.29793878825733916</v>
      </c>
      <c r="E27" s="1415"/>
      <c r="F27" s="745">
        <v>1124</v>
      </c>
      <c r="G27" s="745">
        <v>1906</v>
      </c>
      <c r="H27" s="745">
        <v>1371</v>
      </c>
      <c r="I27" s="746">
        <v>1407</v>
      </c>
      <c r="J27" s="745">
        <v>1601</v>
      </c>
      <c r="K27" s="745">
        <v>1242</v>
      </c>
      <c r="L27" s="745">
        <v>1382</v>
      </c>
      <c r="M27" s="746">
        <v>1229</v>
      </c>
      <c r="N27" s="745">
        <v>1672</v>
      </c>
      <c r="O27" s="745">
        <v>996</v>
      </c>
      <c r="P27" s="745">
        <v>1727</v>
      </c>
      <c r="Q27" s="746">
        <v>908</v>
      </c>
      <c r="R27" s="687">
        <v>932</v>
      </c>
      <c r="S27" s="687">
        <v>861</v>
      </c>
      <c r="T27" s="687">
        <v>212</v>
      </c>
      <c r="U27" s="235">
        <v>327</v>
      </c>
      <c r="V27" s="687">
        <v>354</v>
      </c>
      <c r="W27" s="687">
        <v>123</v>
      </c>
      <c r="X27" s="687">
        <v>15</v>
      </c>
      <c r="Y27" s="235">
        <v>24</v>
      </c>
      <c r="Z27" s="687">
        <v>-289</v>
      </c>
      <c r="AA27" s="687">
        <v>154</v>
      </c>
      <c r="AB27" s="231" t="e">
        <v>#REF!</v>
      </c>
      <c r="AC27" s="235" t="e">
        <v>#REF!</v>
      </c>
      <c r="AD27" s="231" t="e">
        <v>#REF!</v>
      </c>
      <c r="AE27" s="231" t="e">
        <v>#REF!</v>
      </c>
      <c r="AF27" s="231" t="e">
        <v>#REF!</v>
      </c>
      <c r="AG27" s="235" t="e">
        <v>#REF!</v>
      </c>
      <c r="AH27" s="231" t="e">
        <v>#REF!</v>
      </c>
      <c r="AI27" s="231" t="e">
        <v>#REF!</v>
      </c>
      <c r="AJ27" s="231" t="e">
        <v>#REF!</v>
      </c>
      <c r="AK27" s="235" t="e">
        <v>#REF!</v>
      </c>
      <c r="AL27" s="198" t="e">
        <v>#REF!</v>
      </c>
      <c r="AM27" s="235" t="e">
        <v>#REF!</v>
      </c>
      <c r="AN27" s="235" t="e">
        <v>#REF!</v>
      </c>
      <c r="AO27" s="235" t="e">
        <v>#REF!</v>
      </c>
      <c r="AP27" s="200"/>
      <c r="AQ27" s="675">
        <v>4684</v>
      </c>
      <c r="AR27" s="612">
        <v>3853</v>
      </c>
      <c r="AS27" s="251">
        <v>354</v>
      </c>
      <c r="AT27" s="742">
        <v>6.490649064906491E-2</v>
      </c>
      <c r="AU27" s="242"/>
      <c r="AV27" s="737">
        <v>5808</v>
      </c>
      <c r="AW27" s="737">
        <v>5454</v>
      </c>
      <c r="AX27" s="737">
        <v>5303</v>
      </c>
      <c r="AY27" s="326">
        <v>2332</v>
      </c>
      <c r="AZ27" s="212">
        <v>516</v>
      </c>
      <c r="BA27" s="617">
        <v>92</v>
      </c>
      <c r="BB27" s="617">
        <v>169</v>
      </c>
      <c r="BC27" s="617">
        <v>66</v>
      </c>
      <c r="BD27" s="617">
        <v>66</v>
      </c>
      <c r="BE27" s="43">
        <v>6374</v>
      </c>
      <c r="BF27" s="43">
        <v>5879</v>
      </c>
      <c r="BG27" s="686">
        <v>3463</v>
      </c>
      <c r="BH27" s="25"/>
      <c r="BI27" s="3"/>
      <c r="BJ27" s="3"/>
      <c r="BM27" s="3"/>
    </row>
    <row r="28" spans="1:65" ht="12.75" customHeight="1" x14ac:dyDescent="0.2">
      <c r="A28" s="8"/>
      <c r="B28" s="82" t="s">
        <v>74</v>
      </c>
      <c r="C28" s="239">
        <v>2</v>
      </c>
      <c r="D28" s="742">
        <v>2.002002002002002E-3</v>
      </c>
      <c r="E28" s="520"/>
      <c r="F28" s="754">
        <v>1001</v>
      </c>
      <c r="G28" s="754">
        <v>944</v>
      </c>
      <c r="H28" s="754">
        <v>990</v>
      </c>
      <c r="I28" s="746">
        <v>963</v>
      </c>
      <c r="J28" s="754">
        <v>999</v>
      </c>
      <c r="K28" s="754">
        <v>937</v>
      </c>
      <c r="L28" s="754">
        <v>905</v>
      </c>
      <c r="M28" s="746">
        <v>1301</v>
      </c>
      <c r="N28" s="754">
        <v>1635</v>
      </c>
      <c r="O28" s="754">
        <v>1624</v>
      </c>
      <c r="P28" s="754">
        <v>1586</v>
      </c>
      <c r="Q28" s="746">
        <v>1877</v>
      </c>
      <c r="R28" s="687">
        <v>1078</v>
      </c>
      <c r="S28" s="31">
        <v>906</v>
      </c>
      <c r="T28" s="31">
        <v>36</v>
      </c>
      <c r="U28" s="235">
        <v>28</v>
      </c>
      <c r="V28" s="687">
        <v>26</v>
      </c>
      <c r="W28" s="31">
        <v>0</v>
      </c>
      <c r="X28" s="31">
        <v>0</v>
      </c>
      <c r="Y28" s="28">
        <v>0</v>
      </c>
      <c r="Z28" s="686">
        <v>0</v>
      </c>
      <c r="AA28" s="31">
        <v>0</v>
      </c>
      <c r="AB28" s="31" t="e">
        <v>#REF!</v>
      </c>
      <c r="AC28" s="28" t="e">
        <v>#REF!</v>
      </c>
      <c r="AD28" s="231" t="e">
        <v>#REF!</v>
      </c>
      <c r="AE28" s="231" t="e">
        <v>#REF!</v>
      </c>
      <c r="AF28" s="231" t="e">
        <v>#REF!</v>
      </c>
      <c r="AG28" s="235" t="e">
        <v>#REF!</v>
      </c>
      <c r="AH28" s="231" t="e">
        <v>#REF!</v>
      </c>
      <c r="AI28" s="231" t="e">
        <v>#REF!</v>
      </c>
      <c r="AJ28" s="231" t="e">
        <v>#REF!</v>
      </c>
      <c r="AK28" s="235" t="e">
        <v>#REF!</v>
      </c>
      <c r="AL28" s="198" t="e">
        <v>#REF!</v>
      </c>
      <c r="AM28" s="235" t="e">
        <v>#REF!</v>
      </c>
      <c r="AN28" s="235" t="e">
        <v>#REF!</v>
      </c>
      <c r="AO28" s="235" t="e">
        <v>#REF!</v>
      </c>
      <c r="AP28" s="200"/>
      <c r="AQ28" s="675">
        <v>2897</v>
      </c>
      <c r="AR28" s="612">
        <v>3143</v>
      </c>
      <c r="AS28" s="251">
        <v>-244</v>
      </c>
      <c r="AT28" s="742">
        <v>-5.8908739739256401E-2</v>
      </c>
      <c r="AU28" s="242"/>
      <c r="AV28" s="737">
        <v>3898</v>
      </c>
      <c r="AW28" s="737">
        <v>4142</v>
      </c>
      <c r="AX28" s="737">
        <v>6722</v>
      </c>
      <c r="AY28" s="326">
        <v>2048</v>
      </c>
      <c r="AZ28" s="212">
        <v>26</v>
      </c>
      <c r="BA28" s="617">
        <v>0</v>
      </c>
      <c r="BB28" s="617">
        <v>0</v>
      </c>
      <c r="BC28" s="617">
        <v>0</v>
      </c>
      <c r="BD28" s="617">
        <v>0</v>
      </c>
      <c r="BE28" s="43">
        <v>716</v>
      </c>
      <c r="BF28" s="43">
        <v>620</v>
      </c>
      <c r="BG28" s="686">
        <v>716</v>
      </c>
      <c r="BH28" s="25"/>
      <c r="BI28" s="3"/>
      <c r="BJ28" s="3"/>
      <c r="BM28" s="3"/>
    </row>
    <row r="29" spans="1:65" ht="12.75" customHeight="1" x14ac:dyDescent="0.2">
      <c r="A29" s="7"/>
      <c r="B29" s="82" t="s">
        <v>75</v>
      </c>
      <c r="C29" s="239">
        <v>-220</v>
      </c>
      <c r="D29" s="742">
        <v>-0.80882352941176472</v>
      </c>
      <c r="E29" s="520"/>
      <c r="F29" s="754">
        <v>52</v>
      </c>
      <c r="G29" s="754">
        <v>34</v>
      </c>
      <c r="H29" s="754">
        <v>175</v>
      </c>
      <c r="I29" s="746">
        <v>154</v>
      </c>
      <c r="J29" s="754">
        <v>272</v>
      </c>
      <c r="K29" s="754">
        <v>200</v>
      </c>
      <c r="L29" s="754">
        <v>128</v>
      </c>
      <c r="M29" s="746">
        <v>760</v>
      </c>
      <c r="N29" s="754">
        <v>-698</v>
      </c>
      <c r="O29" s="754">
        <v>905</v>
      </c>
      <c r="P29" s="754">
        <v>-313</v>
      </c>
      <c r="Q29" s="746">
        <v>372</v>
      </c>
      <c r="R29" s="687">
        <v>941</v>
      </c>
      <c r="S29" s="31">
        <v>1757</v>
      </c>
      <c r="T29" s="31">
        <v>517</v>
      </c>
      <c r="U29" s="235">
        <v>538</v>
      </c>
      <c r="V29" s="687">
        <v>76</v>
      </c>
      <c r="W29" s="31">
        <v>0</v>
      </c>
      <c r="X29" s="31">
        <v>0</v>
      </c>
      <c r="Y29" s="28">
        <v>0</v>
      </c>
      <c r="Z29" s="686">
        <v>0</v>
      </c>
      <c r="AA29" s="31">
        <v>0</v>
      </c>
      <c r="AB29" s="31" t="e">
        <v>#REF!</v>
      </c>
      <c r="AC29" s="28" t="e">
        <v>#REF!</v>
      </c>
      <c r="AD29" s="231" t="e">
        <v>#REF!</v>
      </c>
      <c r="AE29" s="231" t="e">
        <v>#REF!</v>
      </c>
      <c r="AF29" s="231" t="e">
        <v>#REF!</v>
      </c>
      <c r="AG29" s="235" t="e">
        <v>#REF!</v>
      </c>
      <c r="AH29" s="231" t="e">
        <v>#REF!</v>
      </c>
      <c r="AI29" s="231" t="e">
        <v>#REF!</v>
      </c>
      <c r="AJ29" s="231" t="e">
        <v>#REF!</v>
      </c>
      <c r="AK29" s="235" t="e">
        <v>#REF!</v>
      </c>
      <c r="AL29" s="198" t="e">
        <v>#REF!</v>
      </c>
      <c r="AM29" s="238" t="e">
        <v>#REF!</v>
      </c>
      <c r="AN29" s="235" t="e">
        <v>#REF!</v>
      </c>
      <c r="AO29" s="235" t="e">
        <v>#REF!</v>
      </c>
      <c r="AP29" s="200"/>
      <c r="AQ29" s="675">
        <v>363</v>
      </c>
      <c r="AR29" s="612">
        <v>1088</v>
      </c>
      <c r="AS29" s="251">
        <v>-945</v>
      </c>
      <c r="AT29" s="742">
        <v>-0.69485294117647056</v>
      </c>
      <c r="AU29" s="242"/>
      <c r="AV29" s="737">
        <v>415</v>
      </c>
      <c r="AW29" s="737">
        <v>1360</v>
      </c>
      <c r="AX29" s="737">
        <v>266</v>
      </c>
      <c r="AY29" s="326">
        <v>3753</v>
      </c>
      <c r="AZ29" s="212">
        <v>76</v>
      </c>
      <c r="BA29" s="617">
        <v>0</v>
      </c>
      <c r="BB29" s="617">
        <v>0</v>
      </c>
      <c r="BC29" s="617">
        <v>0</v>
      </c>
      <c r="BD29" s="617">
        <v>0</v>
      </c>
      <c r="BE29" s="43">
        <v>0</v>
      </c>
      <c r="BF29" s="43">
        <v>0</v>
      </c>
      <c r="BG29" s="686">
        <v>0</v>
      </c>
      <c r="BH29" s="25"/>
      <c r="BI29" s="3"/>
      <c r="BJ29" s="3"/>
      <c r="BM29" s="3"/>
    </row>
    <row r="30" spans="1:65" ht="12.75" customHeight="1" x14ac:dyDescent="0.2">
      <c r="A30" s="8"/>
      <c r="B30" s="7" t="s">
        <v>169</v>
      </c>
      <c r="C30" s="239">
        <v>500</v>
      </c>
      <c r="D30" s="742">
        <v>0</v>
      </c>
      <c r="E30" s="520"/>
      <c r="F30" s="239">
        <v>500</v>
      </c>
      <c r="G30" s="251">
        <v>0</v>
      </c>
      <c r="H30" s="251">
        <v>0</v>
      </c>
      <c r="I30" s="300">
        <v>0</v>
      </c>
      <c r="J30" s="251">
        <v>0</v>
      </c>
      <c r="K30" s="251">
        <v>0</v>
      </c>
      <c r="L30" s="251">
        <v>0</v>
      </c>
      <c r="M30" s="300">
        <v>0</v>
      </c>
      <c r="N30" s="251">
        <v>0</v>
      </c>
      <c r="O30" s="251">
        <v>0</v>
      </c>
      <c r="P30" s="332">
        <v>0</v>
      </c>
      <c r="Q30" s="300">
        <v>0</v>
      </c>
      <c r="R30" s="251">
        <v>0</v>
      </c>
      <c r="S30" s="332">
        <v>0</v>
      </c>
      <c r="T30" s="332">
        <v>0</v>
      </c>
      <c r="U30" s="300">
        <v>0</v>
      </c>
      <c r="V30" s="251">
        <v>0</v>
      </c>
      <c r="W30" s="332">
        <v>0</v>
      </c>
      <c r="X30" s="251">
        <v>0</v>
      </c>
      <c r="Y30" s="300">
        <v>0</v>
      </c>
      <c r="Z30" s="251">
        <v>0</v>
      </c>
      <c r="AA30" s="332">
        <v>0</v>
      </c>
      <c r="AB30" s="251" t="e">
        <v>#REF!</v>
      </c>
      <c r="AC30" s="300" t="e">
        <v>#REF!</v>
      </c>
      <c r="AD30" s="332" t="e">
        <v>#REF!</v>
      </c>
      <c r="AE30" s="231" t="e">
        <v>#REF!</v>
      </c>
      <c r="AF30" s="251" t="e">
        <v>#REF!</v>
      </c>
      <c r="AG30" s="419" t="e">
        <v>#REF!</v>
      </c>
      <c r="AH30" s="251" t="e">
        <v>#REF!</v>
      </c>
      <c r="AI30" s="251" t="e">
        <v>#REF!</v>
      </c>
      <c r="AJ30" s="251" t="e">
        <v>#REF!</v>
      </c>
      <c r="AK30" s="300" t="e">
        <v>#REF!</v>
      </c>
      <c r="AL30" s="418" t="e">
        <v>#REF!</v>
      </c>
      <c r="AM30" s="211" t="e">
        <v>#REF!</v>
      </c>
      <c r="AN30" s="214" t="e">
        <v>#REF!</v>
      </c>
      <c r="AO30" s="214" t="e">
        <v>#REF!</v>
      </c>
      <c r="AP30" s="200"/>
      <c r="AQ30" s="675">
        <v>0</v>
      </c>
      <c r="AR30" s="612">
        <v>0</v>
      </c>
      <c r="AS30" s="251">
        <v>500</v>
      </c>
      <c r="AT30" s="742">
        <v>0</v>
      </c>
      <c r="AU30" s="242"/>
      <c r="AV30" s="675">
        <v>500</v>
      </c>
      <c r="AW30" s="675">
        <v>0</v>
      </c>
      <c r="AX30" s="488">
        <v>0</v>
      </c>
      <c r="AY30" s="488">
        <v>0</v>
      </c>
      <c r="AZ30" s="212">
        <v>0</v>
      </c>
      <c r="BA30" s="617">
        <v>0</v>
      </c>
      <c r="BB30" s="617">
        <v>0</v>
      </c>
      <c r="BC30" s="617">
        <v>0</v>
      </c>
      <c r="BD30" s="692">
        <v>0</v>
      </c>
      <c r="BE30" s="43">
        <v>0</v>
      </c>
      <c r="BF30" s="43">
        <v>0</v>
      </c>
      <c r="BG30" s="686">
        <v>0</v>
      </c>
      <c r="BH30" s="25"/>
      <c r="BI30" s="3"/>
      <c r="BJ30" s="3"/>
      <c r="BM30" s="3"/>
    </row>
    <row r="31" spans="1:65" s="721" customFormat="1" ht="12.75" customHeight="1" x14ac:dyDescent="0.2">
      <c r="A31" s="8"/>
      <c r="B31" s="7" t="s">
        <v>441</v>
      </c>
      <c r="C31" s="239">
        <v>10000</v>
      </c>
      <c r="D31" s="742" t="s">
        <v>42</v>
      </c>
      <c r="E31" s="741"/>
      <c r="F31" s="247">
        <v>10000</v>
      </c>
      <c r="G31" s="332">
        <v>4535</v>
      </c>
      <c r="H31" s="332">
        <v>0</v>
      </c>
      <c r="I31" s="300">
        <v>0</v>
      </c>
      <c r="J31" s="332">
        <v>0</v>
      </c>
      <c r="K31" s="332">
        <v>0</v>
      </c>
      <c r="L31" s="332">
        <v>0</v>
      </c>
      <c r="M31" s="300">
        <v>0</v>
      </c>
      <c r="N31" s="332">
        <v>0</v>
      </c>
      <c r="O31" s="332">
        <v>0</v>
      </c>
      <c r="P31" s="332"/>
      <c r="Q31" s="300"/>
      <c r="R31" s="251"/>
      <c r="S31" s="332"/>
      <c r="T31" s="332"/>
      <c r="U31" s="300"/>
      <c r="V31" s="251"/>
      <c r="W31" s="332"/>
      <c r="X31" s="251"/>
      <c r="Y31" s="300"/>
      <c r="Z31" s="251"/>
      <c r="AA31" s="332"/>
      <c r="AB31" s="251"/>
      <c r="AC31" s="300"/>
      <c r="AD31" s="332"/>
      <c r="AE31" s="745"/>
      <c r="AF31" s="251"/>
      <c r="AG31" s="419"/>
      <c r="AH31" s="251"/>
      <c r="AI31" s="251"/>
      <c r="AJ31" s="251"/>
      <c r="AK31" s="300"/>
      <c r="AL31" s="418"/>
      <c r="AM31" s="211"/>
      <c r="AN31" s="214"/>
      <c r="AO31" s="214"/>
      <c r="AP31" s="200"/>
      <c r="AQ31" s="675">
        <v>4535</v>
      </c>
      <c r="AR31" s="612">
        <v>0</v>
      </c>
      <c r="AS31" s="251">
        <v>14535</v>
      </c>
      <c r="AT31" s="742" t="s">
        <v>42</v>
      </c>
      <c r="AU31" s="242"/>
      <c r="AV31" s="675">
        <v>14535</v>
      </c>
      <c r="AW31" s="675">
        <v>0</v>
      </c>
      <c r="AX31" s="488">
        <v>0</v>
      </c>
      <c r="AY31" s="488">
        <v>0</v>
      </c>
      <c r="AZ31" s="212">
        <v>0</v>
      </c>
      <c r="BA31" s="617">
        <v>0</v>
      </c>
      <c r="BB31" s="617"/>
      <c r="BC31" s="617"/>
      <c r="BD31" s="692"/>
      <c r="BE31" s="43"/>
      <c r="BF31" s="43"/>
      <c r="BG31" s="686"/>
      <c r="BH31" s="25"/>
      <c r="BI31" s="722"/>
      <c r="BJ31" s="722"/>
      <c r="BM31" s="722"/>
    </row>
    <row r="32" spans="1:65" ht="12.75" customHeight="1" x14ac:dyDescent="0.2">
      <c r="A32" s="8"/>
      <c r="B32" s="7"/>
      <c r="C32" s="1328">
        <v>14114</v>
      </c>
      <c r="D32" s="168">
        <v>1.4927551560021153</v>
      </c>
      <c r="E32" s="520"/>
      <c r="F32" s="245">
        <v>23569</v>
      </c>
      <c r="G32" s="245">
        <v>13337</v>
      </c>
      <c r="H32" s="245">
        <v>11832</v>
      </c>
      <c r="I32" s="246">
        <v>13138</v>
      </c>
      <c r="J32" s="245">
        <v>9455</v>
      </c>
      <c r="K32" s="245">
        <v>12103</v>
      </c>
      <c r="L32" s="245">
        <v>9069</v>
      </c>
      <c r="M32" s="246">
        <v>9298</v>
      </c>
      <c r="N32" s="245">
        <v>9244</v>
      </c>
      <c r="O32" s="245">
        <v>9883</v>
      </c>
      <c r="P32" s="245">
        <v>7490</v>
      </c>
      <c r="Q32" s="246">
        <v>7988</v>
      </c>
      <c r="R32" s="245">
        <v>6225</v>
      </c>
      <c r="S32" s="245">
        <v>7323</v>
      </c>
      <c r="T32" s="245">
        <v>1729</v>
      </c>
      <c r="U32" s="246">
        <v>2038</v>
      </c>
      <c r="V32" s="245">
        <v>1317</v>
      </c>
      <c r="W32" s="245">
        <v>151</v>
      </c>
      <c r="X32" s="245">
        <v>34</v>
      </c>
      <c r="Y32" s="246">
        <v>43</v>
      </c>
      <c r="Z32" s="245">
        <v>1744</v>
      </c>
      <c r="AA32" s="245">
        <v>176</v>
      </c>
      <c r="AB32" s="245" t="e">
        <v>#REF!</v>
      </c>
      <c r="AC32" s="246" t="e">
        <v>#REF!</v>
      </c>
      <c r="AD32" s="245" t="e">
        <v>#REF!</v>
      </c>
      <c r="AE32" s="245" t="e">
        <v>#REF!</v>
      </c>
      <c r="AF32" s="245" t="e">
        <v>#REF!</v>
      </c>
      <c r="AG32" s="246" t="e">
        <v>#REF!</v>
      </c>
      <c r="AH32" s="245" t="e">
        <v>#REF!</v>
      </c>
      <c r="AI32" s="245" t="e">
        <v>#REF!</v>
      </c>
      <c r="AJ32" s="245" t="e">
        <v>#REF!</v>
      </c>
      <c r="AK32" s="246" t="e">
        <v>#REF!</v>
      </c>
      <c r="AL32" s="204" t="e">
        <v>#REF!</v>
      </c>
      <c r="AM32" s="246" t="e">
        <v>#REF!</v>
      </c>
      <c r="AN32" s="246" t="e">
        <v>#REF!</v>
      </c>
      <c r="AO32" s="246" t="e">
        <v>#REF!</v>
      </c>
      <c r="AP32" s="200"/>
      <c r="AQ32" s="245">
        <v>38307</v>
      </c>
      <c r="AR32" s="245">
        <v>30470</v>
      </c>
      <c r="AS32" s="328">
        <v>21951</v>
      </c>
      <c r="AT32" s="168">
        <v>0.54980588603631808</v>
      </c>
      <c r="AU32" s="242"/>
      <c r="AV32" s="333">
        <v>61876</v>
      </c>
      <c r="AW32" s="333">
        <v>39925</v>
      </c>
      <c r="AX32" s="333">
        <v>34605</v>
      </c>
      <c r="AY32" s="333">
        <v>17315</v>
      </c>
      <c r="AZ32" s="333">
        <v>1545</v>
      </c>
      <c r="BA32" s="199">
        <v>2453</v>
      </c>
      <c r="BB32" s="199">
        <v>4212</v>
      </c>
      <c r="BC32" s="199">
        <v>5506</v>
      </c>
      <c r="BD32" s="199">
        <v>4992</v>
      </c>
      <c r="BE32" s="302">
        <v>83963</v>
      </c>
      <c r="BF32" s="302">
        <v>85664</v>
      </c>
      <c r="BG32" s="167">
        <v>68575</v>
      </c>
      <c r="BH32" s="25"/>
      <c r="BI32" s="3"/>
      <c r="BJ32" s="3"/>
      <c r="BM32" s="3"/>
    </row>
    <row r="33" spans="1:65" s="1074" customFormat="1" ht="24.95" customHeight="1" thickBot="1" x14ac:dyDescent="0.25">
      <c r="A33" s="1491" t="s">
        <v>188</v>
      </c>
      <c r="B33" s="1492"/>
      <c r="C33" s="1012">
        <v>-7290</v>
      </c>
      <c r="D33" s="1450" t="s">
        <v>42</v>
      </c>
      <c r="E33" s="1001"/>
      <c r="F33" s="1327">
        <v>-7591</v>
      </c>
      <c r="G33" s="1327">
        <v>-5848</v>
      </c>
      <c r="H33" s="1327">
        <v>257</v>
      </c>
      <c r="I33" s="930">
        <v>912</v>
      </c>
      <c r="J33" s="1327">
        <v>-301</v>
      </c>
      <c r="K33" s="1327">
        <v>3872</v>
      </c>
      <c r="L33" s="1327">
        <v>-578</v>
      </c>
      <c r="M33" s="930">
        <v>-4434</v>
      </c>
      <c r="N33" s="1327">
        <v>-2819</v>
      </c>
      <c r="O33" s="1327">
        <v>-2585</v>
      </c>
      <c r="P33" s="1327">
        <v>-1333</v>
      </c>
      <c r="Q33" s="930">
        <v>-2581</v>
      </c>
      <c r="R33" s="1327">
        <v>-2512</v>
      </c>
      <c r="S33" s="1327">
        <v>-629</v>
      </c>
      <c r="T33" s="1327">
        <v>-1896</v>
      </c>
      <c r="U33" s="930">
        <v>-1786</v>
      </c>
      <c r="V33" s="1327">
        <v>-714</v>
      </c>
      <c r="W33" s="1327">
        <v>265</v>
      </c>
      <c r="X33" s="750">
        <v>327</v>
      </c>
      <c r="Y33" s="930">
        <v>-195</v>
      </c>
      <c r="Z33" s="750">
        <v>1750</v>
      </c>
      <c r="AA33" s="1327">
        <v>157</v>
      </c>
      <c r="AB33" s="750" t="e">
        <v>#REF!</v>
      </c>
      <c r="AC33" s="930" t="e">
        <v>#REF!</v>
      </c>
      <c r="AD33" s="1327" t="e">
        <v>#REF!</v>
      </c>
      <c r="AE33" s="1327" t="e">
        <v>#REF!</v>
      </c>
      <c r="AF33" s="1327" t="e">
        <v>#REF!</v>
      </c>
      <c r="AG33" s="930" t="e">
        <v>#REF!</v>
      </c>
      <c r="AH33" s="1327" t="e">
        <v>#REF!</v>
      </c>
      <c r="AI33" s="1308" t="e">
        <v>#REF!</v>
      </c>
      <c r="AJ33" s="1311" t="e">
        <v>#REF!</v>
      </c>
      <c r="AK33" s="1308" t="e">
        <v>#REF!</v>
      </c>
      <c r="AL33" s="1308" t="e">
        <v>#REF!</v>
      </c>
      <c r="AM33" s="1308" t="e">
        <v>#REF!</v>
      </c>
      <c r="AN33" s="1308" t="e">
        <v>#REF!</v>
      </c>
      <c r="AO33" s="1308" t="e">
        <v>#REF!</v>
      </c>
      <c r="AP33" s="751"/>
      <c r="AQ33" s="1327">
        <v>-4679</v>
      </c>
      <c r="AR33" s="1327">
        <v>-1140</v>
      </c>
      <c r="AS33" s="1327">
        <v>-10829</v>
      </c>
      <c r="AT33" s="1013" t="s">
        <v>42</v>
      </c>
      <c r="AU33" s="992"/>
      <c r="AV33" s="1331">
        <v>-12270</v>
      </c>
      <c r="AW33" s="1331">
        <v>-1441</v>
      </c>
      <c r="AX33" s="1331">
        <v>-9318</v>
      </c>
      <c r="AY33" s="1331">
        <v>-6823</v>
      </c>
      <c r="AZ33" s="1331">
        <v>-317</v>
      </c>
      <c r="BA33" s="1331">
        <v>3441</v>
      </c>
      <c r="BB33" s="1018">
        <v>2569</v>
      </c>
      <c r="BC33" s="1018">
        <v>4431</v>
      </c>
      <c r="BD33" s="1071">
        <v>10905</v>
      </c>
      <c r="BE33" s="1019">
        <v>41937</v>
      </c>
      <c r="BF33" s="1019">
        <v>30426</v>
      </c>
      <c r="BG33" s="1444"/>
      <c r="BH33" s="1445"/>
      <c r="BJ33" s="1073"/>
      <c r="BK33" s="1073"/>
      <c r="BL33" s="1073"/>
      <c r="BM33" s="1073"/>
    </row>
    <row r="34" spans="1:65" s="1074" customFormat="1" ht="12.75" customHeight="1" thickTop="1" x14ac:dyDescent="0.2">
      <c r="A34" s="1304"/>
      <c r="B34" s="1076" t="s">
        <v>380</v>
      </c>
      <c r="C34" s="1029">
        <v>0</v>
      </c>
      <c r="D34" s="1070">
        <v>0</v>
      </c>
      <c r="E34" s="1001"/>
      <c r="F34" s="836"/>
      <c r="G34" s="836">
        <v>0</v>
      </c>
      <c r="H34" s="836">
        <v>0</v>
      </c>
      <c r="I34" s="920">
        <v>0</v>
      </c>
      <c r="J34" s="836">
        <v>0</v>
      </c>
      <c r="K34" s="836">
        <v>0</v>
      </c>
      <c r="L34" s="836">
        <v>150</v>
      </c>
      <c r="M34" s="920">
        <v>0</v>
      </c>
      <c r="N34" s="836">
        <v>0</v>
      </c>
      <c r="O34" s="836">
        <v>0</v>
      </c>
      <c r="P34" s="836">
        <v>0</v>
      </c>
      <c r="Q34" s="920">
        <v>0</v>
      </c>
      <c r="R34" s="836">
        <v>0</v>
      </c>
      <c r="S34" s="836">
        <v>0</v>
      </c>
      <c r="T34" s="836">
        <v>0</v>
      </c>
      <c r="U34" s="749"/>
      <c r="V34" s="1327"/>
      <c r="W34" s="750"/>
      <c r="X34" s="1327"/>
      <c r="Y34" s="749"/>
      <c r="Z34" s="1327"/>
      <c r="AA34" s="750">
        <v>1561</v>
      </c>
      <c r="AB34" s="1327">
        <v>60</v>
      </c>
      <c r="AC34" s="749">
        <v>2551</v>
      </c>
      <c r="AD34" s="750">
        <v>-616</v>
      </c>
      <c r="AE34" s="750">
        <v>-1126</v>
      </c>
      <c r="AF34" s="750">
        <v>-932</v>
      </c>
      <c r="AG34" s="749">
        <v>2587</v>
      </c>
      <c r="AH34" s="750">
        <v>24</v>
      </c>
      <c r="AI34" s="717"/>
      <c r="AJ34" s="1332"/>
      <c r="AK34" s="717"/>
      <c r="AL34" s="717"/>
      <c r="AM34" s="717"/>
      <c r="AN34" s="717"/>
      <c r="AO34" s="717"/>
      <c r="AP34" s="1333"/>
      <c r="AQ34" s="1215">
        <v>0</v>
      </c>
      <c r="AR34" s="836">
        <v>150</v>
      </c>
      <c r="AS34" s="836">
        <v>-150</v>
      </c>
      <c r="AT34" s="1013">
        <v>-1</v>
      </c>
      <c r="AU34" s="1250"/>
      <c r="AV34" s="752">
        <v>0</v>
      </c>
      <c r="AW34" s="752">
        <v>150</v>
      </c>
      <c r="AX34" s="752">
        <v>0</v>
      </c>
      <c r="AY34" s="752">
        <v>0</v>
      </c>
      <c r="AZ34" s="752">
        <v>0</v>
      </c>
      <c r="BA34" s="752">
        <v>0</v>
      </c>
      <c r="BB34" s="752">
        <v>0</v>
      </c>
      <c r="BC34" s="1011">
        <v>9333</v>
      </c>
      <c r="BD34" s="1028">
        <v>11496</v>
      </c>
      <c r="BE34" s="1078">
        <v>11945</v>
      </c>
      <c r="BF34" s="1025">
        <v>10058</v>
      </c>
      <c r="BG34" s="1036"/>
      <c r="BH34" s="1445"/>
      <c r="BJ34" s="1073"/>
      <c r="BK34" s="1073"/>
      <c r="BL34" s="1073"/>
      <c r="BM34" s="1073"/>
    </row>
    <row r="35" spans="1:65" s="1074" customFormat="1" ht="18.75" customHeight="1" thickBot="1" x14ac:dyDescent="0.25">
      <c r="A35" s="1491" t="s">
        <v>77</v>
      </c>
      <c r="B35" s="1493"/>
      <c r="C35" s="1079">
        <v>-7290</v>
      </c>
      <c r="D35" s="1227" t="s">
        <v>42</v>
      </c>
      <c r="E35" s="1001"/>
      <c r="F35" s="653">
        <v>-7591</v>
      </c>
      <c r="G35" s="653">
        <v>-5848</v>
      </c>
      <c r="H35" s="653">
        <v>257</v>
      </c>
      <c r="I35" s="1325">
        <v>912</v>
      </c>
      <c r="J35" s="653">
        <v>-301</v>
      </c>
      <c r="K35" s="653">
        <v>3872</v>
      </c>
      <c r="L35" s="653">
        <v>-728</v>
      </c>
      <c r="M35" s="1325">
        <v>-4434</v>
      </c>
      <c r="N35" s="653">
        <v>-2819</v>
      </c>
      <c r="O35" s="653">
        <v>-2585</v>
      </c>
      <c r="P35" s="653">
        <v>-1333</v>
      </c>
      <c r="Q35" s="1325">
        <v>-2581</v>
      </c>
      <c r="R35" s="653">
        <v>-2512</v>
      </c>
      <c r="S35" s="653">
        <v>-629</v>
      </c>
      <c r="T35" s="653">
        <v>-1896</v>
      </c>
      <c r="U35" s="1325"/>
      <c r="V35" s="653"/>
      <c r="W35" s="653"/>
      <c r="X35" s="653"/>
      <c r="Y35" s="1325"/>
      <c r="Z35" s="653">
        <v>3882</v>
      </c>
      <c r="AA35" s="653">
        <v>3051</v>
      </c>
      <c r="AB35" s="653">
        <v>-167</v>
      </c>
      <c r="AC35" s="1325">
        <v>2036</v>
      </c>
      <c r="AD35" s="653">
        <v>3710</v>
      </c>
      <c r="AE35" s="653">
        <v>-2568</v>
      </c>
      <c r="AF35" s="653">
        <v>-4210</v>
      </c>
      <c r="AG35" s="1325">
        <v>7755</v>
      </c>
      <c r="AH35" s="653">
        <v>-439</v>
      </c>
      <c r="AI35" s="1334">
        <v>8956</v>
      </c>
      <c r="AJ35" s="1335">
        <v>4777</v>
      </c>
      <c r="AK35" s="1334">
        <v>20726</v>
      </c>
      <c r="AL35" s="1334">
        <v>8455</v>
      </c>
      <c r="AM35" s="1334">
        <v>7520</v>
      </c>
      <c r="AN35" s="1334">
        <v>10021</v>
      </c>
      <c r="AO35" s="1334">
        <v>16613</v>
      </c>
      <c r="AP35" s="1333"/>
      <c r="AQ35" s="653">
        <v>-4679</v>
      </c>
      <c r="AR35" s="653">
        <v>-1290</v>
      </c>
      <c r="AS35" s="653">
        <v>-10679</v>
      </c>
      <c r="AT35" s="1227" t="s">
        <v>42</v>
      </c>
      <c r="AU35" s="1077"/>
      <c r="AV35" s="1329">
        <v>-12270</v>
      </c>
      <c r="AW35" s="1329">
        <v>-1591</v>
      </c>
      <c r="AX35" s="1329">
        <v>-9318</v>
      </c>
      <c r="AY35" s="1329">
        <v>-6823</v>
      </c>
      <c r="AZ35" s="1329">
        <v>-317</v>
      </c>
      <c r="BA35" s="1329">
        <v>3441</v>
      </c>
      <c r="BB35" s="1082">
        <v>2569</v>
      </c>
      <c r="BC35" s="1082">
        <v>24711</v>
      </c>
      <c r="BD35" s="1081">
        <v>31113</v>
      </c>
      <c r="BE35" s="1083">
        <v>29992</v>
      </c>
      <c r="BF35" s="1019">
        <v>20368</v>
      </c>
      <c r="BG35" s="1036">
        <v>15914</v>
      </c>
      <c r="BH35" s="1445"/>
      <c r="BJ35" s="1073"/>
      <c r="BK35" s="1073"/>
      <c r="BL35" s="1073"/>
      <c r="BM35" s="1073"/>
    </row>
    <row r="36" spans="1:65" s="95" customFormat="1" ht="12.75" customHeight="1" thickTop="1" x14ac:dyDescent="0.2">
      <c r="A36" s="141"/>
      <c r="B36" s="615"/>
      <c r="C36" s="231"/>
      <c r="D36" s="41"/>
      <c r="E36" s="41"/>
      <c r="F36" s="755"/>
      <c r="G36" s="755"/>
      <c r="H36" s="755"/>
      <c r="I36" s="745"/>
      <c r="J36" s="755"/>
      <c r="K36" s="755"/>
      <c r="L36" s="755"/>
      <c r="M36" s="745"/>
      <c r="N36" s="755"/>
      <c r="O36" s="755"/>
      <c r="P36" s="755"/>
      <c r="Q36" s="745"/>
      <c r="R36" s="41"/>
      <c r="S36" s="41"/>
      <c r="T36" s="41"/>
      <c r="U36" s="687"/>
      <c r="V36" s="41"/>
      <c r="W36" s="41"/>
      <c r="X36" s="41"/>
      <c r="Y36" s="687"/>
      <c r="Z36" s="41"/>
      <c r="AA36" s="41"/>
      <c r="AB36" s="41"/>
      <c r="AC36" s="231"/>
      <c r="AD36" s="41"/>
      <c r="AE36" s="41"/>
      <c r="AF36" s="41"/>
      <c r="AG36" s="231"/>
      <c r="AH36" s="231"/>
      <c r="AI36" s="231"/>
      <c r="AJ36" s="231"/>
      <c r="AK36" s="231"/>
      <c r="AL36" s="231"/>
      <c r="AM36" s="231"/>
      <c r="AN36" s="231"/>
      <c r="AO36" s="231"/>
      <c r="AP36" s="242"/>
      <c r="AQ36" s="242"/>
      <c r="AR36" s="242"/>
      <c r="AS36" s="251"/>
      <c r="AT36" s="41"/>
      <c r="AU36" s="242"/>
      <c r="AV36" s="734"/>
      <c r="AW36" s="734"/>
      <c r="AX36" s="734"/>
      <c r="AY36" s="267"/>
      <c r="AZ36" s="267"/>
      <c r="BA36" s="687"/>
      <c r="BB36" s="687"/>
      <c r="BC36" s="82"/>
      <c r="BD36" s="687"/>
      <c r="BE36" s="31"/>
      <c r="BF36" s="31"/>
      <c r="BG36" s="31"/>
      <c r="BH36" s="3"/>
      <c r="BI36" s="207"/>
      <c r="BJ36" s="207"/>
      <c r="BM36" s="207"/>
    </row>
    <row r="37" spans="1:65" s="95" customFormat="1" ht="12.75" customHeight="1" x14ac:dyDescent="0.2">
      <c r="A37" s="7" t="s">
        <v>335</v>
      </c>
      <c r="B37" s="615"/>
      <c r="C37" s="225">
        <v>8.6447642545861232</v>
      </c>
      <c r="D37" s="755"/>
      <c r="E37" s="755"/>
      <c r="F37" s="755">
        <v>0.53248216297408935</v>
      </c>
      <c r="G37" s="755">
        <v>0.55454666844705569</v>
      </c>
      <c r="H37" s="755">
        <v>0.57051865332120111</v>
      </c>
      <c r="I37" s="755">
        <v>0.61124555160142346</v>
      </c>
      <c r="J37" s="755">
        <v>0.44603452042822811</v>
      </c>
      <c r="K37" s="755">
        <v>0.5455399061032864</v>
      </c>
      <c r="L37" s="755">
        <v>0.51902013897067478</v>
      </c>
      <c r="M37" s="755">
        <v>0.79543585526315785</v>
      </c>
      <c r="N37" s="755">
        <v>0.71408560311284042</v>
      </c>
      <c r="O37" s="755">
        <v>0.59920526171553845</v>
      </c>
      <c r="P37" s="755">
        <v>0.43998700665908724</v>
      </c>
      <c r="Q37" s="755">
        <v>0.664693915294988</v>
      </c>
      <c r="R37" s="755">
        <v>0.56800430918394829</v>
      </c>
      <c r="S37" s="755">
        <v>0.40394383029578729</v>
      </c>
      <c r="T37" s="755">
        <v>-3.6706586826347305</v>
      </c>
      <c r="U37" s="755">
        <v>-3.968253968253968E-3</v>
      </c>
      <c r="V37" s="755">
        <v>0.175787728026534</v>
      </c>
      <c r="W37" s="755">
        <v>1.6826923076923076E-2</v>
      </c>
      <c r="X37" s="755">
        <v>-5.5401662049861496E-3</v>
      </c>
      <c r="Y37" s="745"/>
      <c r="Z37" s="755"/>
      <c r="AA37" s="755"/>
      <c r="AB37" s="755"/>
      <c r="AC37" s="745"/>
      <c r="AD37" s="755"/>
      <c r="AE37" s="755"/>
      <c r="AF37" s="755"/>
      <c r="AG37" s="745"/>
      <c r="AH37" s="745"/>
      <c r="AI37" s="745"/>
      <c r="AJ37" s="745"/>
      <c r="AK37" s="745"/>
      <c r="AL37" s="745"/>
      <c r="AM37" s="745"/>
      <c r="AN37" s="745"/>
      <c r="AO37" s="745"/>
      <c r="AP37" s="242"/>
      <c r="AQ37" s="755">
        <v>0.58397763768288335</v>
      </c>
      <c r="AR37" s="755">
        <v>0.57930446641663824</v>
      </c>
      <c r="AS37" s="225">
        <v>1.9786842258583737</v>
      </c>
      <c r="AT37" s="755"/>
      <c r="AU37" s="242"/>
      <c r="AV37" s="755">
        <v>0.56739104140628149</v>
      </c>
      <c r="AW37" s="755">
        <v>0.54760419914769776</v>
      </c>
      <c r="AX37" s="755">
        <v>0.60363032388183646</v>
      </c>
      <c r="AY37" s="755">
        <v>0.5170606176134197</v>
      </c>
      <c r="AZ37" s="755">
        <v>8.8762214983713353E-2</v>
      </c>
      <c r="BA37" s="755">
        <v>0.37750254496097724</v>
      </c>
      <c r="BB37" s="755">
        <v>0.51939241999705055</v>
      </c>
      <c r="BC37" s="755">
        <v>0.49753446714300092</v>
      </c>
      <c r="BD37" s="745"/>
      <c r="BE37" s="754"/>
      <c r="BF37" s="754"/>
      <c r="BG37" s="754"/>
      <c r="BH37" s="722"/>
      <c r="BI37" s="207"/>
      <c r="BJ37" s="207"/>
      <c r="BM37" s="207"/>
    </row>
    <row r="38" spans="1:65" s="95" customFormat="1" ht="12.75" customHeight="1" x14ac:dyDescent="0.2">
      <c r="A38" s="7" t="s">
        <v>336</v>
      </c>
      <c r="B38" s="615"/>
      <c r="C38" s="225">
        <v>0.42604325977714658</v>
      </c>
      <c r="D38" s="755"/>
      <c r="E38" s="755"/>
      <c r="F38" s="755">
        <v>0</v>
      </c>
      <c r="G38" s="755">
        <v>0</v>
      </c>
      <c r="H38" s="755">
        <v>0</v>
      </c>
      <c r="I38" s="755">
        <v>0</v>
      </c>
      <c r="J38" s="755">
        <v>-4.2604325977714658E-3</v>
      </c>
      <c r="K38" s="755">
        <v>2.3161189358372456E-3</v>
      </c>
      <c r="L38" s="755">
        <v>0</v>
      </c>
      <c r="M38" s="755">
        <v>0</v>
      </c>
      <c r="N38" s="755">
        <v>1.5564202334630351E-3</v>
      </c>
      <c r="O38" s="755">
        <v>3.6859413537955604E-2</v>
      </c>
      <c r="P38" s="755">
        <v>1.3318174435601755E-2</v>
      </c>
      <c r="Q38" s="755">
        <v>4.9935269095616793E-3</v>
      </c>
      <c r="R38" s="755">
        <v>0</v>
      </c>
      <c r="S38" s="755">
        <v>0</v>
      </c>
      <c r="T38" s="755">
        <v>0</v>
      </c>
      <c r="U38" s="755">
        <v>0</v>
      </c>
      <c r="V38" s="755">
        <v>0</v>
      </c>
      <c r="W38" s="755">
        <v>0</v>
      </c>
      <c r="X38" s="755">
        <v>0</v>
      </c>
      <c r="Y38" s="745"/>
      <c r="Z38" s="755"/>
      <c r="AA38" s="755"/>
      <c r="AB38" s="755"/>
      <c r="AC38" s="745"/>
      <c r="AD38" s="755"/>
      <c r="AE38" s="755"/>
      <c r="AF38" s="755"/>
      <c r="AG38" s="745"/>
      <c r="AH38" s="745"/>
      <c r="AI38" s="745"/>
      <c r="AJ38" s="745"/>
      <c r="AK38" s="745"/>
      <c r="AL38" s="745"/>
      <c r="AM38" s="745"/>
      <c r="AN38" s="745"/>
      <c r="AO38" s="745"/>
      <c r="AP38" s="242"/>
      <c r="AQ38" s="755">
        <v>0</v>
      </c>
      <c r="AR38" s="755">
        <v>1.2615069894306172E-3</v>
      </c>
      <c r="AS38" s="225">
        <v>5.1969649724560862E-3</v>
      </c>
      <c r="AT38" s="755"/>
      <c r="AU38" s="242"/>
      <c r="AV38" s="755">
        <v>0</v>
      </c>
      <c r="AW38" s="755">
        <v>-5.1969649724560859E-5</v>
      </c>
      <c r="AX38" s="755">
        <v>1.5343852572468066E-2</v>
      </c>
      <c r="AY38" s="755">
        <v>0</v>
      </c>
      <c r="AZ38" s="755">
        <v>0</v>
      </c>
      <c r="BA38" s="755">
        <v>7.6348829317950456E-3</v>
      </c>
      <c r="BB38" s="755">
        <v>6.0905471169444038E-2</v>
      </c>
      <c r="BC38" s="755">
        <v>3.9851061688638424E-2</v>
      </c>
      <c r="BD38" s="745"/>
      <c r="BE38" s="754"/>
      <c r="BF38" s="754"/>
      <c r="BG38" s="754"/>
      <c r="BH38" s="722"/>
      <c r="BI38" s="207"/>
      <c r="BJ38" s="207"/>
      <c r="BM38" s="207"/>
    </row>
    <row r="39" spans="1:65" s="95" customFormat="1" ht="12.75" customHeight="1" x14ac:dyDescent="0.2">
      <c r="A39" s="143" t="s">
        <v>79</v>
      </c>
      <c r="B39" s="615"/>
      <c r="C39" s="225">
        <v>9.0708075143632723</v>
      </c>
      <c r="D39" s="35"/>
      <c r="E39" s="35"/>
      <c r="F39" s="35">
        <v>0.53248216297408935</v>
      </c>
      <c r="G39" s="35">
        <v>0.55454666844705569</v>
      </c>
      <c r="H39" s="35">
        <v>0.57051865332120111</v>
      </c>
      <c r="I39" s="35">
        <v>0.61124555160142346</v>
      </c>
      <c r="J39" s="35">
        <v>0.44177408783045663</v>
      </c>
      <c r="K39" s="35">
        <v>0.54785602503912367</v>
      </c>
      <c r="L39" s="35">
        <v>0.51902013897067478</v>
      </c>
      <c r="M39" s="35">
        <v>0.79543585526315785</v>
      </c>
      <c r="N39" s="35">
        <v>0.71564202334630356</v>
      </c>
      <c r="O39" s="35">
        <v>0.63606467525349408</v>
      </c>
      <c r="P39" s="35">
        <v>0.45330518109468898</v>
      </c>
      <c r="Q39" s="35">
        <v>0.66968744220454968</v>
      </c>
      <c r="R39" s="35">
        <v>0.56800430918394829</v>
      </c>
      <c r="S39" s="35">
        <v>0.40394383029578729</v>
      </c>
      <c r="T39" s="35">
        <v>-3.6706586826347305</v>
      </c>
      <c r="U39" s="35">
        <v>-3.968253968253968E-3</v>
      </c>
      <c r="V39" s="35">
        <v>0.175787728026534</v>
      </c>
      <c r="W39" s="35">
        <v>1.6826923076923076E-2</v>
      </c>
      <c r="X39" s="35">
        <v>-5.5401662049861496E-3</v>
      </c>
      <c r="Y39" s="35">
        <v>1.3157894736842105E-2</v>
      </c>
      <c r="Z39" s="35">
        <v>0.57469948483113908</v>
      </c>
      <c r="AA39" s="35">
        <v>3.003003003003003E-3</v>
      </c>
      <c r="AB39" s="35" t="e">
        <v>#REF!</v>
      </c>
      <c r="AC39" s="35" t="e">
        <v>#REF!</v>
      </c>
      <c r="AD39" s="35" t="e">
        <v>#REF!</v>
      </c>
      <c r="AE39" s="35" t="e">
        <v>#REF!</v>
      </c>
      <c r="AF39" s="35" t="e">
        <v>#REF!</v>
      </c>
      <c r="AG39" s="35" t="e">
        <v>#REF!</v>
      </c>
      <c r="AH39" s="35" t="e">
        <v>#REF!</v>
      </c>
      <c r="AI39" s="35" t="e">
        <v>#REF!</v>
      </c>
      <c r="AJ39" s="35" t="e">
        <v>#REF!</v>
      </c>
      <c r="AK39" s="35" t="e">
        <v>#REF!</v>
      </c>
      <c r="AL39" s="35" t="e">
        <v>#REF!</v>
      </c>
      <c r="AM39" s="35" t="e">
        <v>#REF!</v>
      </c>
      <c r="AN39" s="35" t="e">
        <v>#REF!</v>
      </c>
      <c r="AO39" s="35" t="e">
        <v>#REF!</v>
      </c>
      <c r="AP39" s="35"/>
      <c r="AQ39" s="35">
        <v>0.58397763768288335</v>
      </c>
      <c r="AR39" s="35">
        <v>0.58056597340606886</v>
      </c>
      <c r="AS39" s="225">
        <v>1.9338811908308329</v>
      </c>
      <c r="AT39" s="41"/>
      <c r="AU39" s="35"/>
      <c r="AV39" s="35">
        <v>0.56739104140628149</v>
      </c>
      <c r="AW39" s="35">
        <v>0.54805222949797316</v>
      </c>
      <c r="AX39" s="35">
        <v>0.61897417645430464</v>
      </c>
      <c r="AY39" s="35">
        <v>0.5170606176134197</v>
      </c>
      <c r="AZ39" s="35">
        <v>8.8762214983713353E-2</v>
      </c>
      <c r="BA39" s="35">
        <v>0.38530709195792329</v>
      </c>
      <c r="BB39" s="35">
        <v>0.58029789116649466</v>
      </c>
      <c r="BC39" s="35">
        <v>0.53738552883163937</v>
      </c>
      <c r="BD39" s="35">
        <v>0.30370510159149527</v>
      </c>
      <c r="BE39" s="305">
        <v>0.54700000000000004</v>
      </c>
      <c r="BF39" s="305">
        <v>0.56899999999999995</v>
      </c>
      <c r="BG39" s="305">
        <v>0.63900000000000001</v>
      </c>
      <c r="BH39" s="3"/>
      <c r="BI39" s="207"/>
      <c r="BJ39" s="207"/>
      <c r="BM39" s="207"/>
    </row>
    <row r="40" spans="1:65" s="95" customFormat="1" ht="12.75" customHeight="1" x14ac:dyDescent="0.2">
      <c r="A40" s="143" t="s">
        <v>224</v>
      </c>
      <c r="B40" s="615"/>
      <c r="C40" s="225">
        <v>0.90834833443286245</v>
      </c>
      <c r="D40" s="35"/>
      <c r="E40" s="35"/>
      <c r="F40" s="35">
        <v>0.59669545625234699</v>
      </c>
      <c r="G40" s="35">
        <v>0.64895179596741892</v>
      </c>
      <c r="H40" s="35">
        <v>0.63553643808420879</v>
      </c>
      <c r="I40" s="35">
        <v>0.67423487544483984</v>
      </c>
      <c r="J40" s="35">
        <v>0.58761197290801837</v>
      </c>
      <c r="K40" s="35">
        <v>0.53477308294209702</v>
      </c>
      <c r="L40" s="35">
        <v>0.66411494523613235</v>
      </c>
      <c r="M40" s="35">
        <v>1.002672697368421</v>
      </c>
      <c r="N40" s="35">
        <v>0.8745525291828794</v>
      </c>
      <c r="O40" s="35">
        <v>0.73554398465332971</v>
      </c>
      <c r="P40" s="35">
        <v>0.5544908234529804</v>
      </c>
      <c r="Q40" s="35">
        <v>0.74218605511374147</v>
      </c>
      <c r="R40" s="35">
        <v>0.70778346350659849</v>
      </c>
      <c r="S40" s="35">
        <v>0.49805796235434718</v>
      </c>
      <c r="T40" s="35">
        <v>-4.7125748502994016</v>
      </c>
      <c r="U40" s="35">
        <v>3.9047619047619047</v>
      </c>
      <c r="V40" s="35">
        <v>1.2205638474295191</v>
      </c>
      <c r="W40" s="35">
        <v>3.6057692307692304E-2</v>
      </c>
      <c r="X40" s="35">
        <v>1.662049861495845E-2</v>
      </c>
      <c r="Y40" s="35">
        <v>-3.2894736842105261E-2</v>
      </c>
      <c r="Z40" s="35">
        <v>0.57784773898111053</v>
      </c>
      <c r="AA40" s="35">
        <v>2.7027027027027029E-2</v>
      </c>
      <c r="AB40" s="35" t="e">
        <v>#REF!</v>
      </c>
      <c r="AC40" s="35" t="e">
        <v>#REF!</v>
      </c>
      <c r="AD40" s="35" t="e">
        <v>#REF!</v>
      </c>
      <c r="AE40" s="35" t="e">
        <v>#REF!</v>
      </c>
      <c r="AF40" s="35" t="e">
        <v>#REF!</v>
      </c>
      <c r="AG40" s="35" t="e">
        <v>#REF!</v>
      </c>
      <c r="AH40" s="35" t="e">
        <v>#REF!</v>
      </c>
      <c r="AI40" s="35" t="e">
        <v>#REF!</v>
      </c>
      <c r="AJ40" s="35" t="e">
        <v>#REF!</v>
      </c>
      <c r="AK40" s="35" t="e">
        <v>#REF!</v>
      </c>
      <c r="AL40" s="35" t="e">
        <v>#REF!</v>
      </c>
      <c r="AM40" s="35" t="e">
        <v>#REF!</v>
      </c>
      <c r="AN40" s="35" t="e">
        <v>#REF!</v>
      </c>
      <c r="AO40" s="35" t="e">
        <v>#REF!</v>
      </c>
      <c r="AP40" s="35"/>
      <c r="AQ40" s="35">
        <v>0.65469251813964557</v>
      </c>
      <c r="AR40" s="35">
        <v>0.64981247869076031</v>
      </c>
      <c r="AS40" s="225">
        <v>9.946227850139433E-2</v>
      </c>
      <c r="AT40" s="41"/>
      <c r="AU40" s="35"/>
      <c r="AV40" s="35">
        <v>0.636011772769423</v>
      </c>
      <c r="AW40" s="35">
        <v>0.63501714998440906</v>
      </c>
      <c r="AX40" s="35">
        <v>0.72820026100367774</v>
      </c>
      <c r="AY40" s="35">
        <v>0.73703774304231795</v>
      </c>
      <c r="AZ40" s="35">
        <v>0.62052117263843654</v>
      </c>
      <c r="BA40" s="35">
        <v>0.39107567017305733</v>
      </c>
      <c r="BB40" s="35">
        <v>0.58826131838961804</v>
      </c>
      <c r="BC40" s="35">
        <v>0.54211532655731109</v>
      </c>
      <c r="BD40" s="35">
        <v>0.30615839466566019</v>
      </c>
      <c r="BE40" s="305">
        <v>0.57299999999999995</v>
      </c>
      <c r="BF40" s="305">
        <v>0.64500000000000002</v>
      </c>
      <c r="BG40" s="305">
        <v>0.70799999999999996</v>
      </c>
      <c r="BH40" s="3"/>
      <c r="BI40" s="207"/>
      <c r="BJ40" s="207"/>
      <c r="BM40" s="207"/>
    </row>
    <row r="41" spans="1:65" s="95" customFormat="1" ht="12.75" customHeight="1" x14ac:dyDescent="0.2">
      <c r="A41" s="143" t="s">
        <v>80</v>
      </c>
      <c r="B41" s="615"/>
      <c r="C41" s="225">
        <v>43.312546613074296</v>
      </c>
      <c r="D41" s="35"/>
      <c r="E41" s="35"/>
      <c r="F41" s="35">
        <v>0.87839529352860179</v>
      </c>
      <c r="G41" s="35">
        <v>1.1319268260114834</v>
      </c>
      <c r="H41" s="35">
        <v>0.34320456613450245</v>
      </c>
      <c r="I41" s="35">
        <v>0.2608540925266904</v>
      </c>
      <c r="J41" s="35">
        <v>0.44526982739785886</v>
      </c>
      <c r="K41" s="35">
        <v>0.22284820031298905</v>
      </c>
      <c r="L41" s="35">
        <v>0.403957131079967</v>
      </c>
      <c r="M41" s="35">
        <v>0.90892269736842102</v>
      </c>
      <c r="N41" s="35">
        <v>0.56420233463035019</v>
      </c>
      <c r="O41" s="35">
        <v>0.61866264730063036</v>
      </c>
      <c r="P41" s="35">
        <v>0.66201071950625301</v>
      </c>
      <c r="Q41" s="35">
        <v>0.73515812835213612</v>
      </c>
      <c r="R41" s="35">
        <v>0.96875841637489901</v>
      </c>
      <c r="S41" s="35">
        <v>0.59590678219300863</v>
      </c>
      <c r="T41" s="35">
        <v>-5.6407185628742518</v>
      </c>
      <c r="U41" s="35">
        <v>4.1825396825396828</v>
      </c>
      <c r="V41" s="35">
        <v>0.96351575456053073</v>
      </c>
      <c r="W41" s="35">
        <v>0.32692307692307693</v>
      </c>
      <c r="X41" s="35">
        <v>7.7562326869806089E-2</v>
      </c>
      <c r="Y41" s="35">
        <v>-0.25</v>
      </c>
      <c r="Z41" s="35">
        <v>-7.8706353749284488E-2</v>
      </c>
      <c r="AA41" s="35">
        <v>0.50150150150150152</v>
      </c>
      <c r="AB41" s="35" t="e">
        <v>#REF!</v>
      </c>
      <c r="AC41" s="35" t="e">
        <v>#REF!</v>
      </c>
      <c r="AD41" s="35" t="e">
        <v>#REF!</v>
      </c>
      <c r="AE41" s="35" t="e">
        <v>#REF!</v>
      </c>
      <c r="AF41" s="35" t="e">
        <v>#REF!</v>
      </c>
      <c r="AG41" s="35" t="e">
        <v>#REF!</v>
      </c>
      <c r="AH41" s="35" t="e">
        <v>#REF!</v>
      </c>
      <c r="AI41" s="35" t="e">
        <v>#REF!</v>
      </c>
      <c r="AJ41" s="35" t="e">
        <v>#REF!</v>
      </c>
      <c r="AK41" s="35" t="e">
        <v>#REF!</v>
      </c>
      <c r="AL41" s="35" t="e">
        <v>#REF!</v>
      </c>
      <c r="AM41" s="35" t="e">
        <v>#REF!</v>
      </c>
      <c r="AN41" s="35" t="e">
        <v>#REF!</v>
      </c>
      <c r="AO41" s="35" t="e">
        <v>#REF!</v>
      </c>
      <c r="AP41" s="35"/>
      <c r="AQ41" s="35">
        <v>0.48444748423932438</v>
      </c>
      <c r="AR41" s="35">
        <v>0.38905557449710193</v>
      </c>
      <c r="AS41" s="225">
        <v>-8.4098554629396585</v>
      </c>
      <c r="AT41" s="41"/>
      <c r="AU41" s="35"/>
      <c r="AV41" s="35">
        <v>0.31832842801274042</v>
      </c>
      <c r="AW41" s="35">
        <v>0.402426982642137</v>
      </c>
      <c r="AX41" s="35">
        <v>0.64028947680626414</v>
      </c>
      <c r="AY41" s="35">
        <v>0.91326725123903929</v>
      </c>
      <c r="AZ41" s="35">
        <v>0.6376221498371335</v>
      </c>
      <c r="BA41" s="35">
        <v>2.5110281642348152E-2</v>
      </c>
      <c r="BB41" s="35">
        <v>3.2886005014009734E-2</v>
      </c>
      <c r="BC41" s="35">
        <v>1.1975445305424172E-2</v>
      </c>
      <c r="BD41" s="35">
        <v>7.8631188274517205E-3</v>
      </c>
      <c r="BE41" s="318">
        <v>9.4E-2</v>
      </c>
      <c r="BF41" s="318">
        <v>9.2999999999999999E-2</v>
      </c>
      <c r="BG41" s="318">
        <v>0.104</v>
      </c>
      <c r="BH41" s="3"/>
      <c r="BI41" s="207"/>
      <c r="BJ41" s="207"/>
      <c r="BM41" s="207"/>
    </row>
    <row r="42" spans="1:65" s="95" customFormat="1" ht="12.75" customHeight="1" x14ac:dyDescent="0.2">
      <c r="A42" s="143" t="s">
        <v>81</v>
      </c>
      <c r="B42" s="615"/>
      <c r="C42" s="225">
        <v>44.220894947507162</v>
      </c>
      <c r="D42" s="35"/>
      <c r="E42" s="35"/>
      <c r="F42" s="35">
        <v>1.4750907497809489</v>
      </c>
      <c r="G42" s="35">
        <v>1.7808786219789023</v>
      </c>
      <c r="H42" s="35">
        <v>0.97874100421871124</v>
      </c>
      <c r="I42" s="35">
        <v>0.93508896797153029</v>
      </c>
      <c r="J42" s="35">
        <v>1.0328818003058773</v>
      </c>
      <c r="K42" s="35">
        <v>0.75762128325508604</v>
      </c>
      <c r="L42" s="35">
        <v>1.0680720763160994</v>
      </c>
      <c r="M42" s="35">
        <v>1.911595394736842</v>
      </c>
      <c r="N42" s="35">
        <v>1.4387548638132295</v>
      </c>
      <c r="O42" s="35">
        <v>1.3542066319539601</v>
      </c>
      <c r="P42" s="35">
        <v>1.2165015429592334</v>
      </c>
      <c r="Q42" s="35">
        <v>1.4773441834658776</v>
      </c>
      <c r="R42" s="35">
        <v>1.6765418798814975</v>
      </c>
      <c r="S42" s="35">
        <v>1.0939647445473559</v>
      </c>
      <c r="T42" s="35">
        <v>-10.353293413173652</v>
      </c>
      <c r="U42" s="35">
        <v>8.087301587301587</v>
      </c>
      <c r="V42" s="35">
        <v>2.1840796019900499</v>
      </c>
      <c r="W42" s="35">
        <v>0.36298076923076922</v>
      </c>
      <c r="X42" s="35">
        <v>9.4182825484764546E-2</v>
      </c>
      <c r="Y42" s="35">
        <v>-0.28289473684210525</v>
      </c>
      <c r="Z42" s="35">
        <v>0.499141385231826</v>
      </c>
      <c r="AA42" s="35">
        <v>0.5285285285285285</v>
      </c>
      <c r="AB42" s="35" t="e">
        <v>#REF!</v>
      </c>
      <c r="AC42" s="35" t="e">
        <v>#REF!</v>
      </c>
      <c r="AD42" s="35" t="e">
        <v>#REF!</v>
      </c>
      <c r="AE42" s="35" t="e">
        <v>#REF!</v>
      </c>
      <c r="AF42" s="35" t="e">
        <v>#REF!</v>
      </c>
      <c r="AG42" s="35" t="e">
        <v>#REF!</v>
      </c>
      <c r="AH42" s="35" t="e">
        <v>#REF!</v>
      </c>
      <c r="AI42" s="35" t="e">
        <v>#REF!</v>
      </c>
      <c r="AJ42" s="35" t="e">
        <v>#REF!</v>
      </c>
      <c r="AK42" s="35" t="e">
        <v>#REF!</v>
      </c>
      <c r="AL42" s="35" t="e">
        <v>#REF!</v>
      </c>
      <c r="AM42" s="35" t="e">
        <v>#REF!</v>
      </c>
      <c r="AN42" s="35" t="e">
        <v>#REF!</v>
      </c>
      <c r="AO42" s="35" t="e">
        <v>#REF!</v>
      </c>
      <c r="AP42" s="35"/>
      <c r="AQ42" s="35">
        <v>1.13914000237897</v>
      </c>
      <c r="AR42" s="35">
        <v>1.0388680531878622</v>
      </c>
      <c r="AS42" s="225">
        <v>20.990497836809176</v>
      </c>
      <c r="AT42" s="41"/>
      <c r="AU42" s="35"/>
      <c r="AV42" s="35">
        <v>1.2473491109946377</v>
      </c>
      <c r="AW42" s="35">
        <v>1.037444132626546</v>
      </c>
      <c r="AX42" s="35">
        <v>1.3684897378099419</v>
      </c>
      <c r="AY42" s="35">
        <v>1.6503049942813572</v>
      </c>
      <c r="AZ42" s="35">
        <v>1.25814332247557</v>
      </c>
      <c r="BA42" s="35">
        <v>0.41618595181540552</v>
      </c>
      <c r="BB42" s="35">
        <v>0.62114732340362777</v>
      </c>
      <c r="BC42" s="35">
        <v>0.55409077186273525</v>
      </c>
      <c r="BD42" s="35">
        <v>0.31402151349311191</v>
      </c>
      <c r="BE42" s="318">
        <v>0.66699999999999993</v>
      </c>
      <c r="BF42" s="318">
        <v>0.73799999999999999</v>
      </c>
      <c r="BG42" s="318">
        <v>0.81199999999999994</v>
      </c>
      <c r="BH42" s="3"/>
      <c r="BI42" s="207"/>
      <c r="BJ42" s="207"/>
      <c r="BM42" s="207"/>
    </row>
    <row r="43" spans="1:65" s="95" customFormat="1" ht="12.75" customHeight="1" x14ac:dyDescent="0.2">
      <c r="A43" s="143" t="s">
        <v>82</v>
      </c>
      <c r="B43" s="615"/>
      <c r="C43" s="225">
        <v>-44.220894947507155</v>
      </c>
      <c r="D43" s="35"/>
      <c r="E43" s="35"/>
      <c r="F43" s="35">
        <v>-0.47509074978094878</v>
      </c>
      <c r="G43" s="35">
        <v>-0.78087862197890234</v>
      </c>
      <c r="H43" s="35">
        <v>2.1258995781288776E-2</v>
      </c>
      <c r="I43" s="35">
        <v>6.4911032028469748E-2</v>
      </c>
      <c r="J43" s="35">
        <v>-3.2881800305877215E-2</v>
      </c>
      <c r="K43" s="35">
        <v>0.24237871674491393</v>
      </c>
      <c r="L43" s="35">
        <v>-6.8072076316099406E-2</v>
      </c>
      <c r="M43" s="35">
        <v>-0.91159539473684215</v>
      </c>
      <c r="N43" s="35">
        <v>-0.43875486381322959</v>
      </c>
      <c r="O43" s="35">
        <v>-0.35420663195396002</v>
      </c>
      <c r="P43" s="35">
        <v>-0.21650154295923341</v>
      </c>
      <c r="Q43" s="35">
        <v>-0.47734418346587759</v>
      </c>
      <c r="R43" s="35">
        <v>-0.67654187988149739</v>
      </c>
      <c r="S43" s="35">
        <v>-9.3964744547355844E-2</v>
      </c>
      <c r="T43" s="35">
        <v>11.353293413173652</v>
      </c>
      <c r="U43" s="35">
        <v>-7.087301587301587</v>
      </c>
      <c r="V43" s="35">
        <v>-1.1840796019900497</v>
      </c>
      <c r="W43" s="35">
        <v>0.63701923076923073</v>
      </c>
      <c r="X43" s="35">
        <v>0.90581717451523547</v>
      </c>
      <c r="Y43" s="35">
        <v>1.2828947368421053</v>
      </c>
      <c r="Z43" s="35">
        <v>0.50085861476817406</v>
      </c>
      <c r="AA43" s="35">
        <v>0.47147147147147145</v>
      </c>
      <c r="AB43" s="35" t="e">
        <v>#REF!</v>
      </c>
      <c r="AC43" s="35" t="e">
        <v>#REF!</v>
      </c>
      <c r="AD43" s="35" t="e">
        <v>#REF!</v>
      </c>
      <c r="AE43" s="35" t="e">
        <v>#REF!</v>
      </c>
      <c r="AF43" s="35" t="e">
        <v>#REF!</v>
      </c>
      <c r="AG43" s="35" t="e">
        <v>#REF!</v>
      </c>
      <c r="AH43" s="35" t="e">
        <v>#REF!</v>
      </c>
      <c r="AI43" s="35" t="e">
        <v>#REF!</v>
      </c>
      <c r="AJ43" s="35" t="e">
        <v>#REF!</v>
      </c>
      <c r="AK43" s="35" t="e">
        <v>#REF!</v>
      </c>
      <c r="AL43" s="35" t="e">
        <v>#REF!</v>
      </c>
      <c r="AM43" s="35" t="e">
        <v>#REF!</v>
      </c>
      <c r="AN43" s="35" t="e">
        <v>#REF!</v>
      </c>
      <c r="AO43" s="35" t="e">
        <v>#REF!</v>
      </c>
      <c r="AP43" s="35"/>
      <c r="AQ43" s="35">
        <v>-0.1391400023789699</v>
      </c>
      <c r="AR43" s="35">
        <v>-3.886805318786226E-2</v>
      </c>
      <c r="AS43" s="225">
        <v>-20.990497836809162</v>
      </c>
      <c r="AT43" s="41"/>
      <c r="AU43" s="35"/>
      <c r="AV43" s="35">
        <v>-0.24734911099463774</v>
      </c>
      <c r="AW43" s="35">
        <v>-3.7444132626546098E-2</v>
      </c>
      <c r="AX43" s="35">
        <v>-0.36848973780994188</v>
      </c>
      <c r="AY43" s="35">
        <v>-0.65030499428135724</v>
      </c>
      <c r="AZ43" s="35">
        <v>-0.25814332247557004</v>
      </c>
      <c r="BA43" s="35">
        <v>0.58381404818459448</v>
      </c>
      <c r="BB43" s="35">
        <v>0.37885267659637223</v>
      </c>
      <c r="BC43" s="35">
        <v>0.44590922813726475</v>
      </c>
      <c r="BD43" s="35">
        <v>0.68597848650688809</v>
      </c>
      <c r="BE43" s="305">
        <v>0.33309769658459093</v>
      </c>
      <c r="BF43" s="305">
        <v>0.26208975794642086</v>
      </c>
      <c r="BG43" s="305">
        <v>0.18800000000000006</v>
      </c>
      <c r="BH43" s="3"/>
      <c r="BI43" s="207"/>
      <c r="BJ43" s="207"/>
      <c r="BM43" s="207"/>
    </row>
    <row r="44" spans="1:65" s="95" customFormat="1" ht="12.75" customHeight="1" x14ac:dyDescent="0.2">
      <c r="A44" s="141"/>
      <c r="B44" s="615"/>
      <c r="C44" s="35"/>
      <c r="D44" s="35"/>
      <c r="E44" s="35"/>
      <c r="F44" s="724"/>
      <c r="G44" s="724"/>
      <c r="H44" s="724"/>
      <c r="I44" s="724"/>
      <c r="J44" s="724"/>
      <c r="K44" s="724"/>
      <c r="L44" s="724"/>
      <c r="M44" s="724"/>
      <c r="N44" s="724"/>
      <c r="O44" s="724"/>
      <c r="P44" s="724"/>
      <c r="Q44" s="724"/>
      <c r="R44" s="35"/>
      <c r="S44" s="35"/>
      <c r="T44" s="35"/>
      <c r="U44" s="82"/>
      <c r="V44" s="35"/>
      <c r="W44" s="35"/>
      <c r="X44" s="35"/>
      <c r="Y44" s="82"/>
      <c r="Z44" s="35"/>
      <c r="AA44" s="35"/>
      <c r="AB44" s="35"/>
      <c r="AC44" s="82"/>
      <c r="AD44" s="35"/>
      <c r="AE44" s="35"/>
      <c r="AF44" s="35"/>
      <c r="AG44" s="82"/>
      <c r="AH44" s="82"/>
      <c r="AI44" s="82"/>
      <c r="AJ44" s="82"/>
      <c r="AK44" s="82"/>
      <c r="AL44" s="82"/>
      <c r="AM44" s="82"/>
      <c r="AN44" s="82"/>
      <c r="AO44" s="82"/>
      <c r="AP44" s="35"/>
      <c r="AQ44" s="35"/>
      <c r="AR44" s="35"/>
      <c r="AS44" s="251"/>
      <c r="AT44" s="41"/>
      <c r="AU44" s="35"/>
      <c r="AV44" s="734"/>
      <c r="AW44" s="734"/>
      <c r="AX44" s="734"/>
      <c r="AY44" s="267"/>
      <c r="AZ44" s="267"/>
      <c r="BA44" s="35"/>
      <c r="BB44" s="35"/>
      <c r="BC44" s="35"/>
      <c r="BD44" s="35"/>
      <c r="BE44" s="305"/>
      <c r="BF44" s="305"/>
      <c r="BG44" s="305"/>
      <c r="BH44" s="3"/>
      <c r="BI44" s="207"/>
      <c r="BJ44" s="207"/>
      <c r="BM44" s="207"/>
    </row>
    <row r="45" spans="1:65" s="95" customFormat="1" ht="12.75" customHeight="1" x14ac:dyDescent="0.2">
      <c r="A45" s="82" t="s">
        <v>94</v>
      </c>
      <c r="B45" s="615"/>
      <c r="C45" s="165">
        <v>1</v>
      </c>
      <c r="D45" s="41">
        <v>9.9009900990099011E-3</v>
      </c>
      <c r="E45" s="41"/>
      <c r="F45" s="178">
        <v>102</v>
      </c>
      <c r="G45" s="178">
        <v>100</v>
      </c>
      <c r="H45" s="178">
        <v>99</v>
      </c>
      <c r="I45" s="178">
        <v>101</v>
      </c>
      <c r="J45" s="178">
        <v>101</v>
      </c>
      <c r="K45" s="178">
        <v>102</v>
      </c>
      <c r="L45" s="620">
        <v>100</v>
      </c>
      <c r="M45" s="620">
        <v>98</v>
      </c>
      <c r="N45" s="620">
        <v>98</v>
      </c>
      <c r="O45" s="620">
        <v>99</v>
      </c>
      <c r="P45" s="620">
        <v>96</v>
      </c>
      <c r="Q45" s="620">
        <v>93</v>
      </c>
      <c r="R45" s="620">
        <v>80</v>
      </c>
      <c r="S45" s="620">
        <v>69</v>
      </c>
      <c r="T45" s="620">
        <v>36</v>
      </c>
      <c r="U45" s="178">
        <v>36</v>
      </c>
      <c r="V45" s="178">
        <v>41</v>
      </c>
      <c r="W45" s="178">
        <v>1</v>
      </c>
      <c r="X45" s="178">
        <v>1</v>
      </c>
      <c r="Y45" s="178">
        <v>1</v>
      </c>
      <c r="Z45" s="178">
        <v>1</v>
      </c>
      <c r="AA45" s="178">
        <v>1</v>
      </c>
      <c r="AB45" s="178">
        <v>1</v>
      </c>
      <c r="AC45" s="178">
        <v>7</v>
      </c>
      <c r="AD45" s="146">
        <v>114</v>
      </c>
      <c r="AE45" s="82">
        <v>117</v>
      </c>
      <c r="AF45" s="142">
        <v>127</v>
      </c>
      <c r="AG45" s="82">
        <v>125</v>
      </c>
      <c r="AH45" s="82">
        <v>125</v>
      </c>
      <c r="AI45" s="82">
        <v>116</v>
      </c>
      <c r="AJ45" s="82">
        <v>109</v>
      </c>
      <c r="AK45" s="82">
        <v>104</v>
      </c>
      <c r="AL45" s="82">
        <v>93</v>
      </c>
      <c r="AM45" s="82">
        <v>95</v>
      </c>
      <c r="AN45" s="82">
        <v>89</v>
      </c>
      <c r="AO45" s="82">
        <v>88</v>
      </c>
      <c r="AP45" s="242"/>
      <c r="AQ45" s="1359">
        <v>100</v>
      </c>
      <c r="AR45" s="676">
        <v>102</v>
      </c>
      <c r="AS45" s="251">
        <v>1</v>
      </c>
      <c r="AT45" s="41">
        <v>9.9009900990099011E-3</v>
      </c>
      <c r="AU45" s="242"/>
      <c r="AV45" s="734">
        <v>102</v>
      </c>
      <c r="AW45" s="734">
        <v>101</v>
      </c>
      <c r="AX45" s="734">
        <v>98</v>
      </c>
      <c r="AY45" s="267">
        <v>80</v>
      </c>
      <c r="AZ45" s="267">
        <v>41</v>
      </c>
      <c r="BA45" s="734">
        <v>1</v>
      </c>
      <c r="BB45" s="734">
        <v>9</v>
      </c>
      <c r="BC45" s="678">
        <v>1</v>
      </c>
      <c r="BD45" s="678">
        <v>1</v>
      </c>
      <c r="BE45" s="299">
        <v>81</v>
      </c>
      <c r="BF45" s="299">
        <v>70</v>
      </c>
      <c r="BG45" s="299">
        <v>52</v>
      </c>
      <c r="BH45" s="3"/>
      <c r="BI45" s="207"/>
      <c r="BJ45" s="207"/>
      <c r="BM45" s="207"/>
    </row>
    <row r="46" spans="1:65" s="95" customFormat="1" ht="12.75" customHeight="1" x14ac:dyDescent="0.2">
      <c r="A46" s="82"/>
      <c r="B46" s="615"/>
      <c r="C46" s="165"/>
      <c r="D46" s="41"/>
      <c r="E46" s="41"/>
      <c r="F46" s="724"/>
      <c r="G46" s="724"/>
      <c r="H46" s="724"/>
      <c r="I46" s="724"/>
      <c r="J46" s="724"/>
      <c r="K46" s="724"/>
      <c r="L46" s="724"/>
      <c r="M46" s="724"/>
      <c r="N46" s="724"/>
      <c r="O46" s="724"/>
      <c r="P46" s="724"/>
      <c r="Q46" s="724"/>
      <c r="R46" s="146"/>
      <c r="S46" s="82"/>
      <c r="T46" s="82"/>
      <c r="U46" s="82"/>
      <c r="V46" s="146"/>
      <c r="W46" s="82"/>
      <c r="X46" s="142"/>
      <c r="Y46" s="82"/>
      <c r="Z46" s="146"/>
      <c r="AA46" s="82"/>
      <c r="AB46" s="142"/>
      <c r="AC46" s="82"/>
      <c r="AD46" s="146"/>
      <c r="AE46" s="82"/>
      <c r="AF46" s="142"/>
      <c r="AG46" s="82"/>
      <c r="AH46" s="82"/>
      <c r="AI46" s="82"/>
      <c r="AJ46" s="82"/>
      <c r="AK46" s="82"/>
      <c r="AL46" s="82"/>
      <c r="AM46" s="82"/>
      <c r="AN46" s="82"/>
      <c r="AO46" s="82"/>
      <c r="AP46" s="242"/>
      <c r="AQ46" s="242"/>
      <c r="AR46" s="242"/>
      <c r="AS46" s="251"/>
      <c r="AT46" s="41"/>
      <c r="AU46" s="242"/>
      <c r="AV46" s="734"/>
      <c r="AW46" s="734"/>
      <c r="AX46" s="734"/>
      <c r="AY46" s="267"/>
      <c r="AZ46" s="267"/>
      <c r="BA46" s="687"/>
      <c r="BB46" s="687"/>
      <c r="BC46" s="82"/>
      <c r="BD46" s="82"/>
      <c r="BE46" s="299"/>
      <c r="BF46" s="299"/>
      <c r="BG46" s="299"/>
      <c r="BH46" s="3"/>
      <c r="BI46" s="207"/>
      <c r="BJ46" s="207"/>
      <c r="BM46" s="207"/>
    </row>
    <row r="47" spans="1:65" ht="18" customHeight="1" x14ac:dyDescent="0.2">
      <c r="A47" s="12" t="s">
        <v>267</v>
      </c>
      <c r="B47" s="7"/>
      <c r="C47" s="82"/>
      <c r="D47" s="82"/>
      <c r="E47" s="146"/>
      <c r="F47" s="725"/>
      <c r="G47" s="725"/>
      <c r="H47" s="725"/>
      <c r="I47" s="725"/>
      <c r="J47" s="725"/>
      <c r="K47" s="725"/>
      <c r="L47" s="725"/>
      <c r="M47" s="725"/>
      <c r="N47" s="725"/>
      <c r="O47" s="725"/>
      <c r="P47" s="725"/>
      <c r="Q47" s="725"/>
      <c r="R47" s="146"/>
      <c r="S47" s="146"/>
      <c r="T47" s="146"/>
      <c r="U47" s="146"/>
      <c r="V47" s="146"/>
      <c r="W47" s="146"/>
      <c r="X47" s="146"/>
      <c r="Y47" s="146"/>
      <c r="Z47" s="146"/>
      <c r="AA47" s="146"/>
      <c r="AB47" s="146"/>
      <c r="AC47" s="146"/>
      <c r="AD47" s="146"/>
      <c r="AE47" s="146"/>
      <c r="AF47" s="146"/>
      <c r="AG47" s="146"/>
      <c r="AH47" s="146"/>
      <c r="AI47" s="146"/>
      <c r="AJ47" s="82"/>
      <c r="AK47" s="82"/>
      <c r="AL47" s="82"/>
      <c r="AM47" s="82"/>
      <c r="AN47" s="82"/>
      <c r="AO47" s="82"/>
      <c r="AP47" s="82"/>
      <c r="AQ47" s="82"/>
      <c r="AR47" s="82"/>
      <c r="AS47" s="559"/>
      <c r="AT47" s="559"/>
      <c r="AU47" s="82"/>
      <c r="AV47" s="581"/>
      <c r="AW47" s="581"/>
      <c r="AX47" s="581"/>
      <c r="AY47" s="581"/>
      <c r="AZ47" s="559"/>
      <c r="BA47" s="82"/>
      <c r="BB47" s="82"/>
      <c r="BC47" s="82"/>
      <c r="BD47" s="82"/>
      <c r="BE47" s="304"/>
      <c r="BF47" s="304"/>
      <c r="BG47" s="304"/>
      <c r="BH47" s="3"/>
      <c r="BI47" s="3"/>
      <c r="BJ47" s="3"/>
      <c r="BM47" s="3"/>
    </row>
    <row r="48" spans="1:65" ht="12.75" customHeight="1" x14ac:dyDescent="0.2">
      <c r="A48" s="190"/>
      <c r="B48" s="7"/>
      <c r="C48" s="82"/>
      <c r="D48" s="82"/>
      <c r="E48" s="146"/>
      <c r="F48" s="725"/>
      <c r="G48" s="725"/>
      <c r="H48" s="725"/>
      <c r="I48" s="725"/>
      <c r="J48" s="725"/>
      <c r="K48" s="725"/>
      <c r="L48" s="725"/>
      <c r="M48" s="725"/>
      <c r="N48" s="725"/>
      <c r="O48" s="725"/>
      <c r="P48" s="725"/>
      <c r="Q48" s="725"/>
      <c r="R48" s="401"/>
      <c r="S48" s="146"/>
      <c r="T48" s="146"/>
      <c r="U48" s="146"/>
      <c r="V48" s="401"/>
      <c r="W48" s="146"/>
      <c r="X48" s="401"/>
      <c r="Y48" s="146"/>
      <c r="Z48" s="401"/>
      <c r="AA48" s="146"/>
      <c r="AB48" s="401"/>
      <c r="AC48" s="146"/>
      <c r="AD48" s="401"/>
      <c r="AE48" s="146"/>
      <c r="AF48" s="146"/>
      <c r="AG48" s="146"/>
      <c r="AH48" s="146"/>
      <c r="AI48" s="146"/>
      <c r="AJ48" s="82"/>
      <c r="AK48" s="82"/>
      <c r="AL48" s="82"/>
      <c r="AM48" s="82"/>
      <c r="AN48" s="82"/>
      <c r="AO48" s="82"/>
      <c r="AP48" s="82"/>
      <c r="AQ48" s="82"/>
      <c r="AR48" s="82"/>
      <c r="AS48" s="559"/>
      <c r="AT48" s="559"/>
      <c r="AU48" s="82"/>
      <c r="AV48" s="559"/>
      <c r="AW48" s="559"/>
      <c r="AX48" s="559"/>
      <c r="AY48" s="559"/>
      <c r="AZ48" s="559"/>
      <c r="BA48" s="82"/>
      <c r="BB48" s="82"/>
      <c r="BC48" s="82"/>
      <c r="BD48" s="82"/>
      <c r="BE48" s="304"/>
      <c r="BF48" s="304"/>
      <c r="BG48" s="304"/>
      <c r="BH48" s="3"/>
      <c r="BI48" s="3"/>
      <c r="BJ48" s="3"/>
      <c r="BM48" s="3"/>
    </row>
    <row r="49" spans="1:65" ht="12.75" customHeight="1" x14ac:dyDescent="0.2">
      <c r="A49" s="6"/>
      <c r="B49" s="7"/>
      <c r="C49" s="1479" t="s">
        <v>447</v>
      </c>
      <c r="D49" s="1480"/>
      <c r="E49" s="256"/>
      <c r="F49" s="410"/>
      <c r="G49" s="410"/>
      <c r="H49" s="993"/>
      <c r="I49" s="1205"/>
      <c r="J49" s="410"/>
      <c r="K49" s="410"/>
      <c r="L49" s="993"/>
      <c r="M49" s="1205"/>
      <c r="N49" s="993"/>
      <c r="O49" s="993"/>
      <c r="P49" s="993"/>
      <c r="Q49" s="1205"/>
      <c r="R49" s="993"/>
      <c r="S49" s="993"/>
      <c r="T49" s="993"/>
      <c r="U49" s="993"/>
      <c r="V49" s="1102"/>
      <c r="W49" s="993"/>
      <c r="X49" s="993"/>
      <c r="Y49" s="993"/>
      <c r="Z49" s="1102"/>
      <c r="AA49" s="993"/>
      <c r="AB49" s="993"/>
      <c r="AC49" s="993"/>
      <c r="AD49" s="1102"/>
      <c r="AE49" s="993"/>
      <c r="AF49" s="1205"/>
      <c r="AG49" s="1205"/>
      <c r="AH49" s="1205"/>
      <c r="AI49" s="992"/>
      <c r="AJ49" s="992"/>
      <c r="AK49" s="952"/>
      <c r="AL49" s="992"/>
      <c r="AM49" s="952"/>
      <c r="AN49" s="952"/>
      <c r="AO49" s="992"/>
      <c r="AP49" s="991"/>
      <c r="AQ49" s="661" t="s">
        <v>340</v>
      </c>
      <c r="AR49" s="647"/>
      <c r="AS49" s="647" t="s">
        <v>432</v>
      </c>
      <c r="AT49" s="648"/>
      <c r="AU49" s="15"/>
      <c r="AV49" s="1443"/>
      <c r="AW49" s="1395"/>
      <c r="AX49" s="1395"/>
      <c r="AY49" s="694"/>
      <c r="AZ49" s="704"/>
      <c r="BA49" s="87"/>
      <c r="BB49" s="87"/>
      <c r="BC49" s="191"/>
      <c r="BD49" s="191"/>
      <c r="BE49" s="87"/>
      <c r="BF49" s="87"/>
      <c r="BG49" s="1443"/>
      <c r="BH49" s="25"/>
      <c r="BI49" s="3"/>
      <c r="BJ49" s="3"/>
      <c r="BM49" s="3"/>
    </row>
    <row r="50" spans="1:65" ht="12.75" customHeight="1" x14ac:dyDescent="0.2">
      <c r="A50" s="6" t="s">
        <v>101</v>
      </c>
      <c r="B50" s="626"/>
      <c r="C50" s="1481" t="s">
        <v>39</v>
      </c>
      <c r="D50" s="1482"/>
      <c r="E50" s="530"/>
      <c r="F50" s="21" t="s">
        <v>425</v>
      </c>
      <c r="G50" s="21" t="s">
        <v>426</v>
      </c>
      <c r="H50" s="21" t="s">
        <v>427</v>
      </c>
      <c r="I50" s="14" t="s">
        <v>428</v>
      </c>
      <c r="J50" s="21" t="s">
        <v>363</v>
      </c>
      <c r="K50" s="964" t="s">
        <v>362</v>
      </c>
      <c r="L50" s="964" t="s">
        <v>361</v>
      </c>
      <c r="M50" s="965" t="s">
        <v>359</v>
      </c>
      <c r="N50" s="964" t="s">
        <v>302</v>
      </c>
      <c r="O50" s="964" t="s">
        <v>303</v>
      </c>
      <c r="P50" s="964" t="s">
        <v>304</v>
      </c>
      <c r="Q50" s="965" t="s">
        <v>305</v>
      </c>
      <c r="R50" s="964" t="s">
        <v>231</v>
      </c>
      <c r="S50" s="964" t="s">
        <v>232</v>
      </c>
      <c r="T50" s="964" t="s">
        <v>233</v>
      </c>
      <c r="U50" s="965" t="s">
        <v>230</v>
      </c>
      <c r="V50" s="966" t="s">
        <v>194</v>
      </c>
      <c r="W50" s="964" t="s">
        <v>195</v>
      </c>
      <c r="X50" s="964" t="s">
        <v>196</v>
      </c>
      <c r="Y50" s="964" t="e">
        <v>#REF!</v>
      </c>
      <c r="Z50" s="966" t="s">
        <v>126</v>
      </c>
      <c r="AA50" s="964" t="s">
        <v>125</v>
      </c>
      <c r="AB50" s="964" t="s">
        <v>124</v>
      </c>
      <c r="AC50" s="964" t="s">
        <v>123</v>
      </c>
      <c r="AD50" s="966" t="s">
        <v>86</v>
      </c>
      <c r="AE50" s="964" t="s">
        <v>87</v>
      </c>
      <c r="AF50" s="965" t="s">
        <v>88</v>
      </c>
      <c r="AG50" s="965" t="s">
        <v>30</v>
      </c>
      <c r="AH50" s="965" t="s">
        <v>30</v>
      </c>
      <c r="AI50" s="992"/>
      <c r="AJ50" s="992"/>
      <c r="AK50" s="952"/>
      <c r="AL50" s="992"/>
      <c r="AM50" s="952"/>
      <c r="AN50" s="952"/>
      <c r="AO50" s="992"/>
      <c r="AP50" s="991"/>
      <c r="AQ50" s="21" t="s">
        <v>426</v>
      </c>
      <c r="AR50" s="21" t="s">
        <v>362</v>
      </c>
      <c r="AS50" s="1494" t="s">
        <v>39</v>
      </c>
      <c r="AT50" s="1482"/>
      <c r="AU50" s="194"/>
      <c r="AV50" s="20" t="s">
        <v>446</v>
      </c>
      <c r="AW50" s="20" t="s">
        <v>365</v>
      </c>
      <c r="AX50" s="229" t="s">
        <v>307</v>
      </c>
      <c r="AY50" s="229" t="s">
        <v>235</v>
      </c>
      <c r="AZ50" s="229" t="s">
        <v>128</v>
      </c>
      <c r="BA50" s="23" t="s">
        <v>127</v>
      </c>
      <c r="BB50" s="23" t="s">
        <v>43</v>
      </c>
      <c r="BC50" s="23" t="s">
        <v>40</v>
      </c>
      <c r="BD50" s="23" t="s">
        <v>41</v>
      </c>
      <c r="BE50" s="23" t="s">
        <v>146</v>
      </c>
      <c r="BF50" s="23" t="s">
        <v>147</v>
      </c>
      <c r="BG50" s="20" t="s">
        <v>148</v>
      </c>
      <c r="BH50" s="25"/>
      <c r="BI50" s="3"/>
      <c r="BJ50" s="3"/>
      <c r="BM50" s="3"/>
    </row>
    <row r="51" spans="1:65" ht="12.75" customHeight="1" x14ac:dyDescent="0.2">
      <c r="A51" s="145"/>
      <c r="B51" s="146" t="s">
        <v>4</v>
      </c>
      <c r="C51" s="397">
        <v>6824</v>
      </c>
      <c r="D51" s="742">
        <v>0.74546646274852524</v>
      </c>
      <c r="E51" s="88"/>
      <c r="F51" s="738">
        <v>15978</v>
      </c>
      <c r="G51" s="738">
        <v>7489</v>
      </c>
      <c r="H51" s="738">
        <v>12089</v>
      </c>
      <c r="I51" s="832">
        <v>14050</v>
      </c>
      <c r="J51" s="738">
        <v>9154</v>
      </c>
      <c r="K51" s="738">
        <v>15975</v>
      </c>
      <c r="L51" s="738">
        <v>8491</v>
      </c>
      <c r="M51" s="832">
        <v>4864</v>
      </c>
      <c r="N51" s="536">
        <v>6425</v>
      </c>
      <c r="O51" s="536">
        <v>7298</v>
      </c>
      <c r="P51" s="536">
        <v>6157</v>
      </c>
      <c r="Q51" s="832">
        <v>5407</v>
      </c>
      <c r="R51" s="536">
        <v>3713</v>
      </c>
      <c r="S51" s="536">
        <v>6694</v>
      </c>
      <c r="T51" s="536">
        <v>-167</v>
      </c>
      <c r="U51" s="368">
        <v>252</v>
      </c>
      <c r="V51" s="327">
        <v>603</v>
      </c>
      <c r="W51" s="327">
        <v>416</v>
      </c>
      <c r="X51" s="327">
        <v>361</v>
      </c>
      <c r="Y51" s="368">
        <v>-152</v>
      </c>
      <c r="Z51" s="327">
        <v>3494</v>
      </c>
      <c r="AA51" s="327">
        <v>333</v>
      </c>
      <c r="AB51" s="327" t="e">
        <v>#REF!</v>
      </c>
      <c r="AC51" s="368" t="e">
        <v>#REF!</v>
      </c>
      <c r="AD51" s="337" t="e">
        <v>#REF!</v>
      </c>
      <c r="AE51" s="327" t="e">
        <v>#REF!</v>
      </c>
      <c r="AF51" s="327" t="e">
        <v>#REF!</v>
      </c>
      <c r="AG51" s="368" t="e">
        <v>#REF!</v>
      </c>
      <c r="AH51" s="232" t="e">
        <v>#REF!</v>
      </c>
      <c r="AI51" s="232" t="e">
        <v>#REF!</v>
      </c>
      <c r="AJ51" s="232" t="e">
        <v>#REF!</v>
      </c>
      <c r="AK51" s="233" t="e">
        <v>#REF!</v>
      </c>
      <c r="AL51" s="254" t="e">
        <v>#REF!</v>
      </c>
      <c r="AM51" s="233" t="e">
        <v>#REF!</v>
      </c>
      <c r="AN51" s="233" t="e">
        <v>#REF!</v>
      </c>
      <c r="AO51" s="233" t="e">
        <v>#REF!</v>
      </c>
      <c r="AP51" s="88"/>
      <c r="AQ51" s="675">
        <v>33628</v>
      </c>
      <c r="AR51" s="612">
        <v>29330</v>
      </c>
      <c r="AS51" s="673">
        <v>11122</v>
      </c>
      <c r="AT51" s="742">
        <v>0.28900322211828294</v>
      </c>
      <c r="AU51" s="82"/>
      <c r="AV51" s="569">
        <v>49606</v>
      </c>
      <c r="AW51" s="569">
        <v>38484</v>
      </c>
      <c r="AX51" s="569">
        <v>25287</v>
      </c>
      <c r="AY51" s="569">
        <v>10492</v>
      </c>
      <c r="AZ51" s="569">
        <v>1228</v>
      </c>
      <c r="BA51" s="729">
        <v>5894</v>
      </c>
      <c r="BB51" s="729">
        <v>6781</v>
      </c>
      <c r="BC51" s="744">
        <v>9937</v>
      </c>
      <c r="BD51" s="198">
        <v>15897</v>
      </c>
      <c r="BE51" s="315">
        <v>125900</v>
      </c>
      <c r="BF51" s="315">
        <v>116090</v>
      </c>
      <c r="BG51" s="397">
        <v>84489</v>
      </c>
      <c r="BH51" s="25"/>
      <c r="BI51" s="3"/>
      <c r="BJ51" s="3"/>
      <c r="BM51" s="3"/>
    </row>
    <row r="52" spans="1:65" ht="12.75" customHeight="1" x14ac:dyDescent="0.2">
      <c r="A52" s="82"/>
      <c r="B52" s="146" t="s">
        <v>85</v>
      </c>
      <c r="C52" s="83">
        <v>3625</v>
      </c>
      <c r="D52" s="742">
        <v>0.41738629821531376</v>
      </c>
      <c r="E52" s="533"/>
      <c r="F52" s="399">
        <v>12310</v>
      </c>
      <c r="G52" s="399">
        <v>8049</v>
      </c>
      <c r="H52" s="399">
        <v>11056</v>
      </c>
      <c r="I52" s="832">
        <v>12328</v>
      </c>
      <c r="J52" s="399">
        <v>8685</v>
      </c>
      <c r="K52" s="399">
        <v>11355</v>
      </c>
      <c r="L52" s="399">
        <v>8342</v>
      </c>
      <c r="M52" s="832">
        <v>8527</v>
      </c>
      <c r="N52" s="421">
        <v>7756</v>
      </c>
      <c r="O52" s="421">
        <v>8409</v>
      </c>
      <c r="P52" s="421">
        <v>6033</v>
      </c>
      <c r="Q52" s="832">
        <v>6251</v>
      </c>
      <c r="R52" s="421">
        <v>5290</v>
      </c>
      <c r="S52" s="421">
        <v>6486</v>
      </c>
      <c r="T52" s="421">
        <v>1729</v>
      </c>
      <c r="U52" s="368">
        <v>2038</v>
      </c>
      <c r="V52" s="399">
        <v>1317</v>
      </c>
      <c r="W52" s="399">
        <v>151</v>
      </c>
      <c r="X52" s="399">
        <v>34</v>
      </c>
      <c r="Y52" s="368">
        <v>43</v>
      </c>
      <c r="Z52" s="399">
        <v>1744</v>
      </c>
      <c r="AA52" s="399">
        <v>176</v>
      </c>
      <c r="AB52" s="399" t="e">
        <v>#REF!</v>
      </c>
      <c r="AC52" s="368" t="e">
        <v>#REF!</v>
      </c>
      <c r="AD52" s="399" t="e">
        <v>#REF!</v>
      </c>
      <c r="AE52" s="399" t="e">
        <v>#REF!</v>
      </c>
      <c r="AF52" s="399" t="e">
        <v>#REF!</v>
      </c>
      <c r="AG52" s="368" t="e">
        <v>#REF!</v>
      </c>
      <c r="AH52" s="231" t="e">
        <v>#REF!</v>
      </c>
      <c r="AI52" s="231" t="e">
        <v>#REF!</v>
      </c>
      <c r="AJ52" s="231" t="e">
        <v>#REF!</v>
      </c>
      <c r="AK52" s="235" t="e">
        <v>#REF!</v>
      </c>
      <c r="AL52" s="198" t="e">
        <v>#REF!</v>
      </c>
      <c r="AM52" s="235" t="e">
        <v>#REF!</v>
      </c>
      <c r="AN52" s="235" t="e">
        <v>#REF!</v>
      </c>
      <c r="AO52" s="235" t="e">
        <v>#REF!</v>
      </c>
      <c r="AP52" s="88"/>
      <c r="AQ52" s="675">
        <v>31433</v>
      </c>
      <c r="AR52" s="612">
        <v>28224</v>
      </c>
      <c r="AS52" s="251">
        <v>6834</v>
      </c>
      <c r="AT52" s="742">
        <v>0.1851580915223929</v>
      </c>
      <c r="AU52" s="82"/>
      <c r="AV52" s="561">
        <v>43743</v>
      </c>
      <c r="AW52" s="561">
        <v>36909</v>
      </c>
      <c r="AX52" s="561">
        <v>28449</v>
      </c>
      <c r="AY52" s="561">
        <v>15543</v>
      </c>
      <c r="AZ52" s="561">
        <v>1545</v>
      </c>
      <c r="BA52" s="729">
        <v>2453</v>
      </c>
      <c r="BB52" s="729">
        <v>4212</v>
      </c>
      <c r="BC52" s="744">
        <v>5506</v>
      </c>
      <c r="BD52" s="198">
        <v>4992</v>
      </c>
      <c r="BE52" s="43">
        <v>83963</v>
      </c>
      <c r="BF52" s="43">
        <v>85664</v>
      </c>
      <c r="BG52" s="686">
        <v>68575</v>
      </c>
      <c r="BH52" s="25"/>
      <c r="BI52" s="3"/>
      <c r="BJ52" s="3"/>
      <c r="BM52" s="3"/>
    </row>
    <row r="53" spans="1:65" s="1389" customFormat="1" ht="24.75" customHeight="1" x14ac:dyDescent="0.2">
      <c r="A53" s="996"/>
      <c r="B53" s="1076" t="s">
        <v>188</v>
      </c>
      <c r="C53" s="1106">
        <v>3199</v>
      </c>
      <c r="D53" s="742" t="s">
        <v>42</v>
      </c>
      <c r="E53" s="1114"/>
      <c r="F53" s="421">
        <v>3668</v>
      </c>
      <c r="G53" s="421">
        <v>-560</v>
      </c>
      <c r="H53" s="421">
        <v>1033</v>
      </c>
      <c r="I53" s="832">
        <v>1722</v>
      </c>
      <c r="J53" s="1108">
        <v>469</v>
      </c>
      <c r="K53" s="1108">
        <v>4620</v>
      </c>
      <c r="L53" s="421">
        <v>149</v>
      </c>
      <c r="M53" s="832">
        <v>-3663</v>
      </c>
      <c r="N53" s="421">
        <v>-1331</v>
      </c>
      <c r="O53" s="421">
        <v>-1111</v>
      </c>
      <c r="P53" s="1108">
        <v>124</v>
      </c>
      <c r="Q53" s="832">
        <v>-844</v>
      </c>
      <c r="R53" s="421">
        <v>-1577</v>
      </c>
      <c r="S53" s="421">
        <v>208</v>
      </c>
      <c r="T53" s="421">
        <v>-1896</v>
      </c>
      <c r="U53" s="832">
        <v>-1786</v>
      </c>
      <c r="V53" s="421">
        <v>-714</v>
      </c>
      <c r="W53" s="421">
        <v>265</v>
      </c>
      <c r="X53" s="421">
        <v>327</v>
      </c>
      <c r="Y53" s="832">
        <v>-195</v>
      </c>
      <c r="Z53" s="421">
        <v>1750</v>
      </c>
      <c r="AA53" s="421">
        <v>157</v>
      </c>
      <c r="AB53" s="421" t="e">
        <v>#REF!</v>
      </c>
      <c r="AC53" s="832" t="e">
        <v>#REF!</v>
      </c>
      <c r="AD53" s="421" t="e">
        <v>#REF!</v>
      </c>
      <c r="AE53" s="421" t="e">
        <v>#REF!</v>
      </c>
      <c r="AF53" s="421" t="e">
        <v>#REF!</v>
      </c>
      <c r="AG53" s="832" t="e">
        <v>#REF!</v>
      </c>
      <c r="AH53" s="421" t="e">
        <v>#REF!</v>
      </c>
      <c r="AI53" s="421" t="e">
        <v>#REF!</v>
      </c>
      <c r="AJ53" s="421" t="e">
        <v>#REF!</v>
      </c>
      <c r="AK53" s="421" t="e">
        <v>#REF!</v>
      </c>
      <c r="AL53" s="1337" t="e">
        <v>#REF!</v>
      </c>
      <c r="AM53" s="703" t="e">
        <v>#REF!</v>
      </c>
      <c r="AN53" s="703" t="e">
        <v>#REF!</v>
      </c>
      <c r="AO53" s="703" t="e">
        <v>#REF!</v>
      </c>
      <c r="AP53" s="751"/>
      <c r="AQ53" s="750">
        <v>2195</v>
      </c>
      <c r="AR53" s="750">
        <v>1106</v>
      </c>
      <c r="AS53" s="587">
        <v>4288</v>
      </c>
      <c r="AT53" s="1367">
        <v>2.7225396825396824</v>
      </c>
      <c r="AU53" s="996"/>
      <c r="AV53" s="751">
        <v>5863</v>
      </c>
      <c r="AW53" s="751">
        <v>1575</v>
      </c>
      <c r="AX53" s="751">
        <v>-3162</v>
      </c>
      <c r="AY53" s="751">
        <v>-5051</v>
      </c>
      <c r="AZ53" s="751">
        <v>-317</v>
      </c>
      <c r="BA53" s="751">
        <v>3441</v>
      </c>
      <c r="BB53" s="751">
        <v>2569</v>
      </c>
      <c r="BC53" s="1118">
        <v>4431</v>
      </c>
      <c r="BD53" s="1119">
        <v>10905</v>
      </c>
      <c r="BE53" s="1120">
        <v>41937</v>
      </c>
      <c r="BF53" s="1120">
        <v>30426</v>
      </c>
      <c r="BG53" s="1029">
        <v>15914</v>
      </c>
      <c r="BH53" s="1388"/>
      <c r="BJ53" s="1390"/>
      <c r="BK53" s="1390"/>
      <c r="BL53" s="1390"/>
      <c r="BM53" s="1390"/>
    </row>
    <row r="54" spans="1:65" s="1389" customFormat="1" ht="24.75" customHeight="1" x14ac:dyDescent="0.2">
      <c r="A54" s="996"/>
      <c r="B54" s="1076" t="s">
        <v>386</v>
      </c>
      <c r="C54" s="1121">
        <v>3199</v>
      </c>
      <c r="D54" s="1122" t="s">
        <v>42</v>
      </c>
      <c r="E54" s="1114"/>
      <c r="F54" s="1322">
        <v>3668</v>
      </c>
      <c r="G54" s="1322">
        <v>-560</v>
      </c>
      <c r="H54" s="1322">
        <v>1033</v>
      </c>
      <c r="I54" s="1310">
        <v>1722</v>
      </c>
      <c r="J54" s="1004">
        <v>469</v>
      </c>
      <c r="K54" s="1004">
        <v>4620</v>
      </c>
      <c r="L54" s="1322">
        <v>-1</v>
      </c>
      <c r="M54" s="1310">
        <v>-3663</v>
      </c>
      <c r="N54" s="1322">
        <v>-1331</v>
      </c>
      <c r="O54" s="1322">
        <v>-1111</v>
      </c>
      <c r="P54" s="1004">
        <v>124</v>
      </c>
      <c r="Q54" s="1310">
        <v>-844</v>
      </c>
      <c r="R54" s="1322">
        <v>-1577</v>
      </c>
      <c r="S54" s="1322">
        <v>208</v>
      </c>
      <c r="T54" s="1322">
        <v>-1896</v>
      </c>
      <c r="U54" s="1310">
        <v>-1786</v>
      </c>
      <c r="V54" s="1322">
        <v>-714</v>
      </c>
      <c r="W54" s="1322">
        <v>265</v>
      </c>
      <c r="X54" s="1322">
        <v>327</v>
      </c>
      <c r="Y54" s="1310">
        <v>-195</v>
      </c>
      <c r="Z54" s="1322">
        <v>1750</v>
      </c>
      <c r="AA54" s="1322">
        <v>-1404</v>
      </c>
      <c r="AB54" s="1322" t="e">
        <v>#REF!</v>
      </c>
      <c r="AC54" s="1310" t="e">
        <v>#REF!</v>
      </c>
      <c r="AD54" s="1322" t="e">
        <v>#REF!</v>
      </c>
      <c r="AE54" s="1322" t="e">
        <v>#REF!</v>
      </c>
      <c r="AF54" s="1322" t="e">
        <v>#REF!</v>
      </c>
      <c r="AG54" s="1310" t="e">
        <v>#REF!</v>
      </c>
      <c r="AH54" s="1322" t="e">
        <v>#REF!</v>
      </c>
      <c r="AI54" s="1322" t="e">
        <v>#REF!</v>
      </c>
      <c r="AJ54" s="1322" t="e">
        <v>#REF!</v>
      </c>
      <c r="AK54" s="1322" t="e">
        <v>#REF!</v>
      </c>
      <c r="AL54" s="1338" t="e">
        <v>#REF!</v>
      </c>
      <c r="AM54" s="837" t="e">
        <v>#REF!</v>
      </c>
      <c r="AN54" s="837" t="e">
        <v>#REF!</v>
      </c>
      <c r="AO54" s="837" t="e">
        <v>#REF!</v>
      </c>
      <c r="AP54" s="751"/>
      <c r="AQ54" s="1322">
        <v>2195</v>
      </c>
      <c r="AR54" s="537">
        <v>956</v>
      </c>
      <c r="AS54" s="1339">
        <v>4438</v>
      </c>
      <c r="AT54" s="1122" t="s">
        <v>42</v>
      </c>
      <c r="AU54" s="996"/>
      <c r="AV54" s="1309">
        <v>5863</v>
      </c>
      <c r="AW54" s="1309">
        <v>1425</v>
      </c>
      <c r="AX54" s="1309">
        <v>-3162</v>
      </c>
      <c r="AY54" s="1309">
        <v>-5051</v>
      </c>
      <c r="AZ54" s="1309">
        <v>-317</v>
      </c>
      <c r="BA54" s="1309">
        <v>3441</v>
      </c>
      <c r="BB54" s="1309">
        <v>2569</v>
      </c>
      <c r="BC54" s="1022"/>
      <c r="BD54" s="1022"/>
      <c r="BE54" s="1036"/>
      <c r="BF54" s="1036"/>
      <c r="BG54" s="1036"/>
      <c r="BH54" s="1388"/>
      <c r="BJ54" s="1390"/>
      <c r="BK54" s="1390"/>
      <c r="BL54" s="1390"/>
      <c r="BM54" s="1390"/>
    </row>
    <row r="55" spans="1:65" s="551" customFormat="1" ht="12.75" customHeight="1" x14ac:dyDescent="0.2">
      <c r="A55" s="724"/>
      <c r="B55" s="725"/>
      <c r="C55" s="151"/>
      <c r="D55" s="11"/>
      <c r="E55" s="11"/>
      <c r="F55" s="399"/>
      <c r="G55" s="399"/>
      <c r="H55" s="399"/>
      <c r="I55" s="738"/>
      <c r="J55" s="399"/>
      <c r="K55" s="399"/>
      <c r="L55" s="399"/>
      <c r="M55" s="738"/>
      <c r="N55" s="399"/>
      <c r="O55" s="399"/>
      <c r="P55" s="399"/>
      <c r="Q55" s="738"/>
      <c r="R55" s="399"/>
      <c r="S55" s="399"/>
      <c r="T55" s="399"/>
      <c r="U55" s="738"/>
      <c r="V55" s="399"/>
      <c r="W55" s="399"/>
      <c r="X55" s="399"/>
      <c r="Y55" s="738"/>
      <c r="Z55" s="399"/>
      <c r="AA55" s="399"/>
      <c r="AB55" s="399"/>
      <c r="AC55" s="738"/>
      <c r="AD55" s="399"/>
      <c r="AE55" s="399"/>
      <c r="AF55" s="399"/>
      <c r="AG55" s="738"/>
      <c r="AH55" s="745"/>
      <c r="AI55" s="745"/>
      <c r="AJ55" s="745"/>
      <c r="AK55" s="745"/>
      <c r="AL55" s="745"/>
      <c r="AM55" s="745"/>
      <c r="AN55" s="745"/>
      <c r="AO55" s="745"/>
      <c r="AP55" s="725"/>
      <c r="AQ55" s="725"/>
      <c r="AR55" s="725"/>
      <c r="AS55" s="577"/>
      <c r="AT55" s="560"/>
      <c r="AU55" s="724"/>
      <c r="AV55" s="557"/>
      <c r="AW55" s="557"/>
      <c r="AX55" s="557"/>
      <c r="AY55" s="557"/>
      <c r="AZ55" s="557"/>
      <c r="BA55" s="738"/>
      <c r="BB55" s="738"/>
      <c r="BC55" s="745"/>
      <c r="BD55" s="745"/>
      <c r="BE55" s="754"/>
      <c r="BF55" s="754"/>
      <c r="BG55" s="754"/>
      <c r="BH55" s="1391"/>
      <c r="BI55" s="1391"/>
      <c r="BJ55" s="1391"/>
      <c r="BM55" s="1391"/>
    </row>
    <row r="56" spans="1:65" ht="15.75" customHeight="1" x14ac:dyDescent="0.2">
      <c r="A56" s="12" t="s">
        <v>199</v>
      </c>
      <c r="B56" s="143"/>
      <c r="C56" s="146"/>
      <c r="D56" s="146"/>
      <c r="E56" s="146"/>
      <c r="F56" s="725"/>
      <c r="G56" s="725"/>
      <c r="H56" s="725"/>
      <c r="I56" s="725"/>
      <c r="J56" s="725"/>
      <c r="K56" s="725"/>
      <c r="L56" s="725"/>
      <c r="M56" s="725"/>
      <c r="N56" s="725"/>
      <c r="O56" s="725"/>
      <c r="P56" s="725"/>
      <c r="Q56" s="725"/>
      <c r="R56" s="146"/>
      <c r="S56" s="146"/>
      <c r="T56" s="146"/>
      <c r="U56" s="146"/>
      <c r="V56" s="146"/>
      <c r="W56" s="146"/>
      <c r="X56" s="146"/>
      <c r="Y56" s="146"/>
      <c r="Z56" s="146"/>
      <c r="AA56" s="146"/>
      <c r="AB56" s="146"/>
      <c r="AC56" s="146"/>
      <c r="AD56" s="401"/>
      <c r="AE56" s="146"/>
      <c r="AF56" s="146"/>
      <c r="AG56" s="146"/>
      <c r="AH56" s="146"/>
      <c r="AI56" s="146"/>
      <c r="AJ56" s="146"/>
      <c r="AK56" s="7"/>
      <c r="AL56" s="146"/>
      <c r="AM56" s="7"/>
      <c r="AN56" s="7"/>
      <c r="AO56" s="146"/>
      <c r="AP56" s="146"/>
      <c r="AQ56" s="146"/>
      <c r="AR56" s="146"/>
      <c r="AS56" s="559"/>
      <c r="AT56" s="559"/>
      <c r="AU56" s="146"/>
      <c r="AV56" s="559"/>
      <c r="AW56" s="559"/>
      <c r="AX56" s="559"/>
      <c r="AY56" s="559"/>
      <c r="AZ56" s="559"/>
      <c r="BA56" s="146"/>
      <c r="BB56" s="146"/>
      <c r="BC56" s="146"/>
      <c r="BD56" s="146"/>
      <c r="BE56" s="31"/>
      <c r="BF56" s="31"/>
      <c r="BG56" s="31"/>
      <c r="BH56" s="3"/>
      <c r="BI56" s="3"/>
      <c r="BJ56" s="3"/>
      <c r="BM56" s="3"/>
    </row>
    <row r="57" spans="1:65" ht="12.75" customHeight="1" x14ac:dyDescent="0.2">
      <c r="C57" s="1479" t="s">
        <v>447</v>
      </c>
      <c r="D57" s="1480"/>
      <c r="E57" s="256"/>
      <c r="F57" s="410"/>
      <c r="G57" s="410"/>
      <c r="H57" s="993"/>
      <c r="I57" s="1205"/>
      <c r="J57" s="410"/>
      <c r="K57" s="410"/>
      <c r="L57" s="993"/>
      <c r="M57" s="1205"/>
      <c r="N57" s="993"/>
      <c r="O57" s="993"/>
      <c r="P57" s="993"/>
      <c r="Q57" s="1205"/>
      <c r="R57" s="993"/>
      <c r="S57" s="993"/>
      <c r="T57" s="993"/>
      <c r="U57" s="993"/>
      <c r="V57" s="1102"/>
      <c r="W57" s="993"/>
      <c r="X57" s="993"/>
      <c r="Y57" s="993"/>
      <c r="Z57" s="1102"/>
      <c r="AA57" s="993"/>
      <c r="AB57" s="993"/>
      <c r="AC57" s="993"/>
      <c r="AD57" s="1102"/>
      <c r="AE57" s="993"/>
      <c r="AF57" s="1205"/>
      <c r="AG57" s="1205"/>
      <c r="AH57" s="1205"/>
      <c r="AI57" s="992"/>
      <c r="AJ57" s="992"/>
      <c r="AK57" s="952"/>
      <c r="AL57" s="992"/>
      <c r="AM57" s="952"/>
      <c r="AN57" s="952"/>
      <c r="AO57" s="992"/>
      <c r="AP57" s="991"/>
      <c r="AQ57" s="661" t="s">
        <v>340</v>
      </c>
      <c r="AR57" s="647"/>
      <c r="AS57" s="647" t="s">
        <v>432</v>
      </c>
      <c r="AT57" s="648"/>
      <c r="AU57" s="146"/>
      <c r="AV57" s="1443"/>
      <c r="AW57" s="1395"/>
      <c r="AX57" s="1395"/>
      <c r="AY57" s="694"/>
      <c r="AZ57" s="704"/>
      <c r="BA57" s="87"/>
      <c r="BB57" s="87"/>
      <c r="BC57" s="191"/>
      <c r="BD57" s="191"/>
      <c r="BE57" s="87"/>
      <c r="BF57" s="31"/>
      <c r="BG57" s="31"/>
      <c r="BH57" s="25"/>
      <c r="BI57" s="3"/>
      <c r="BJ57" s="3"/>
      <c r="BM57" s="3"/>
    </row>
    <row r="58" spans="1:65" ht="12.75" customHeight="1" x14ac:dyDescent="0.2">
      <c r="C58" s="1481" t="s">
        <v>39</v>
      </c>
      <c r="D58" s="1482"/>
      <c r="E58" s="530"/>
      <c r="F58" s="21" t="s">
        <v>425</v>
      </c>
      <c r="G58" s="21" t="s">
        <v>426</v>
      </c>
      <c r="H58" s="21" t="s">
        <v>427</v>
      </c>
      <c r="I58" s="14" t="s">
        <v>428</v>
      </c>
      <c r="J58" s="21" t="s">
        <v>363</v>
      </c>
      <c r="K58" s="964" t="s">
        <v>362</v>
      </c>
      <c r="L58" s="964" t="s">
        <v>361</v>
      </c>
      <c r="M58" s="965" t="s">
        <v>359</v>
      </c>
      <c r="N58" s="964" t="s">
        <v>302</v>
      </c>
      <c r="O58" s="964" t="s">
        <v>303</v>
      </c>
      <c r="P58" s="964" t="s">
        <v>304</v>
      </c>
      <c r="Q58" s="965" t="s">
        <v>305</v>
      </c>
      <c r="R58" s="964" t="s">
        <v>231</v>
      </c>
      <c r="S58" s="964" t="s">
        <v>232</v>
      </c>
      <c r="T58" s="964" t="s">
        <v>233</v>
      </c>
      <c r="U58" s="965" t="s">
        <v>230</v>
      </c>
      <c r="V58" s="966" t="s">
        <v>194</v>
      </c>
      <c r="W58" s="964" t="s">
        <v>195</v>
      </c>
      <c r="X58" s="964" t="s">
        <v>196</v>
      </c>
      <c r="Y58" s="964" t="e">
        <v>#REF!</v>
      </c>
      <c r="Z58" s="966" t="s">
        <v>126</v>
      </c>
      <c r="AA58" s="964" t="s">
        <v>125</v>
      </c>
      <c r="AB58" s="964" t="s">
        <v>124</v>
      </c>
      <c r="AC58" s="964" t="s">
        <v>123</v>
      </c>
      <c r="AD58" s="966" t="s">
        <v>86</v>
      </c>
      <c r="AE58" s="964" t="s">
        <v>87</v>
      </c>
      <c r="AF58" s="965" t="s">
        <v>88</v>
      </c>
      <c r="AG58" s="965" t="s">
        <v>30</v>
      </c>
      <c r="AH58" s="965" t="s">
        <v>30</v>
      </c>
      <c r="AI58" s="992"/>
      <c r="AJ58" s="992"/>
      <c r="AK58" s="952"/>
      <c r="AL58" s="992"/>
      <c r="AM58" s="952"/>
      <c r="AN58" s="952"/>
      <c r="AO58" s="992"/>
      <c r="AP58" s="991"/>
      <c r="AQ58" s="21" t="s">
        <v>426</v>
      </c>
      <c r="AR58" s="21" t="s">
        <v>362</v>
      </c>
      <c r="AS58" s="1494" t="s">
        <v>39</v>
      </c>
      <c r="AT58" s="1482"/>
      <c r="AU58" s="146"/>
      <c r="AV58" s="20" t="s">
        <v>446</v>
      </c>
      <c r="AW58" s="20" t="s">
        <v>365</v>
      </c>
      <c r="AX58" s="229" t="s">
        <v>307</v>
      </c>
      <c r="AY58" s="229" t="s">
        <v>235</v>
      </c>
      <c r="AZ58" s="229" t="s">
        <v>128</v>
      </c>
      <c r="BA58" s="23" t="s">
        <v>127</v>
      </c>
      <c r="BB58" s="23" t="s">
        <v>43</v>
      </c>
      <c r="BC58" s="23" t="s">
        <v>40</v>
      </c>
      <c r="BD58" s="23" t="s">
        <v>41</v>
      </c>
      <c r="BE58" s="23" t="s">
        <v>146</v>
      </c>
      <c r="BF58" s="31"/>
      <c r="BG58" s="31"/>
      <c r="BH58" s="25"/>
      <c r="BI58" s="3"/>
      <c r="BJ58" s="3"/>
      <c r="BM58" s="3"/>
    </row>
    <row r="59" spans="1:65" ht="12.75" customHeight="1" x14ac:dyDescent="0.2">
      <c r="A59" s="82"/>
      <c r="B59" s="7" t="s">
        <v>399</v>
      </c>
      <c r="C59" s="83">
        <v>227</v>
      </c>
      <c r="D59" s="742">
        <v>8.6575133485888633E-2</v>
      </c>
      <c r="E59" s="88"/>
      <c r="F59" s="673">
        <v>2849</v>
      </c>
      <c r="G59" s="673">
        <v>2979</v>
      </c>
      <c r="H59" s="673">
        <v>3247</v>
      </c>
      <c r="I59" s="677">
        <v>2647</v>
      </c>
      <c r="J59" s="673">
        <v>2622</v>
      </c>
      <c r="K59" s="673">
        <v>2475</v>
      </c>
      <c r="L59" s="673">
        <v>1713</v>
      </c>
      <c r="M59" s="677">
        <v>1641</v>
      </c>
      <c r="N59" s="673">
        <v>1913</v>
      </c>
      <c r="O59" s="673">
        <v>1697</v>
      </c>
      <c r="P59" s="673">
        <v>2571</v>
      </c>
      <c r="Q59" s="677">
        <v>1326</v>
      </c>
      <c r="R59" s="672">
        <v>892</v>
      </c>
      <c r="S59" s="673">
        <v>391</v>
      </c>
      <c r="T59" s="673">
        <v>0</v>
      </c>
      <c r="U59" s="677">
        <v>0</v>
      </c>
      <c r="V59" s="672">
        <v>0</v>
      </c>
      <c r="W59" s="673">
        <v>0</v>
      </c>
      <c r="X59" s="673">
        <v>0</v>
      </c>
      <c r="Y59" s="677">
        <v>0</v>
      </c>
      <c r="Z59" s="251">
        <v>0</v>
      </c>
      <c r="AA59" s="251">
        <v>0</v>
      </c>
      <c r="AB59" s="251" t="e">
        <v>#REF!</v>
      </c>
      <c r="AC59" s="251" t="e">
        <v>#REF!</v>
      </c>
      <c r="AD59" s="251" t="e">
        <v>#REF!</v>
      </c>
      <c r="AE59" s="251" t="e">
        <v>#REF!</v>
      </c>
      <c r="AF59" s="300" t="e">
        <v>#REF!</v>
      </c>
      <c r="AG59" s="300" t="e">
        <v>#REF!</v>
      </c>
      <c r="AH59" s="368" t="e">
        <v>#REF!</v>
      </c>
      <c r="AI59" s="146" t="e">
        <v>#REF!</v>
      </c>
      <c r="AJ59" s="146" t="e">
        <v>#REF!</v>
      </c>
      <c r="AK59" s="7" t="e">
        <v>#REF!</v>
      </c>
      <c r="AL59" s="146" t="e">
        <v>#REF!</v>
      </c>
      <c r="AM59" s="7" t="e">
        <v>#REF!</v>
      </c>
      <c r="AN59" s="7" t="e">
        <v>#REF!</v>
      </c>
      <c r="AO59" s="146" t="e">
        <v>#REF!</v>
      </c>
      <c r="AP59" s="88"/>
      <c r="AQ59" s="675">
        <v>8873</v>
      </c>
      <c r="AR59" s="612">
        <v>5829</v>
      </c>
      <c r="AS59" s="673">
        <v>3271</v>
      </c>
      <c r="AT59" s="742">
        <v>0.38705478641580876</v>
      </c>
      <c r="AU59" s="146"/>
      <c r="AV59" s="564">
        <v>11722</v>
      </c>
      <c r="AW59" s="564">
        <v>8451</v>
      </c>
      <c r="AX59" s="564">
        <v>7507</v>
      </c>
      <c r="AY59" s="564">
        <v>1283</v>
      </c>
      <c r="AZ59" s="564">
        <v>0</v>
      </c>
      <c r="BA59" s="43">
        <v>0</v>
      </c>
      <c r="BB59" s="43">
        <v>1</v>
      </c>
      <c r="BC59" s="43">
        <v>0</v>
      </c>
      <c r="BD59" s="43">
        <v>0</v>
      </c>
      <c r="BE59" s="43">
        <v>14929</v>
      </c>
      <c r="BF59" s="31"/>
      <c r="BG59" s="31"/>
      <c r="BH59" s="25"/>
      <c r="BI59" s="3"/>
      <c r="BJ59" s="3"/>
      <c r="BM59" s="3"/>
    </row>
    <row r="60" spans="1:65" ht="12.75" customHeight="1" x14ac:dyDescent="0.2">
      <c r="A60" s="82"/>
      <c r="B60" s="7" t="s">
        <v>65</v>
      </c>
      <c r="C60" s="83">
        <v>5953</v>
      </c>
      <c r="D60" s="742">
        <v>1.1620144446613312</v>
      </c>
      <c r="E60" s="88"/>
      <c r="F60" s="251">
        <v>11076</v>
      </c>
      <c r="G60" s="251">
        <v>3720</v>
      </c>
      <c r="H60" s="251">
        <v>6483</v>
      </c>
      <c r="I60" s="300">
        <v>9869</v>
      </c>
      <c r="J60" s="251">
        <v>5123</v>
      </c>
      <c r="K60" s="251">
        <v>10790</v>
      </c>
      <c r="L60" s="251">
        <v>5429</v>
      </c>
      <c r="M60" s="300">
        <v>2097</v>
      </c>
      <c r="N60" s="251">
        <v>3397</v>
      </c>
      <c r="O60" s="251">
        <v>4159</v>
      </c>
      <c r="P60" s="251">
        <v>2923</v>
      </c>
      <c r="Q60" s="300">
        <v>3051</v>
      </c>
      <c r="R60" s="239">
        <v>1625</v>
      </c>
      <c r="S60" s="251">
        <v>758</v>
      </c>
      <c r="T60" s="251">
        <v>181</v>
      </c>
      <c r="U60" s="300">
        <v>21</v>
      </c>
      <c r="V60" s="239">
        <v>0</v>
      </c>
      <c r="W60" s="251">
        <v>0</v>
      </c>
      <c r="X60" s="251">
        <v>0</v>
      </c>
      <c r="Y60" s="300">
        <v>0</v>
      </c>
      <c r="Z60" s="251">
        <v>3508</v>
      </c>
      <c r="AA60" s="251">
        <v>316</v>
      </c>
      <c r="AB60" s="251" t="e">
        <v>#REF!</v>
      </c>
      <c r="AC60" s="251" t="e">
        <v>#REF!</v>
      </c>
      <c r="AD60" s="251" t="e">
        <v>#REF!</v>
      </c>
      <c r="AE60" s="251" t="e">
        <v>#REF!</v>
      </c>
      <c r="AF60" s="300" t="e">
        <v>#REF!</v>
      </c>
      <c r="AG60" s="300" t="e">
        <v>#REF!</v>
      </c>
      <c r="AH60" s="368" t="e">
        <v>#REF!</v>
      </c>
      <c r="AI60" s="146" t="e">
        <v>#REF!</v>
      </c>
      <c r="AJ60" s="146" t="e">
        <v>#REF!</v>
      </c>
      <c r="AK60" s="7" t="e">
        <v>#REF!</v>
      </c>
      <c r="AL60" s="146" t="e">
        <v>#REF!</v>
      </c>
      <c r="AM60" s="7" t="e">
        <v>#REF!</v>
      </c>
      <c r="AN60" s="7" t="e">
        <v>#REF!</v>
      </c>
      <c r="AO60" s="146" t="e">
        <v>#REF!</v>
      </c>
      <c r="AP60" s="88"/>
      <c r="AQ60" s="675">
        <v>20072</v>
      </c>
      <c r="AR60" s="612">
        <v>18316</v>
      </c>
      <c r="AS60" s="581">
        <v>7709</v>
      </c>
      <c r="AT60" s="742">
        <v>0.32889628397115916</v>
      </c>
      <c r="AU60" s="146"/>
      <c r="AV60" s="565">
        <v>31148</v>
      </c>
      <c r="AW60" s="565">
        <v>23439</v>
      </c>
      <c r="AX60" s="565">
        <v>13530</v>
      </c>
      <c r="AY60" s="565">
        <v>2585</v>
      </c>
      <c r="AZ60" s="565">
        <v>0</v>
      </c>
      <c r="BA60" s="43">
        <v>4655</v>
      </c>
      <c r="BB60" s="43">
        <v>7406</v>
      </c>
      <c r="BC60" s="43">
        <v>10110</v>
      </c>
      <c r="BD60" s="43">
        <v>6729</v>
      </c>
      <c r="BE60" s="43">
        <v>87191</v>
      </c>
      <c r="BF60" s="31"/>
      <c r="BG60" s="31"/>
      <c r="BH60" s="25"/>
      <c r="BI60" s="3"/>
      <c r="BJ60" s="3"/>
      <c r="BM60" s="3"/>
    </row>
    <row r="61" spans="1:65" ht="12.75" customHeight="1" x14ac:dyDescent="0.2">
      <c r="A61" s="82"/>
      <c r="B61" s="7" t="s">
        <v>213</v>
      </c>
      <c r="C61" s="83">
        <v>866</v>
      </c>
      <c r="D61" s="742">
        <v>1.0757763975155279</v>
      </c>
      <c r="E61" s="88"/>
      <c r="F61" s="251">
        <v>1671</v>
      </c>
      <c r="G61" s="251">
        <v>1537</v>
      </c>
      <c r="H61" s="251">
        <v>1721</v>
      </c>
      <c r="I61" s="300">
        <v>935</v>
      </c>
      <c r="J61" s="251">
        <v>805</v>
      </c>
      <c r="K61" s="251">
        <v>1759</v>
      </c>
      <c r="L61" s="251">
        <v>712</v>
      </c>
      <c r="M61" s="300">
        <v>638</v>
      </c>
      <c r="N61" s="251">
        <v>707</v>
      </c>
      <c r="O61" s="251">
        <v>1133</v>
      </c>
      <c r="P61" s="251">
        <v>455</v>
      </c>
      <c r="Q61" s="300">
        <v>1053</v>
      </c>
      <c r="R61" s="239">
        <v>1020</v>
      </c>
      <c r="S61" s="251">
        <v>5528</v>
      </c>
      <c r="T61" s="251">
        <v>22</v>
      </c>
      <c r="U61" s="300">
        <v>337</v>
      </c>
      <c r="V61" s="239">
        <v>191</v>
      </c>
      <c r="W61" s="251">
        <v>0</v>
      </c>
      <c r="X61" s="251">
        <v>0</v>
      </c>
      <c r="Y61" s="300">
        <v>0</v>
      </c>
      <c r="Z61" s="251">
        <v>0</v>
      </c>
      <c r="AA61" s="251">
        <v>0</v>
      </c>
      <c r="AB61" s="251" t="e">
        <v>#REF!</v>
      </c>
      <c r="AC61" s="251" t="e">
        <v>#REF!</v>
      </c>
      <c r="AD61" s="251" t="e">
        <v>#REF!</v>
      </c>
      <c r="AE61" s="251" t="e">
        <v>#REF!</v>
      </c>
      <c r="AF61" s="300" t="e">
        <v>#REF!</v>
      </c>
      <c r="AG61" s="300" t="e">
        <v>#REF!</v>
      </c>
      <c r="AH61" s="368" t="e">
        <v>#REF!</v>
      </c>
      <c r="AI61" s="146" t="e">
        <v>#REF!</v>
      </c>
      <c r="AJ61" s="146" t="e">
        <v>#REF!</v>
      </c>
      <c r="AK61" s="7" t="e">
        <v>#REF!</v>
      </c>
      <c r="AL61" s="146" t="e">
        <v>#REF!</v>
      </c>
      <c r="AM61" s="7" t="e">
        <v>#REF!</v>
      </c>
      <c r="AN61" s="7" t="e">
        <v>#REF!</v>
      </c>
      <c r="AO61" s="146" t="e">
        <v>#REF!</v>
      </c>
      <c r="AP61" s="88"/>
      <c r="AQ61" s="675">
        <v>4193</v>
      </c>
      <c r="AR61" s="612">
        <v>3109</v>
      </c>
      <c r="AS61" s="581">
        <v>1950</v>
      </c>
      <c r="AT61" s="742">
        <v>0.49821154828819619</v>
      </c>
      <c r="AU61" s="146"/>
      <c r="AV61" s="565">
        <v>5864</v>
      </c>
      <c r="AW61" s="565">
        <v>3914</v>
      </c>
      <c r="AX61" s="565">
        <v>3348</v>
      </c>
      <c r="AY61" s="565">
        <v>6907</v>
      </c>
      <c r="AZ61" s="565">
        <v>191</v>
      </c>
      <c r="BA61" s="43">
        <v>-724</v>
      </c>
      <c r="BB61" s="43">
        <v>0</v>
      </c>
      <c r="BC61" s="43">
        <v>0</v>
      </c>
      <c r="BD61" s="43">
        <v>0</v>
      </c>
      <c r="BE61" s="43">
        <v>3937</v>
      </c>
      <c r="BF61" s="31"/>
      <c r="BG61" s="31"/>
      <c r="BH61" s="25"/>
      <c r="BI61" s="3"/>
      <c r="BJ61" s="3"/>
      <c r="BM61" s="3"/>
    </row>
    <row r="62" spans="1:65" ht="12.75" customHeight="1" x14ac:dyDescent="0.2">
      <c r="A62" s="82"/>
      <c r="B62" s="7" t="s">
        <v>66</v>
      </c>
      <c r="C62" s="83">
        <v>5</v>
      </c>
      <c r="D62" s="742" t="s">
        <v>42</v>
      </c>
      <c r="E62" s="88"/>
      <c r="F62" s="251">
        <v>5</v>
      </c>
      <c r="G62" s="251">
        <v>3</v>
      </c>
      <c r="H62" s="251">
        <v>1</v>
      </c>
      <c r="I62" s="300">
        <v>4</v>
      </c>
      <c r="J62" s="251">
        <v>0</v>
      </c>
      <c r="K62" s="251">
        <v>0</v>
      </c>
      <c r="L62" s="251">
        <v>0</v>
      </c>
      <c r="M62" s="300">
        <v>-10</v>
      </c>
      <c r="N62" s="251">
        <v>8</v>
      </c>
      <c r="O62" s="251">
        <v>-11</v>
      </c>
      <c r="P62" s="251">
        <v>11</v>
      </c>
      <c r="Q62" s="300">
        <v>-247</v>
      </c>
      <c r="R62" s="239">
        <v>-103</v>
      </c>
      <c r="S62" s="251">
        <v>-135</v>
      </c>
      <c r="T62" s="251">
        <v>-682</v>
      </c>
      <c r="U62" s="300">
        <v>-172</v>
      </c>
      <c r="V62" s="239">
        <v>316</v>
      </c>
      <c r="W62" s="251">
        <v>377</v>
      </c>
      <c r="X62" s="251">
        <v>310</v>
      </c>
      <c r="Y62" s="300">
        <v>-204</v>
      </c>
      <c r="Z62" s="251">
        <v>-45</v>
      </c>
      <c r="AA62" s="251">
        <v>1</v>
      </c>
      <c r="AB62" s="251" t="e">
        <v>#REF!</v>
      </c>
      <c r="AC62" s="251" t="e">
        <v>#REF!</v>
      </c>
      <c r="AD62" s="251" t="e">
        <v>#REF!</v>
      </c>
      <c r="AE62" s="251" t="e">
        <v>#REF!</v>
      </c>
      <c r="AF62" s="300" t="e">
        <v>#REF!</v>
      </c>
      <c r="AG62" s="300" t="e">
        <v>#REF!</v>
      </c>
      <c r="AH62" s="368" t="e">
        <v>#REF!</v>
      </c>
      <c r="AI62" s="146" t="e">
        <v>#REF!</v>
      </c>
      <c r="AJ62" s="146" t="e">
        <v>#REF!</v>
      </c>
      <c r="AK62" s="7" t="e">
        <v>#REF!</v>
      </c>
      <c r="AL62" s="146" t="e">
        <v>#REF!</v>
      </c>
      <c r="AM62" s="7" t="e">
        <v>#REF!</v>
      </c>
      <c r="AN62" s="7" t="e">
        <v>#REF!</v>
      </c>
      <c r="AO62" s="146" t="e">
        <v>#REF!</v>
      </c>
      <c r="AP62" s="88"/>
      <c r="AQ62" s="675">
        <v>8</v>
      </c>
      <c r="AR62" s="612">
        <v>-10</v>
      </c>
      <c r="AS62" s="581">
        <v>23</v>
      </c>
      <c r="AT62" s="742">
        <v>2.2999999999999998</v>
      </c>
      <c r="AU62" s="146"/>
      <c r="AV62" s="565">
        <v>13</v>
      </c>
      <c r="AW62" s="565">
        <v>-10</v>
      </c>
      <c r="AX62" s="565">
        <v>-239</v>
      </c>
      <c r="AY62" s="565">
        <v>-1092</v>
      </c>
      <c r="AZ62" s="565">
        <v>799</v>
      </c>
      <c r="BA62" s="43">
        <v>1657</v>
      </c>
      <c r="BB62" s="43">
        <v>-830</v>
      </c>
      <c r="BC62" s="43">
        <v>-796</v>
      </c>
      <c r="BD62" s="43">
        <v>9000</v>
      </c>
      <c r="BE62" s="43">
        <v>16467</v>
      </c>
      <c r="BF62" s="31"/>
      <c r="BG62" s="31"/>
      <c r="BH62" s="25"/>
      <c r="BI62" s="3"/>
      <c r="BJ62" s="3"/>
      <c r="BM62" s="3"/>
    </row>
    <row r="63" spans="1:65" ht="12.75" customHeight="1" x14ac:dyDescent="0.2">
      <c r="A63" s="82"/>
      <c r="B63" s="7" t="s">
        <v>67</v>
      </c>
      <c r="C63" s="83">
        <v>-489</v>
      </c>
      <c r="D63" s="742">
        <v>-0.76886792452830188</v>
      </c>
      <c r="E63" s="88"/>
      <c r="F63" s="251">
        <v>147</v>
      </c>
      <c r="G63" s="251">
        <v>-692</v>
      </c>
      <c r="H63" s="251">
        <v>470</v>
      </c>
      <c r="I63" s="300">
        <v>379</v>
      </c>
      <c r="J63" s="251">
        <v>636</v>
      </c>
      <c r="K63" s="251">
        <v>343</v>
      </c>
      <c r="L63" s="251">
        <v>340</v>
      </c>
      <c r="M63" s="300">
        <v>270</v>
      </c>
      <c r="N63" s="251">
        <v>265</v>
      </c>
      <c r="O63" s="251">
        <v>221</v>
      </c>
      <c r="P63" s="251">
        <v>189</v>
      </c>
      <c r="Q63" s="300">
        <v>212</v>
      </c>
      <c r="R63" s="239">
        <v>278</v>
      </c>
      <c r="S63" s="251">
        <v>101</v>
      </c>
      <c r="T63" s="251">
        <v>2</v>
      </c>
      <c r="U63" s="300">
        <v>55</v>
      </c>
      <c r="V63" s="239">
        <v>77</v>
      </c>
      <c r="W63" s="251">
        <v>45</v>
      </c>
      <c r="X63" s="251">
        <v>53</v>
      </c>
      <c r="Y63" s="300">
        <v>45</v>
      </c>
      <c r="Z63" s="251">
        <v>42</v>
      </c>
      <c r="AA63" s="251">
        <v>13</v>
      </c>
      <c r="AB63" s="251" t="e">
        <v>#REF!</v>
      </c>
      <c r="AC63" s="251" t="e">
        <v>#REF!</v>
      </c>
      <c r="AD63" s="251" t="e">
        <v>#REF!</v>
      </c>
      <c r="AE63" s="251" t="e">
        <v>#REF!</v>
      </c>
      <c r="AF63" s="300" t="e">
        <v>#REF!</v>
      </c>
      <c r="AG63" s="300" t="e">
        <v>#REF!</v>
      </c>
      <c r="AH63" s="368" t="e">
        <v>#REF!</v>
      </c>
      <c r="AI63" s="146" t="e">
        <v>#REF!</v>
      </c>
      <c r="AJ63" s="146" t="e">
        <v>#REF!</v>
      </c>
      <c r="AK63" s="7" t="e">
        <v>#REF!</v>
      </c>
      <c r="AL63" s="146" t="e">
        <v>#REF!</v>
      </c>
      <c r="AM63" s="7" t="e">
        <v>#REF!</v>
      </c>
      <c r="AN63" s="7" t="e">
        <v>#REF!</v>
      </c>
      <c r="AO63" s="146" t="e">
        <v>#REF!</v>
      </c>
      <c r="AP63" s="88"/>
      <c r="AQ63" s="675">
        <v>157</v>
      </c>
      <c r="AR63" s="612">
        <v>953</v>
      </c>
      <c r="AS63" s="581">
        <v>-1285</v>
      </c>
      <c r="AT63" s="742">
        <v>-0.80868470736312148</v>
      </c>
      <c r="AU63" s="146"/>
      <c r="AV63" s="565">
        <v>304</v>
      </c>
      <c r="AW63" s="565">
        <v>1589</v>
      </c>
      <c r="AX63" s="565">
        <v>887</v>
      </c>
      <c r="AY63" s="565">
        <v>436</v>
      </c>
      <c r="AZ63" s="565">
        <v>220</v>
      </c>
      <c r="BA63" s="43">
        <v>70</v>
      </c>
      <c r="BB63" s="43">
        <v>248</v>
      </c>
      <c r="BC63" s="43">
        <v>610</v>
      </c>
      <c r="BD63" s="43">
        <v>171</v>
      </c>
      <c r="BE63" s="43">
        <v>2491</v>
      </c>
      <c r="BF63" s="31"/>
      <c r="BG63" s="31"/>
      <c r="BH63" s="25"/>
      <c r="BI63" s="3"/>
      <c r="BJ63" s="3"/>
      <c r="BM63" s="3"/>
    </row>
    <row r="64" spans="1:65" ht="12.75" customHeight="1" x14ac:dyDescent="0.2">
      <c r="A64" s="190"/>
      <c r="B64" s="7" t="s">
        <v>68</v>
      </c>
      <c r="C64" s="83">
        <v>262</v>
      </c>
      <c r="D64" s="147" t="s">
        <v>42</v>
      </c>
      <c r="E64" s="534"/>
      <c r="F64" s="332">
        <v>230</v>
      </c>
      <c r="G64" s="332">
        <v>-58</v>
      </c>
      <c r="H64" s="332">
        <v>167</v>
      </c>
      <c r="I64" s="419">
        <v>216</v>
      </c>
      <c r="J64" s="332">
        <v>-32</v>
      </c>
      <c r="K64" s="332">
        <v>608</v>
      </c>
      <c r="L64" s="332">
        <v>297</v>
      </c>
      <c r="M64" s="419">
        <v>228</v>
      </c>
      <c r="N64" s="332">
        <v>135</v>
      </c>
      <c r="O64" s="332">
        <v>99</v>
      </c>
      <c r="P64" s="332">
        <v>8</v>
      </c>
      <c r="Q64" s="419">
        <v>12</v>
      </c>
      <c r="R64" s="247">
        <v>1</v>
      </c>
      <c r="S64" s="332">
        <v>51</v>
      </c>
      <c r="T64" s="332">
        <v>310</v>
      </c>
      <c r="U64" s="419">
        <v>11</v>
      </c>
      <c r="V64" s="247">
        <v>19</v>
      </c>
      <c r="W64" s="332">
        <v>-6</v>
      </c>
      <c r="X64" s="332">
        <v>-2</v>
      </c>
      <c r="Y64" s="419">
        <v>7</v>
      </c>
      <c r="Z64" s="251">
        <v>-11</v>
      </c>
      <c r="AA64" s="251">
        <v>3</v>
      </c>
      <c r="AB64" s="251" t="e">
        <v>#REF!</v>
      </c>
      <c r="AC64" s="251" t="e">
        <v>#REF!</v>
      </c>
      <c r="AD64" s="251" t="e">
        <v>#REF!</v>
      </c>
      <c r="AE64" s="332" t="e">
        <v>#REF!</v>
      </c>
      <c r="AF64" s="300" t="e">
        <v>#REF!</v>
      </c>
      <c r="AG64" s="300" t="e">
        <v>#REF!</v>
      </c>
      <c r="AH64" s="370" t="e">
        <v>#REF!</v>
      </c>
      <c r="AI64" s="15" t="e">
        <v>#REF!</v>
      </c>
      <c r="AJ64" s="15" t="e">
        <v>#REF!</v>
      </c>
      <c r="AK64" s="15" t="e">
        <v>#REF!</v>
      </c>
      <c r="AL64" s="15" t="e">
        <v>#REF!</v>
      </c>
      <c r="AM64" s="15" t="e">
        <v>#REF!</v>
      </c>
      <c r="AN64" s="15" t="e">
        <v>#REF!</v>
      </c>
      <c r="AO64" s="15" t="e">
        <v>#REF!</v>
      </c>
      <c r="AP64" s="88"/>
      <c r="AQ64" s="675">
        <v>325</v>
      </c>
      <c r="AR64" s="612">
        <v>1133</v>
      </c>
      <c r="AS64" s="582">
        <v>-546</v>
      </c>
      <c r="AT64" s="742">
        <v>-0.49591280653950953</v>
      </c>
      <c r="AU64" s="82"/>
      <c r="AV64" s="566">
        <v>555</v>
      </c>
      <c r="AW64" s="566">
        <v>1101</v>
      </c>
      <c r="AX64" s="566">
        <v>254</v>
      </c>
      <c r="AY64" s="566">
        <v>373</v>
      </c>
      <c r="AZ64" s="566">
        <v>18</v>
      </c>
      <c r="BA64" s="43">
        <v>236</v>
      </c>
      <c r="BB64" s="43">
        <v>-44</v>
      </c>
      <c r="BC64" s="43">
        <v>13</v>
      </c>
      <c r="BD64" s="43">
        <v>-3</v>
      </c>
      <c r="BE64" s="43">
        <v>885</v>
      </c>
      <c r="BF64" s="31"/>
      <c r="BG64" s="31"/>
      <c r="BH64" s="25"/>
      <c r="BI64" s="3"/>
      <c r="BJ64" s="3"/>
      <c r="BM64" s="3"/>
    </row>
    <row r="65" spans="1:65" ht="12.75" customHeight="1" x14ac:dyDescent="0.2">
      <c r="A65" s="190"/>
      <c r="B65" s="7"/>
      <c r="C65" s="507">
        <v>6824</v>
      </c>
      <c r="D65" s="147">
        <v>0.74546646274852524</v>
      </c>
      <c r="E65" s="24"/>
      <c r="F65" s="330">
        <v>15978</v>
      </c>
      <c r="G65" s="330">
        <v>7489</v>
      </c>
      <c r="H65" s="330">
        <v>12089</v>
      </c>
      <c r="I65" s="510">
        <v>14050</v>
      </c>
      <c r="J65" s="330">
        <v>9154</v>
      </c>
      <c r="K65" s="330">
        <v>15975</v>
      </c>
      <c r="L65" s="330">
        <v>8491</v>
      </c>
      <c r="M65" s="510">
        <v>4864</v>
      </c>
      <c r="N65" s="330">
        <v>6425</v>
      </c>
      <c r="O65" s="330">
        <v>7298</v>
      </c>
      <c r="P65" s="330">
        <v>6157</v>
      </c>
      <c r="Q65" s="510">
        <v>5407</v>
      </c>
      <c r="R65" s="330">
        <v>3713</v>
      </c>
      <c r="S65" s="330">
        <v>6694</v>
      </c>
      <c r="T65" s="330">
        <v>-167</v>
      </c>
      <c r="U65" s="510">
        <v>252</v>
      </c>
      <c r="V65" s="330">
        <v>603</v>
      </c>
      <c r="W65" s="330">
        <v>416</v>
      </c>
      <c r="X65" s="330">
        <v>361</v>
      </c>
      <c r="Y65" s="510">
        <v>-152</v>
      </c>
      <c r="Z65" s="330">
        <v>3494</v>
      </c>
      <c r="AA65" s="330">
        <v>333</v>
      </c>
      <c r="AB65" s="330" t="e">
        <v>#REF!</v>
      </c>
      <c r="AC65" s="510" t="e">
        <v>#REF!</v>
      </c>
      <c r="AD65" s="329" t="e">
        <v>#REF!</v>
      </c>
      <c r="AE65" s="330" t="e">
        <v>#REF!</v>
      </c>
      <c r="AF65" s="510" t="e">
        <v>#REF!</v>
      </c>
      <c r="AG65" s="510" t="e">
        <v>#REF!</v>
      </c>
      <c r="AH65" s="510" t="e">
        <v>#REF!</v>
      </c>
      <c r="AI65" s="2" t="e">
        <v>#REF!</v>
      </c>
      <c r="AJ65" s="2" t="e">
        <v>#REF!</v>
      </c>
      <c r="AK65" s="2" t="e">
        <v>#REF!</v>
      </c>
      <c r="AL65" s="2" t="e">
        <v>#REF!</v>
      </c>
      <c r="AM65" s="2" t="e">
        <v>#REF!</v>
      </c>
      <c r="AN65" s="2" t="e">
        <v>#REF!</v>
      </c>
      <c r="AO65" s="2" t="e">
        <v>#REF!</v>
      </c>
      <c r="AP65" s="24"/>
      <c r="AQ65" s="674">
        <v>33628</v>
      </c>
      <c r="AR65" s="512">
        <v>29330</v>
      </c>
      <c r="AS65" s="583">
        <v>11122</v>
      </c>
      <c r="AT65" s="168">
        <v>0.28900322211828294</v>
      </c>
      <c r="AV65" s="567">
        <v>49606</v>
      </c>
      <c r="AW65" s="567">
        <v>38484</v>
      </c>
      <c r="AX65" s="567">
        <v>25287</v>
      </c>
      <c r="AY65" s="567">
        <v>10492</v>
      </c>
      <c r="AZ65" s="567">
        <v>1228</v>
      </c>
      <c r="BA65" s="509">
        <v>5894</v>
      </c>
      <c r="BB65" s="509">
        <v>6781</v>
      </c>
      <c r="BC65" s="513">
        <v>9937</v>
      </c>
      <c r="BD65" s="513">
        <v>15897</v>
      </c>
      <c r="BE65" s="171">
        <v>125900</v>
      </c>
      <c r="BF65" s="31"/>
      <c r="BG65" s="31"/>
      <c r="BH65" s="25"/>
      <c r="BI65" s="3"/>
      <c r="BJ65" s="3"/>
      <c r="BM65" s="3"/>
    </row>
    <row r="66" spans="1:65" ht="12.75" customHeight="1" x14ac:dyDescent="0.2">
      <c r="B66" s="13"/>
      <c r="C66" s="252"/>
      <c r="D66" s="252"/>
      <c r="E66" s="252"/>
      <c r="F66" s="252"/>
      <c r="G66" s="252"/>
      <c r="H66" s="252"/>
      <c r="I66" s="2"/>
      <c r="J66" s="252"/>
      <c r="K66" s="252"/>
      <c r="L66" s="252"/>
      <c r="M66" s="2"/>
      <c r="N66" s="252"/>
      <c r="O66" s="252"/>
      <c r="P66" s="252"/>
      <c r="Q66" s="2"/>
      <c r="R66" s="252"/>
      <c r="S66" s="252"/>
      <c r="T66" s="252"/>
      <c r="U66" s="2"/>
      <c r="V66" s="252"/>
      <c r="W66" s="252"/>
      <c r="X66" s="252"/>
      <c r="Y66" s="2"/>
      <c r="Z66" s="252"/>
      <c r="AA66" s="252"/>
      <c r="AB66" s="252"/>
      <c r="AC66" s="2"/>
      <c r="AD66" s="252"/>
      <c r="AE66" s="252"/>
      <c r="AF66" s="252"/>
      <c r="AG66" s="2"/>
      <c r="AK66" s="2"/>
      <c r="AM66" s="2"/>
      <c r="AN66" s="2"/>
      <c r="AO66" s="253"/>
      <c r="AP66" s="240"/>
      <c r="AQ66" s="240"/>
      <c r="AR66" s="240"/>
      <c r="AS66" s="240"/>
      <c r="AT66" s="240"/>
      <c r="AU66" s="242"/>
      <c r="AV66" s="240"/>
      <c r="AW66" s="240"/>
      <c r="AX66" s="240"/>
      <c r="AY66" s="240"/>
      <c r="AZ66" s="240"/>
      <c r="BA66" s="242"/>
      <c r="BB66" s="242"/>
      <c r="BH66" s="3"/>
      <c r="BI66" s="3"/>
      <c r="BJ66" s="3"/>
    </row>
    <row r="67" spans="1:65" x14ac:dyDescent="0.2">
      <c r="A67" s="7" t="s">
        <v>439</v>
      </c>
    </row>
    <row r="68" spans="1:65" x14ac:dyDescent="0.2">
      <c r="A68" s="1" t="s">
        <v>29</v>
      </c>
      <c r="C68" s="82"/>
      <c r="D68" s="82"/>
      <c r="E68" s="146"/>
      <c r="F68" s="730"/>
      <c r="G68" s="730"/>
      <c r="H68" s="730"/>
      <c r="I68" s="730"/>
      <c r="J68" s="730"/>
      <c r="K68" s="730"/>
      <c r="L68" s="730"/>
      <c r="M68" s="730"/>
      <c r="N68" s="730"/>
      <c r="O68" s="730"/>
      <c r="P68" s="730"/>
      <c r="Q68" s="73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568"/>
      <c r="AT68" s="568"/>
      <c r="AU68" s="210"/>
      <c r="AV68" s="568"/>
      <c r="AW68" s="568"/>
      <c r="AX68" s="568"/>
      <c r="AY68" s="568"/>
      <c r="AZ68" s="568"/>
      <c r="BA68" s="210"/>
      <c r="BB68" s="210"/>
      <c r="BC68" s="210"/>
      <c r="BD68" s="210"/>
      <c r="BE68" s="210"/>
      <c r="BH68" s="3"/>
      <c r="BI68" s="3"/>
      <c r="BJ68" s="3"/>
    </row>
    <row r="69" spans="1:65" x14ac:dyDescent="0.2">
      <c r="A69" s="2"/>
      <c r="B69" s="3"/>
      <c r="C69" s="240"/>
      <c r="D69" s="240"/>
      <c r="E69" s="240"/>
      <c r="F69" s="32"/>
      <c r="G69" s="32"/>
      <c r="H69" s="32"/>
      <c r="I69" s="32"/>
      <c r="J69" s="32"/>
      <c r="K69" s="32"/>
      <c r="L69" s="32"/>
      <c r="M69" s="32"/>
      <c r="N69" s="32"/>
      <c r="O69" s="32"/>
      <c r="P69" s="32"/>
      <c r="Q69" s="32"/>
      <c r="R69" s="32"/>
      <c r="S69" s="32"/>
      <c r="T69" s="32"/>
      <c r="U69" s="32"/>
      <c r="V69" s="32"/>
      <c r="W69" s="32"/>
      <c r="X69" s="32"/>
    </row>
    <row r="70" spans="1:65" x14ac:dyDescent="0.2">
      <c r="A70" s="7" t="s">
        <v>339</v>
      </c>
      <c r="C70" s="82"/>
      <c r="D70" s="82"/>
      <c r="E70" s="146"/>
      <c r="F70" s="725"/>
      <c r="G70" s="725"/>
      <c r="H70" s="725"/>
      <c r="I70" s="721"/>
      <c r="J70" s="725"/>
      <c r="K70" s="725"/>
      <c r="L70" s="725"/>
      <c r="M70" s="721"/>
      <c r="N70" s="725"/>
      <c r="O70" s="725"/>
      <c r="P70" s="725"/>
      <c r="Q70" s="721"/>
      <c r="R70" s="725"/>
      <c r="S70" s="146"/>
      <c r="T70" s="146"/>
      <c r="U70" s="613"/>
      <c r="V70" s="146"/>
      <c r="W70" s="146"/>
      <c r="X70" s="146"/>
      <c r="Y70" s="613"/>
      <c r="Z70" s="146"/>
      <c r="AA70" s="146"/>
      <c r="AB70" s="146"/>
      <c r="AC70" s="613"/>
      <c r="AD70" s="146"/>
      <c r="AE70" s="146"/>
      <c r="AF70" s="146"/>
      <c r="AO70" s="31"/>
      <c r="AP70" s="146"/>
      <c r="AQ70" s="146"/>
      <c r="AR70" s="146"/>
      <c r="AS70" s="559"/>
      <c r="AT70" s="559"/>
      <c r="AU70" s="82"/>
      <c r="AV70" s="559"/>
      <c r="AW70" s="559"/>
      <c r="AX70" s="1398"/>
      <c r="AY70" s="559"/>
      <c r="AZ70" s="559"/>
      <c r="BA70" s="82"/>
      <c r="BB70" s="82"/>
      <c r="BD70" s="31"/>
    </row>
    <row r="71" spans="1:65" x14ac:dyDescent="0.2">
      <c r="C71" s="82"/>
      <c r="D71" s="82"/>
      <c r="E71" s="146"/>
      <c r="F71" s="725"/>
      <c r="G71" s="725"/>
      <c r="H71" s="725"/>
      <c r="I71" s="721"/>
      <c r="J71" s="725"/>
      <c r="K71" s="725"/>
      <c r="L71" s="725"/>
      <c r="M71" s="721"/>
      <c r="N71" s="725"/>
      <c r="O71" s="725"/>
      <c r="P71" s="536"/>
      <c r="Q71" s="721"/>
      <c r="R71" s="725"/>
      <c r="S71" s="146"/>
      <c r="T71" s="146"/>
      <c r="U71" s="613"/>
      <c r="V71" s="146"/>
      <c r="W71" s="146"/>
      <c r="X71" s="146"/>
      <c r="Y71" s="613"/>
      <c r="Z71" s="146"/>
      <c r="AA71" s="146"/>
      <c r="AB71" s="146"/>
      <c r="AC71" s="613"/>
      <c r="AD71" s="146"/>
      <c r="AE71" s="146"/>
      <c r="AF71" s="146"/>
      <c r="AO71" s="31"/>
      <c r="AP71" s="146"/>
      <c r="AQ71" s="146"/>
      <c r="AR71" s="146"/>
      <c r="AS71" s="105"/>
      <c r="AT71" s="105"/>
      <c r="AU71" s="82"/>
      <c r="AV71" s="559"/>
      <c r="AW71" s="559"/>
      <c r="AX71" s="559"/>
      <c r="AY71" s="559"/>
      <c r="AZ71" s="559"/>
      <c r="BA71" s="82"/>
      <c r="BB71" s="82"/>
      <c r="BD71" s="7"/>
    </row>
    <row r="72" spans="1:65" x14ac:dyDescent="0.2">
      <c r="I72" s="721"/>
      <c r="M72" s="721"/>
      <c r="Q72" s="721"/>
      <c r="R72" s="725"/>
      <c r="U72" s="613"/>
      <c r="Y72" s="613"/>
      <c r="AC72" s="613"/>
      <c r="AO72" s="11"/>
      <c r="AP72" s="3"/>
      <c r="AQ72" s="3"/>
      <c r="AR72" s="3"/>
      <c r="AV72" s="552"/>
      <c r="AW72" s="552"/>
      <c r="AX72" s="552"/>
      <c r="AY72" s="552"/>
      <c r="AZ72" s="552"/>
      <c r="BD72" s="32"/>
      <c r="BF72" s="31"/>
    </row>
    <row r="73" spans="1:65" x14ac:dyDescent="0.2">
      <c r="I73" s="721"/>
      <c r="M73" s="721"/>
      <c r="Q73" s="721"/>
      <c r="R73" s="725"/>
      <c r="U73" s="613"/>
      <c r="Y73" s="613"/>
      <c r="AC73" s="613"/>
      <c r="AO73" s="33"/>
      <c r="AP73" s="3"/>
      <c r="AQ73" s="3"/>
      <c r="AR73" s="3"/>
      <c r="AV73" s="552"/>
      <c r="AW73" s="552"/>
      <c r="AX73" s="552"/>
      <c r="AY73" s="552"/>
      <c r="AZ73" s="552"/>
      <c r="BD73" s="2"/>
      <c r="BF73" s="304"/>
    </row>
    <row r="74" spans="1:65" x14ac:dyDescent="0.2">
      <c r="I74" s="721"/>
      <c r="M74" s="721"/>
      <c r="Q74" s="721"/>
      <c r="R74" s="725"/>
      <c r="U74" s="613"/>
      <c r="Y74" s="613"/>
      <c r="AC74" s="613"/>
      <c r="AO74" s="150"/>
      <c r="AP74" s="3"/>
      <c r="AQ74" s="3"/>
      <c r="AR74" s="3"/>
      <c r="AV74" s="552"/>
      <c r="AW74" s="552"/>
      <c r="AX74" s="552"/>
      <c r="AY74" s="552"/>
      <c r="AZ74" s="552"/>
      <c r="BD74" s="2"/>
    </row>
    <row r="75" spans="1:65" x14ac:dyDescent="0.2">
      <c r="I75" s="721"/>
      <c r="M75" s="721"/>
      <c r="Q75" s="721"/>
      <c r="R75" s="725"/>
      <c r="U75" s="613"/>
      <c r="Y75" s="613"/>
      <c r="AC75" s="613"/>
      <c r="AO75" s="2"/>
      <c r="AP75" s="3"/>
      <c r="AQ75" s="3"/>
      <c r="AR75" s="3"/>
      <c r="AV75" s="552"/>
      <c r="AW75" s="552"/>
      <c r="AX75" s="552"/>
      <c r="AY75" s="552"/>
      <c r="AZ75" s="552"/>
      <c r="BD75" s="32"/>
    </row>
    <row r="76" spans="1:65" x14ac:dyDescent="0.2">
      <c r="R76" s="725"/>
      <c r="Y76" s="32">
        <v>0</v>
      </c>
      <c r="Z76" s="32">
        <v>0</v>
      </c>
      <c r="AA76" s="32">
        <v>0</v>
      </c>
      <c r="AB76" s="32" t="e">
        <v>#REF!</v>
      </c>
      <c r="AC76" s="32" t="e">
        <v>#REF!</v>
      </c>
      <c r="AD76" s="32" t="e">
        <v>#REF!</v>
      </c>
      <c r="AE76" s="32" t="e">
        <v>#REF!</v>
      </c>
      <c r="AF76" s="32" t="e">
        <v>#REF!</v>
      </c>
      <c r="AG76" s="32" t="e">
        <v>#REF!</v>
      </c>
      <c r="AH76" s="32" t="e">
        <v>#REF!</v>
      </c>
      <c r="AI76" s="32" t="e">
        <v>#REF!</v>
      </c>
      <c r="AJ76" s="32" t="e">
        <v>#REF!</v>
      </c>
      <c r="AK76" s="32" t="e">
        <v>#REF!</v>
      </c>
      <c r="AL76" s="32" t="e">
        <v>#REF!</v>
      </c>
      <c r="AM76" s="32" t="e">
        <v>#REF!</v>
      </c>
      <c r="AN76" s="32" t="e">
        <v>#REF!</v>
      </c>
      <c r="AO76" s="32" t="e">
        <v>#REF!</v>
      </c>
      <c r="AP76" s="32"/>
      <c r="AQ76" s="32"/>
      <c r="AR76" s="32"/>
      <c r="AS76" s="558">
        <v>0</v>
      </c>
      <c r="AT76" s="558">
        <v>0</v>
      </c>
      <c r="AU76" s="32"/>
      <c r="AV76" s="558"/>
      <c r="AW76" s="558"/>
      <c r="AX76" s="558"/>
      <c r="AY76" s="558"/>
      <c r="AZ76" s="558">
        <v>0</v>
      </c>
      <c r="BA76" s="32">
        <v>0</v>
      </c>
      <c r="BB76" s="32">
        <v>0</v>
      </c>
      <c r="BC76" s="32">
        <v>0</v>
      </c>
      <c r="BD76" s="32">
        <v>0</v>
      </c>
      <c r="BE76" s="32">
        <v>0</v>
      </c>
      <c r="BH76" s="3"/>
      <c r="BI76" s="3"/>
      <c r="BJ76" s="3"/>
    </row>
    <row r="77" spans="1:65" x14ac:dyDescent="0.2">
      <c r="I77" s="721"/>
      <c r="M77" s="721"/>
      <c r="Q77" s="721"/>
      <c r="R77" s="725"/>
      <c r="U77" s="613"/>
      <c r="Y77" s="613"/>
      <c r="AC77" s="613"/>
      <c r="AO77" s="32"/>
      <c r="AP77" s="3"/>
      <c r="AQ77" s="3"/>
      <c r="AR77" s="3"/>
      <c r="AV77" s="552"/>
      <c r="AW77" s="552"/>
      <c r="AX77" s="552"/>
      <c r="AY77" s="552"/>
      <c r="AZ77" s="552"/>
      <c r="BD77" s="11"/>
    </row>
    <row r="78" spans="1:65" x14ac:dyDescent="0.2">
      <c r="I78" s="721"/>
      <c r="M78" s="721"/>
      <c r="Q78" s="721"/>
      <c r="U78" s="613"/>
      <c r="Y78" s="613"/>
      <c r="AC78" s="613"/>
      <c r="AO78" s="41"/>
      <c r="AP78" s="3"/>
      <c r="AQ78" s="3"/>
      <c r="AR78" s="3"/>
      <c r="AV78" s="552"/>
      <c r="AW78" s="552"/>
      <c r="AX78" s="552"/>
      <c r="AY78" s="552"/>
      <c r="AZ78" s="552"/>
      <c r="BD78" s="35"/>
    </row>
    <row r="79" spans="1:65" x14ac:dyDescent="0.2">
      <c r="I79" s="721"/>
      <c r="M79" s="721"/>
      <c r="Q79" s="721"/>
      <c r="U79" s="613"/>
      <c r="Y79" s="613"/>
      <c r="AC79" s="613"/>
      <c r="AO79" s="41"/>
      <c r="AP79" s="3"/>
      <c r="AQ79" s="3"/>
      <c r="AR79" s="3"/>
      <c r="AV79" s="552"/>
      <c r="AW79" s="552"/>
      <c r="AX79" s="552"/>
      <c r="AY79" s="552"/>
      <c r="AZ79" s="552"/>
      <c r="BD79" s="35"/>
    </row>
    <row r="80" spans="1:65" x14ac:dyDescent="0.2">
      <c r="I80" s="721"/>
      <c r="M80" s="721"/>
      <c r="Q80" s="721"/>
      <c r="U80" s="613"/>
      <c r="Y80" s="613"/>
      <c r="AC80" s="613"/>
      <c r="AO80" s="41"/>
      <c r="AP80" s="3"/>
      <c r="AQ80" s="3"/>
      <c r="AR80" s="3"/>
      <c r="AV80" s="552"/>
      <c r="AW80" s="552"/>
      <c r="AX80" s="552"/>
      <c r="AY80" s="552"/>
      <c r="AZ80" s="552"/>
      <c r="BD80" s="35"/>
    </row>
    <row r="81" spans="9:56" x14ac:dyDescent="0.2">
      <c r="I81" s="721"/>
      <c r="M81" s="721"/>
      <c r="Q81" s="721"/>
      <c r="U81" s="613"/>
      <c r="Y81" s="613"/>
      <c r="AC81" s="613"/>
      <c r="AO81" s="35"/>
      <c r="AP81" s="3"/>
      <c r="AQ81" s="3"/>
      <c r="AR81" s="3"/>
      <c r="AV81" s="552"/>
      <c r="AW81" s="552"/>
      <c r="AX81" s="552"/>
      <c r="AY81" s="552"/>
      <c r="AZ81" s="552"/>
      <c r="BD81" s="36"/>
    </row>
    <row r="82" spans="9:56" x14ac:dyDescent="0.2">
      <c r="I82" s="721"/>
      <c r="M82" s="721"/>
      <c r="Q82" s="721"/>
      <c r="U82" s="613"/>
      <c r="Y82" s="613"/>
      <c r="AC82" s="613"/>
      <c r="AO82" s="36"/>
      <c r="AP82" s="3"/>
      <c r="AQ82" s="3"/>
      <c r="AR82" s="3"/>
      <c r="AV82" s="552"/>
      <c r="AW82" s="552"/>
      <c r="AX82" s="552"/>
      <c r="AY82" s="552"/>
      <c r="AZ82" s="552"/>
      <c r="BC82" s="36"/>
      <c r="BD82" s="36"/>
    </row>
    <row r="83" spans="9:56" x14ac:dyDescent="0.2">
      <c r="I83" s="721"/>
      <c r="M83" s="721"/>
      <c r="Q83" s="721"/>
      <c r="U83" s="613"/>
      <c r="Y83" s="613"/>
      <c r="AC83" s="613"/>
      <c r="AO83" s="36"/>
      <c r="AP83" s="3"/>
      <c r="AQ83" s="3"/>
      <c r="AR83" s="3"/>
      <c r="AV83" s="552"/>
      <c r="AW83" s="552"/>
      <c r="AX83" s="552"/>
      <c r="AY83" s="552"/>
      <c r="AZ83" s="552"/>
      <c r="BC83" s="3"/>
      <c r="BD83" s="3"/>
    </row>
    <row r="84" spans="9:56" x14ac:dyDescent="0.2">
      <c r="I84" s="721"/>
      <c r="M84" s="721"/>
      <c r="Q84" s="721"/>
      <c r="U84" s="613"/>
      <c r="Y84" s="613"/>
      <c r="AC84" s="613"/>
      <c r="AO84" s="3"/>
      <c r="AP84" s="3"/>
      <c r="AQ84" s="3"/>
      <c r="AR84" s="3"/>
      <c r="AV84" s="552"/>
      <c r="AW84" s="552"/>
      <c r="AX84" s="552"/>
      <c r="AY84" s="552"/>
      <c r="AZ84" s="552"/>
      <c r="BC84" s="3"/>
      <c r="BD84" s="3"/>
    </row>
    <row r="85" spans="9:56" x14ac:dyDescent="0.2">
      <c r="I85" s="721"/>
      <c r="M85" s="721"/>
      <c r="Q85" s="721"/>
      <c r="U85" s="613"/>
      <c r="Y85" s="613"/>
      <c r="AC85" s="613"/>
      <c r="AO85" s="3"/>
      <c r="AP85" s="3"/>
      <c r="AQ85" s="3"/>
      <c r="AR85" s="3"/>
      <c r="AV85" s="552"/>
      <c r="AW85" s="552"/>
      <c r="AX85" s="552"/>
      <c r="AY85" s="552"/>
      <c r="AZ85" s="552"/>
      <c r="BC85" s="3"/>
      <c r="BD85" s="3"/>
    </row>
    <row r="86" spans="9:56" x14ac:dyDescent="0.2">
      <c r="I86" s="721"/>
      <c r="M86" s="721"/>
      <c r="Q86" s="721"/>
      <c r="U86" s="613"/>
      <c r="Y86" s="613"/>
      <c r="AC86" s="613"/>
      <c r="AO86" s="3"/>
      <c r="AP86" s="3"/>
      <c r="AQ86" s="3"/>
      <c r="AR86" s="3"/>
      <c r="AV86" s="552"/>
      <c r="AW86" s="552"/>
      <c r="AX86" s="552"/>
      <c r="AY86" s="552"/>
      <c r="AZ86" s="552"/>
      <c r="BC86" s="3"/>
      <c r="BD86" s="3"/>
    </row>
    <row r="87" spans="9:56" x14ac:dyDescent="0.2">
      <c r="I87" s="721"/>
      <c r="M87" s="721"/>
      <c r="Q87" s="721"/>
      <c r="U87" s="613"/>
      <c r="Y87" s="613"/>
      <c r="AC87" s="613"/>
      <c r="AO87" s="3"/>
      <c r="AP87" s="3"/>
      <c r="AQ87" s="3"/>
      <c r="AR87" s="3"/>
      <c r="AV87" s="552"/>
      <c r="AW87" s="552"/>
      <c r="AX87" s="552"/>
      <c r="AY87" s="552"/>
      <c r="AZ87" s="552"/>
      <c r="BC87" s="3"/>
      <c r="BD87" s="3"/>
    </row>
    <row r="88" spans="9:56" x14ac:dyDescent="0.2">
      <c r="I88" s="721"/>
      <c r="M88" s="721"/>
      <c r="Q88" s="721"/>
      <c r="U88" s="613"/>
      <c r="Y88" s="613"/>
      <c r="AC88" s="613"/>
      <c r="AO88" s="3"/>
      <c r="AP88" s="3"/>
      <c r="AQ88" s="3"/>
      <c r="AR88" s="3"/>
      <c r="AV88" s="552"/>
      <c r="AW88" s="552"/>
      <c r="AX88" s="552"/>
      <c r="AY88" s="552"/>
      <c r="AZ88" s="552"/>
    </row>
    <row r="89" spans="9:56" x14ac:dyDescent="0.2">
      <c r="I89" s="721"/>
      <c r="M89" s="721"/>
      <c r="Q89" s="721"/>
      <c r="U89" s="613"/>
      <c r="Y89" s="613"/>
      <c r="AC89" s="613"/>
    </row>
  </sheetData>
  <mergeCells count="11">
    <mergeCell ref="C50:D50"/>
    <mergeCell ref="AS50:AT50"/>
    <mergeCell ref="C57:D57"/>
    <mergeCell ref="C58:D58"/>
    <mergeCell ref="AS58:AT58"/>
    <mergeCell ref="C49:D49"/>
    <mergeCell ref="C11:D11"/>
    <mergeCell ref="C12:D12"/>
    <mergeCell ref="AS12:AT12"/>
    <mergeCell ref="A33:B33"/>
    <mergeCell ref="A35:B35"/>
  </mergeCells>
  <printOptions horizontalCentered="1"/>
  <pageMargins left="0.3" right="0.3" top="0.4" bottom="0.53" header="0" footer="0.3"/>
  <pageSetup scale="56" orientation="landscape" r:id="rId1"/>
  <headerFooter alignWithMargins="0">
    <oddFooter>&amp;CPage 7</oddFooter>
  </headerFooter>
  <colBreaks count="1" manualBreakCount="1">
    <brk id="57" max="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ED3608F-8E35-4907-8FF1-64E0D3992F8A}"/>
</file>

<file path=customXml/itemProps2.xml><?xml version="1.0" encoding="utf-8"?>
<ds:datastoreItem xmlns:ds="http://schemas.openxmlformats.org/officeDocument/2006/customXml" ds:itemID="{74222775-5043-43CA-AB97-1650F228B295}"/>
</file>

<file path=customXml/itemProps3.xml><?xml version="1.0" encoding="utf-8"?>
<ds:datastoreItem xmlns:ds="http://schemas.openxmlformats.org/officeDocument/2006/customXml" ds:itemID="{578E05BD-1974-46E5-A838-B2327E50D6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1 Cover</vt:lpstr>
      <vt:lpstr>2 Table of Contents</vt:lpstr>
      <vt:lpstr>1 Financial Highlights</vt:lpstr>
      <vt:lpstr>2 Consolidated IS</vt:lpstr>
      <vt:lpstr>3 Canaccord Genuity </vt:lpstr>
      <vt:lpstr>4 Capital Markets Canada</vt:lpstr>
      <vt:lpstr>5 CG - US</vt:lpstr>
      <vt:lpstr>6 CG - UK</vt:lpstr>
      <vt:lpstr>7 CG Other Foreign Loc</vt:lpstr>
      <vt:lpstr>8 CWM Canada</vt:lpstr>
      <vt:lpstr>9 CWM UK and Europe</vt:lpstr>
      <vt:lpstr>CWM BGF</vt:lpstr>
      <vt:lpstr>10 Other</vt:lpstr>
      <vt:lpstr>11 Balance Sheet</vt:lpstr>
      <vt:lpstr>7 Canada</vt:lpstr>
      <vt:lpstr>8 UK and Europe</vt:lpstr>
      <vt:lpstr>9 US</vt:lpstr>
      <vt:lpstr>12 Misc Operating Stats</vt:lpstr>
      <vt:lpstr>13 Notes</vt:lpstr>
      <vt:lpstr>NHI</vt:lpstr>
      <vt:lpstr>'1 Cover'!Print_Area</vt:lpstr>
      <vt:lpstr>'1 Financial Highlights'!Print_Area</vt:lpstr>
      <vt:lpstr>'10 Other'!Print_Area</vt:lpstr>
      <vt:lpstr>'11 Balance Sheet'!Print_Area</vt:lpstr>
      <vt:lpstr>'12 Misc Operating Stats'!Print_Area</vt:lpstr>
      <vt:lpstr>'13 Notes'!Print_Area</vt:lpstr>
      <vt:lpstr>'2 Consolidated IS'!Print_Area</vt:lpstr>
      <vt:lpstr>'3 Canaccord Genuity '!Print_Area</vt:lpstr>
      <vt:lpstr>'4 Capital Markets Canada'!Print_Area</vt:lpstr>
      <vt:lpstr>'5 CG - US'!Print_Area</vt:lpstr>
      <vt:lpstr>'6 CG - UK'!Print_Area</vt:lpstr>
      <vt:lpstr>'7 Canada'!Print_Area</vt:lpstr>
      <vt:lpstr>'7 CG Other Foreign Loc'!Print_Area</vt:lpstr>
      <vt:lpstr>'8 CWM Canada'!Print_Area</vt:lpstr>
      <vt:lpstr>'8 UK and Europe'!Print_Area</vt:lpstr>
      <vt:lpstr>'9 CWM UK and Europe'!Print_Area</vt:lpstr>
      <vt:lpstr>'9 US'!Print_Area</vt:lpstr>
      <vt:lpstr>'CWM BGF'!Print_Area</vt:lpstr>
      <vt:lpstr>NHI!Print_Area</vt:lpstr>
    </vt:vector>
  </TitlesOfParts>
  <Company>Canaccord Capital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Tiffany Grisdale</dc:creator>
  <cp:lastModifiedBy>Lee, Carol</cp:lastModifiedBy>
  <cp:lastPrinted>2015-06-02T17:30:02Z</cp:lastPrinted>
  <dcterms:created xsi:type="dcterms:W3CDTF">2008-06-18T15:17:32Z</dcterms:created>
  <dcterms:modified xsi:type="dcterms:W3CDTF">2015-06-02T17:31:11Z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